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drawings/drawing2.xml" ContentType="application/vnd.openxmlformats-officedocument.drawing+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Dropbox\PLANMICC2050_compartido con equipo\OSeMOSYS\7_Requerimientos_Descarbonización\Escenarios_Agricultura\"/>
    </mc:Choice>
  </mc:AlternateContent>
  <xr:revisionPtr revIDLastSave="0" documentId="13_ncr:1_{58C58E99-F8E0-4338-BF19-B9BF7621E349}" xr6:coauthVersionLast="47" xr6:coauthVersionMax="47" xr10:uidLastSave="{00000000-0000-0000-0000-000000000000}"/>
  <bookViews>
    <workbookView xWindow="28680" yWindow="-120" windowWidth="29040" windowHeight="15720" firstSheet="2" activeTab="6" xr2:uid="{3D0F6C8F-A5C8-4D70-A4F9-4B7D4B2BDF1C}"/>
  </bookViews>
  <sheets>
    <sheet name="README" sheetId="2" r:id="rId1"/>
    <sheet name="Políticas anunciadas - %" sheetId="1" state="hidden" r:id="rId2"/>
    <sheet name="CC70 - %" sheetId="3" r:id="rId3"/>
    <sheet name="CC70 - Valores" sheetId="6" r:id="rId4"/>
    <sheet name="CC70-Tendencial" sheetId="7" r:id="rId5"/>
    <sheet name="Rendimientos Tendencial" sheetId="9" r:id="rId6"/>
    <sheet name="Tendencial" sheetId="8" r:id="rId7"/>
  </sheets>
  <externalReferences>
    <externalReference r:id="rId8"/>
  </externalReferences>
  <definedNames>
    <definedName name="solver_adj" localSheetId="2" hidden="1">'CC70 - %'!$BF$3</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'CC70 - %'!$BG$3</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44" i="7" l="1"/>
  <c r="M341" i="7"/>
  <c r="M336" i="7"/>
  <c r="L317" i="7"/>
  <c r="M317" i="7"/>
  <c r="K317" i="7"/>
  <c r="L307" i="7"/>
  <c r="M307" i="7"/>
  <c r="K307" i="7"/>
  <c r="L286" i="7"/>
  <c r="M286" i="7"/>
  <c r="K286" i="7"/>
  <c r="L280" i="7"/>
  <c r="M280" i="7"/>
  <c r="L281" i="7"/>
  <c r="M281" i="7"/>
  <c r="L282" i="7"/>
  <c r="M282" i="7"/>
  <c r="K281" i="7"/>
  <c r="K282" i="7"/>
  <c r="K280" i="7"/>
  <c r="L271" i="7"/>
  <c r="M271" i="7"/>
  <c r="L272" i="7"/>
  <c r="M272" i="7"/>
  <c r="K272" i="7"/>
  <c r="K271" i="7"/>
  <c r="L263" i="7"/>
  <c r="M263" i="7"/>
  <c r="L264" i="7"/>
  <c r="M264" i="7"/>
  <c r="K264" i="7"/>
  <c r="K263" i="7"/>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G51" i="6"/>
  <c r="L111" i="7"/>
  <c r="M111" i="7"/>
  <c r="N111" i="7"/>
  <c r="O111" i="7"/>
  <c r="P111" i="7"/>
  <c r="Q111" i="7"/>
  <c r="R111" i="7"/>
  <c r="S111" i="7"/>
  <c r="T111" i="7"/>
  <c r="U111" i="7"/>
  <c r="V111" i="7"/>
  <c r="W111" i="7"/>
  <c r="X111" i="7"/>
  <c r="Y111" i="7"/>
  <c r="Z111" i="7"/>
  <c r="AA111" i="7"/>
  <c r="AB111" i="7"/>
  <c r="AC111" i="7"/>
  <c r="AD111" i="7"/>
  <c r="AE111" i="7"/>
  <c r="AF111" i="7"/>
  <c r="AG111" i="7"/>
  <c r="AH111" i="7"/>
  <c r="AI111" i="7"/>
  <c r="AJ111" i="7"/>
  <c r="AK111" i="7"/>
  <c r="AL111" i="7"/>
  <c r="AM111" i="7"/>
  <c r="AN111" i="7"/>
  <c r="AO111" i="7"/>
  <c r="AP111" i="7"/>
  <c r="AQ111" i="7"/>
  <c r="AR111" i="7"/>
  <c r="AS111" i="7"/>
  <c r="AT111" i="7"/>
  <c r="AU111" i="7"/>
  <c r="AV111" i="7"/>
  <c r="AW111" i="7"/>
  <c r="AX111" i="7"/>
  <c r="AY111" i="7"/>
  <c r="AZ111" i="7"/>
  <c r="BA111" i="7"/>
  <c r="BB111" i="7"/>
  <c r="BC111" i="7"/>
  <c r="BD111" i="7"/>
  <c r="BE111" i="7"/>
  <c r="BF111" i="7"/>
  <c r="BG111" i="7"/>
  <c r="BH111" i="7"/>
  <c r="BI111" i="7"/>
  <c r="BJ111" i="7"/>
  <c r="BK111" i="7"/>
  <c r="L112" i="7"/>
  <c r="M112" i="7"/>
  <c r="N112" i="7"/>
  <c r="N128" i="7" s="1"/>
  <c r="O112" i="7"/>
  <c r="O128" i="7" s="1"/>
  <c r="P112" i="7"/>
  <c r="Q112" i="7"/>
  <c r="R112" i="7"/>
  <c r="S112" i="7"/>
  <c r="T112" i="7"/>
  <c r="U112" i="7"/>
  <c r="V112" i="7"/>
  <c r="W112" i="7"/>
  <c r="X112" i="7"/>
  <c r="Y112" i="7"/>
  <c r="Z112" i="7"/>
  <c r="AA112" i="7"/>
  <c r="AB112" i="7"/>
  <c r="AC112" i="7"/>
  <c r="AD112" i="7"/>
  <c r="AE112" i="7"/>
  <c r="AF112" i="7"/>
  <c r="AG112" i="7"/>
  <c r="AH112" i="7"/>
  <c r="AI112" i="7"/>
  <c r="AJ112" i="7"/>
  <c r="AK112" i="7"/>
  <c r="AL112" i="7"/>
  <c r="AM112" i="7"/>
  <c r="AN112" i="7"/>
  <c r="AO112" i="7"/>
  <c r="AP112" i="7"/>
  <c r="AQ112" i="7"/>
  <c r="AR112" i="7"/>
  <c r="AS112" i="7"/>
  <c r="AT112" i="7"/>
  <c r="AU112" i="7"/>
  <c r="AV112" i="7"/>
  <c r="AW112" i="7"/>
  <c r="AX112" i="7"/>
  <c r="AY112" i="7"/>
  <c r="AZ112" i="7"/>
  <c r="BA112" i="7"/>
  <c r="BB112" i="7"/>
  <c r="BC112" i="7"/>
  <c r="BD112" i="7"/>
  <c r="BE112" i="7"/>
  <c r="BF112" i="7"/>
  <c r="BG112" i="7"/>
  <c r="BH112" i="7"/>
  <c r="BI112" i="7"/>
  <c r="BJ112" i="7"/>
  <c r="BK112" i="7"/>
  <c r="L113" i="7"/>
  <c r="M113" i="7"/>
  <c r="N113" i="7"/>
  <c r="O113" i="7"/>
  <c r="P113" i="7"/>
  <c r="Q113" i="7"/>
  <c r="R113" i="7"/>
  <c r="S113" i="7"/>
  <c r="T113" i="7"/>
  <c r="U113" i="7"/>
  <c r="V113" i="7"/>
  <c r="W113" i="7"/>
  <c r="X113" i="7"/>
  <c r="Y113" i="7"/>
  <c r="Z113" i="7"/>
  <c r="AA113" i="7"/>
  <c r="AB113" i="7"/>
  <c r="AC113" i="7"/>
  <c r="AD113" i="7"/>
  <c r="AE113" i="7"/>
  <c r="AF113" i="7"/>
  <c r="AG113" i="7"/>
  <c r="AH113" i="7"/>
  <c r="AI113" i="7"/>
  <c r="AJ113" i="7"/>
  <c r="AK113" i="7"/>
  <c r="AL113" i="7"/>
  <c r="AM113" i="7"/>
  <c r="AN113" i="7"/>
  <c r="AO113" i="7"/>
  <c r="AP113" i="7"/>
  <c r="AQ113" i="7"/>
  <c r="AR113" i="7"/>
  <c r="AS113" i="7"/>
  <c r="AT113" i="7"/>
  <c r="AU113" i="7"/>
  <c r="AV113" i="7"/>
  <c r="AW113" i="7"/>
  <c r="AX113" i="7"/>
  <c r="AY113" i="7"/>
  <c r="AZ113" i="7"/>
  <c r="BA113" i="7"/>
  <c r="BB113" i="7"/>
  <c r="BC113" i="7"/>
  <c r="BD113" i="7"/>
  <c r="BE113" i="7"/>
  <c r="BF113" i="7"/>
  <c r="BG113" i="7"/>
  <c r="BH113" i="7"/>
  <c r="BI113" i="7"/>
  <c r="BJ113" i="7"/>
  <c r="BK113" i="7"/>
  <c r="L114" i="7"/>
  <c r="M114" i="7"/>
  <c r="N114" i="7"/>
  <c r="N130" i="7" s="1"/>
  <c r="O114" i="7"/>
  <c r="O130" i="7" s="1"/>
  <c r="P114" i="7"/>
  <c r="Q114" i="7"/>
  <c r="R114" i="7"/>
  <c r="S114" i="7"/>
  <c r="T114" i="7"/>
  <c r="U114" i="7"/>
  <c r="V114" i="7"/>
  <c r="W114" i="7"/>
  <c r="X114" i="7"/>
  <c r="Y114" i="7"/>
  <c r="Z114" i="7"/>
  <c r="AA114" i="7"/>
  <c r="AB114" i="7"/>
  <c r="AC114" i="7"/>
  <c r="AD114" i="7"/>
  <c r="AE114" i="7"/>
  <c r="AF114" i="7"/>
  <c r="AG114" i="7"/>
  <c r="AH114" i="7"/>
  <c r="AI114" i="7"/>
  <c r="AJ114" i="7"/>
  <c r="AK114" i="7"/>
  <c r="AL114" i="7"/>
  <c r="AM114" i="7"/>
  <c r="AN114" i="7"/>
  <c r="AO114" i="7"/>
  <c r="AP114" i="7"/>
  <c r="AQ114" i="7"/>
  <c r="AR114" i="7"/>
  <c r="AS114" i="7"/>
  <c r="AT114" i="7"/>
  <c r="AU114" i="7"/>
  <c r="AV114" i="7"/>
  <c r="AW114" i="7"/>
  <c r="AX114" i="7"/>
  <c r="AY114" i="7"/>
  <c r="AZ114" i="7"/>
  <c r="BA114" i="7"/>
  <c r="BB114" i="7"/>
  <c r="BC114" i="7"/>
  <c r="BD114" i="7"/>
  <c r="BE114" i="7"/>
  <c r="BF114" i="7"/>
  <c r="BG114" i="7"/>
  <c r="BH114" i="7"/>
  <c r="BI114" i="7"/>
  <c r="BJ114" i="7"/>
  <c r="BK114" i="7"/>
  <c r="L115" i="7"/>
  <c r="M115" i="7"/>
  <c r="N115" i="7"/>
  <c r="O115" i="7"/>
  <c r="O131" i="7" s="1"/>
  <c r="P115" i="7"/>
  <c r="Q115" i="7"/>
  <c r="R115" i="7"/>
  <c r="S115" i="7"/>
  <c r="T115" i="7"/>
  <c r="U115" i="7"/>
  <c r="V115" i="7"/>
  <c r="W115" i="7"/>
  <c r="X115" i="7"/>
  <c r="Y115" i="7"/>
  <c r="Z115" i="7"/>
  <c r="AA115" i="7"/>
  <c r="AB115" i="7"/>
  <c r="AC115" i="7"/>
  <c r="AD115" i="7"/>
  <c r="AE115" i="7"/>
  <c r="AF115" i="7"/>
  <c r="AG115" i="7"/>
  <c r="AH115" i="7"/>
  <c r="AI115" i="7"/>
  <c r="AJ115" i="7"/>
  <c r="AK115" i="7"/>
  <c r="AL115" i="7"/>
  <c r="AM115" i="7"/>
  <c r="AN115" i="7"/>
  <c r="AO115" i="7"/>
  <c r="AP115" i="7"/>
  <c r="AQ115" i="7"/>
  <c r="AR115" i="7"/>
  <c r="AS115" i="7"/>
  <c r="AT115" i="7"/>
  <c r="AU115" i="7"/>
  <c r="AV115" i="7"/>
  <c r="AW115" i="7"/>
  <c r="AX115" i="7"/>
  <c r="AY115" i="7"/>
  <c r="AZ115" i="7"/>
  <c r="BA115" i="7"/>
  <c r="BB115" i="7"/>
  <c r="BC115" i="7"/>
  <c r="BD115" i="7"/>
  <c r="BE115" i="7"/>
  <c r="BF115" i="7"/>
  <c r="BG115" i="7"/>
  <c r="BH115" i="7"/>
  <c r="BI115" i="7"/>
  <c r="BJ115" i="7"/>
  <c r="BK115" i="7"/>
  <c r="L116" i="7"/>
  <c r="M116" i="7"/>
  <c r="N116" i="7"/>
  <c r="N132" i="7" s="1"/>
  <c r="O116" i="7"/>
  <c r="O132" i="7" s="1"/>
  <c r="P116" i="7"/>
  <c r="Q116" i="7"/>
  <c r="R116" i="7"/>
  <c r="S116" i="7"/>
  <c r="T116" i="7"/>
  <c r="U116" i="7"/>
  <c r="V116" i="7"/>
  <c r="W116" i="7"/>
  <c r="X116" i="7"/>
  <c r="Y116" i="7"/>
  <c r="Z116" i="7"/>
  <c r="AA116" i="7"/>
  <c r="AB116" i="7"/>
  <c r="AC116" i="7"/>
  <c r="AD116" i="7"/>
  <c r="AE116" i="7"/>
  <c r="AF116" i="7"/>
  <c r="AG116" i="7"/>
  <c r="AH116" i="7"/>
  <c r="AI116" i="7"/>
  <c r="AJ116" i="7"/>
  <c r="AK116" i="7"/>
  <c r="AL116" i="7"/>
  <c r="AM116" i="7"/>
  <c r="AN116" i="7"/>
  <c r="AO116" i="7"/>
  <c r="AP116" i="7"/>
  <c r="AQ116" i="7"/>
  <c r="AR116" i="7"/>
  <c r="AS116" i="7"/>
  <c r="AT116" i="7"/>
  <c r="AU116" i="7"/>
  <c r="AV116" i="7"/>
  <c r="AW116" i="7"/>
  <c r="AX116" i="7"/>
  <c r="AY116" i="7"/>
  <c r="AZ116" i="7"/>
  <c r="BA116" i="7"/>
  <c r="BB116" i="7"/>
  <c r="BC116" i="7"/>
  <c r="BD116" i="7"/>
  <c r="BE116" i="7"/>
  <c r="BF116" i="7"/>
  <c r="BG116" i="7"/>
  <c r="BH116" i="7"/>
  <c r="BI116" i="7"/>
  <c r="BJ116" i="7"/>
  <c r="BK116" i="7"/>
  <c r="L117" i="7"/>
  <c r="M117" i="7"/>
  <c r="N117" i="7"/>
  <c r="O117" i="7"/>
  <c r="P117" i="7"/>
  <c r="Q117" i="7"/>
  <c r="R117" i="7"/>
  <c r="S117" i="7"/>
  <c r="T117" i="7"/>
  <c r="U117" i="7"/>
  <c r="V117" i="7"/>
  <c r="W117" i="7"/>
  <c r="X117" i="7"/>
  <c r="Y117" i="7"/>
  <c r="Z117" i="7"/>
  <c r="AA117" i="7"/>
  <c r="AB117" i="7"/>
  <c r="AC117" i="7"/>
  <c r="AD117" i="7"/>
  <c r="AE117" i="7"/>
  <c r="AF117" i="7"/>
  <c r="AG117" i="7"/>
  <c r="AH117" i="7"/>
  <c r="AI117" i="7"/>
  <c r="AJ117" i="7"/>
  <c r="AK117" i="7"/>
  <c r="AL117" i="7"/>
  <c r="AM117" i="7"/>
  <c r="AN117" i="7"/>
  <c r="AO117" i="7"/>
  <c r="AP117" i="7"/>
  <c r="AQ117" i="7"/>
  <c r="AR117" i="7"/>
  <c r="AS117" i="7"/>
  <c r="AT117" i="7"/>
  <c r="AU117" i="7"/>
  <c r="AV117" i="7"/>
  <c r="AW117" i="7"/>
  <c r="AX117" i="7"/>
  <c r="AY117" i="7"/>
  <c r="AZ117" i="7"/>
  <c r="BA117" i="7"/>
  <c r="BB117" i="7"/>
  <c r="BC117" i="7"/>
  <c r="BD117" i="7"/>
  <c r="BE117" i="7"/>
  <c r="BF117" i="7"/>
  <c r="BG117" i="7"/>
  <c r="BH117" i="7"/>
  <c r="BI117" i="7"/>
  <c r="BJ117" i="7"/>
  <c r="BK117" i="7"/>
  <c r="L118" i="7"/>
  <c r="M118" i="7"/>
  <c r="N118" i="7"/>
  <c r="N134" i="7" s="1"/>
  <c r="O118" i="7"/>
  <c r="O134" i="7" s="1"/>
  <c r="P118" i="7"/>
  <c r="Q118" i="7"/>
  <c r="R118" i="7"/>
  <c r="S118" i="7"/>
  <c r="T118" i="7"/>
  <c r="U118" i="7"/>
  <c r="V118" i="7"/>
  <c r="W118" i="7"/>
  <c r="X118" i="7"/>
  <c r="Y118" i="7"/>
  <c r="Z118" i="7"/>
  <c r="AA118" i="7"/>
  <c r="AB118" i="7"/>
  <c r="AC118" i="7"/>
  <c r="AD118" i="7"/>
  <c r="AE118" i="7"/>
  <c r="AF118" i="7"/>
  <c r="AG118" i="7"/>
  <c r="AH118" i="7"/>
  <c r="AI118" i="7"/>
  <c r="AJ118" i="7"/>
  <c r="AK118" i="7"/>
  <c r="AL118" i="7"/>
  <c r="AM118" i="7"/>
  <c r="AN118" i="7"/>
  <c r="AO118" i="7"/>
  <c r="AP118" i="7"/>
  <c r="AQ118" i="7"/>
  <c r="AR118" i="7"/>
  <c r="AS118" i="7"/>
  <c r="AT118" i="7"/>
  <c r="AU118" i="7"/>
  <c r="AV118" i="7"/>
  <c r="AW118" i="7"/>
  <c r="AX118" i="7"/>
  <c r="AY118" i="7"/>
  <c r="AZ118" i="7"/>
  <c r="BA118" i="7"/>
  <c r="BB118" i="7"/>
  <c r="BC118" i="7"/>
  <c r="BD118" i="7"/>
  <c r="BE118" i="7"/>
  <c r="BF118" i="7"/>
  <c r="BG118" i="7"/>
  <c r="BH118" i="7"/>
  <c r="BI118" i="7"/>
  <c r="BJ118" i="7"/>
  <c r="BK118" i="7"/>
  <c r="L119" i="7"/>
  <c r="M119" i="7"/>
  <c r="N119" i="7"/>
  <c r="O119" i="7"/>
  <c r="P119" i="7"/>
  <c r="Q119" i="7"/>
  <c r="R119" i="7"/>
  <c r="S119" i="7"/>
  <c r="T119" i="7"/>
  <c r="U119" i="7"/>
  <c r="V119" i="7"/>
  <c r="W119" i="7"/>
  <c r="X119" i="7"/>
  <c r="Y119" i="7"/>
  <c r="Z119" i="7"/>
  <c r="AA119" i="7"/>
  <c r="AB119" i="7"/>
  <c r="AC119" i="7"/>
  <c r="AD119" i="7"/>
  <c r="AE119" i="7"/>
  <c r="AF119" i="7"/>
  <c r="AG119" i="7"/>
  <c r="AH119" i="7"/>
  <c r="AI119" i="7"/>
  <c r="AJ119" i="7"/>
  <c r="AK119" i="7"/>
  <c r="AL119" i="7"/>
  <c r="AM119" i="7"/>
  <c r="AN119" i="7"/>
  <c r="AO119" i="7"/>
  <c r="AP119" i="7"/>
  <c r="AQ119" i="7"/>
  <c r="AR119" i="7"/>
  <c r="AS119" i="7"/>
  <c r="AT119" i="7"/>
  <c r="AU119" i="7"/>
  <c r="AV119" i="7"/>
  <c r="AW119" i="7"/>
  <c r="AX119" i="7"/>
  <c r="AY119" i="7"/>
  <c r="AZ119" i="7"/>
  <c r="BA119" i="7"/>
  <c r="BB119" i="7"/>
  <c r="BC119" i="7"/>
  <c r="BD119" i="7"/>
  <c r="BE119" i="7"/>
  <c r="BF119" i="7"/>
  <c r="BG119" i="7"/>
  <c r="BH119" i="7"/>
  <c r="BI119" i="7"/>
  <c r="BJ119" i="7"/>
  <c r="BK119" i="7"/>
  <c r="L120" i="7"/>
  <c r="M120" i="7"/>
  <c r="N120" i="7"/>
  <c r="N136" i="7" s="1"/>
  <c r="O120" i="7"/>
  <c r="O136" i="7" s="1"/>
  <c r="P120" i="7"/>
  <c r="Q120" i="7"/>
  <c r="R120" i="7"/>
  <c r="S120" i="7"/>
  <c r="T120" i="7"/>
  <c r="U120" i="7"/>
  <c r="V120" i="7"/>
  <c r="W120" i="7"/>
  <c r="X120" i="7"/>
  <c r="Y120" i="7"/>
  <c r="Z120" i="7"/>
  <c r="AA120" i="7"/>
  <c r="AB120" i="7"/>
  <c r="AC120" i="7"/>
  <c r="AD120" i="7"/>
  <c r="AE120" i="7"/>
  <c r="AF120" i="7"/>
  <c r="AG120" i="7"/>
  <c r="AH120" i="7"/>
  <c r="AI120" i="7"/>
  <c r="AJ120" i="7"/>
  <c r="AK120" i="7"/>
  <c r="AL120" i="7"/>
  <c r="AM120" i="7"/>
  <c r="AN120" i="7"/>
  <c r="AO120" i="7"/>
  <c r="AP120" i="7"/>
  <c r="AQ120" i="7"/>
  <c r="AR120" i="7"/>
  <c r="AS120" i="7"/>
  <c r="AT120" i="7"/>
  <c r="AU120" i="7"/>
  <c r="AV120" i="7"/>
  <c r="AW120" i="7"/>
  <c r="AX120" i="7"/>
  <c r="AY120" i="7"/>
  <c r="AZ120" i="7"/>
  <c r="BA120" i="7"/>
  <c r="BB120" i="7"/>
  <c r="BC120" i="7"/>
  <c r="BD120" i="7"/>
  <c r="BE120" i="7"/>
  <c r="BF120" i="7"/>
  <c r="BG120" i="7"/>
  <c r="BH120" i="7"/>
  <c r="BI120" i="7"/>
  <c r="BJ120" i="7"/>
  <c r="BK120" i="7"/>
  <c r="L121" i="7"/>
  <c r="L137" i="7" s="1"/>
  <c r="M121" i="7"/>
  <c r="M137" i="7" s="1"/>
  <c r="N121" i="7"/>
  <c r="O121" i="7"/>
  <c r="P121" i="7"/>
  <c r="Q121" i="7"/>
  <c r="R121" i="7"/>
  <c r="S121" i="7"/>
  <c r="T121" i="7"/>
  <c r="U121" i="7"/>
  <c r="V121" i="7"/>
  <c r="W121" i="7"/>
  <c r="X121" i="7"/>
  <c r="Y121" i="7"/>
  <c r="Z121" i="7"/>
  <c r="AA121" i="7"/>
  <c r="AB121" i="7"/>
  <c r="AC121" i="7"/>
  <c r="AD121" i="7"/>
  <c r="AE121" i="7"/>
  <c r="AF121" i="7"/>
  <c r="AG121" i="7"/>
  <c r="AH121" i="7"/>
  <c r="AI121" i="7"/>
  <c r="AJ121" i="7"/>
  <c r="AK121" i="7"/>
  <c r="AL121" i="7"/>
  <c r="AM121" i="7"/>
  <c r="AN121" i="7"/>
  <c r="AO121" i="7"/>
  <c r="AP121" i="7"/>
  <c r="AQ121" i="7"/>
  <c r="AR121" i="7"/>
  <c r="AS121" i="7"/>
  <c r="AT121" i="7"/>
  <c r="AU121" i="7"/>
  <c r="AV121" i="7"/>
  <c r="AW121" i="7"/>
  <c r="AX121" i="7"/>
  <c r="AY121" i="7"/>
  <c r="AZ121" i="7"/>
  <c r="BA121" i="7"/>
  <c r="BB121" i="7"/>
  <c r="BC121" i="7"/>
  <c r="BD121" i="7"/>
  <c r="BE121" i="7"/>
  <c r="BF121" i="7"/>
  <c r="BG121" i="7"/>
  <c r="BH121" i="7"/>
  <c r="BI121" i="7"/>
  <c r="BJ121" i="7"/>
  <c r="BK121" i="7"/>
  <c r="L122" i="7"/>
  <c r="M122" i="7"/>
  <c r="N122" i="7"/>
  <c r="N138" i="7" s="1"/>
  <c r="O122" i="7"/>
  <c r="O138" i="7" s="1"/>
  <c r="P122" i="7"/>
  <c r="Q122" i="7"/>
  <c r="R122" i="7"/>
  <c r="S122" i="7"/>
  <c r="T122" i="7"/>
  <c r="U122" i="7"/>
  <c r="V122" i="7"/>
  <c r="W122" i="7"/>
  <c r="X122" i="7"/>
  <c r="Y122" i="7"/>
  <c r="Z122" i="7"/>
  <c r="AA122" i="7"/>
  <c r="AB122" i="7"/>
  <c r="AC122" i="7"/>
  <c r="AD122" i="7"/>
  <c r="AE122" i="7"/>
  <c r="AF122" i="7"/>
  <c r="AG122" i="7"/>
  <c r="AH122" i="7"/>
  <c r="AI122" i="7"/>
  <c r="AJ122" i="7"/>
  <c r="AK122" i="7"/>
  <c r="AL122" i="7"/>
  <c r="AM122" i="7"/>
  <c r="AN122" i="7"/>
  <c r="AO122" i="7"/>
  <c r="AP122" i="7"/>
  <c r="AQ122" i="7"/>
  <c r="AR122" i="7"/>
  <c r="AS122" i="7"/>
  <c r="AT122" i="7"/>
  <c r="AU122" i="7"/>
  <c r="AV122" i="7"/>
  <c r="AW122" i="7"/>
  <c r="AX122" i="7"/>
  <c r="AY122" i="7"/>
  <c r="AZ122" i="7"/>
  <c r="BA122" i="7"/>
  <c r="BB122" i="7"/>
  <c r="BC122" i="7"/>
  <c r="BD122" i="7"/>
  <c r="BE122" i="7"/>
  <c r="BF122" i="7"/>
  <c r="BG122" i="7"/>
  <c r="BH122" i="7"/>
  <c r="BI122" i="7"/>
  <c r="BJ122" i="7"/>
  <c r="BK122" i="7"/>
  <c r="L123" i="7"/>
  <c r="L139" i="7" s="1"/>
  <c r="M123" i="7"/>
  <c r="N123" i="7"/>
  <c r="N139" i="7" s="1"/>
  <c r="O123" i="7"/>
  <c r="O139" i="7" s="1"/>
  <c r="P123" i="7"/>
  <c r="Q123" i="7"/>
  <c r="R123" i="7"/>
  <c r="S123" i="7"/>
  <c r="T123" i="7"/>
  <c r="U123" i="7"/>
  <c r="V123" i="7"/>
  <c r="W123" i="7"/>
  <c r="X123" i="7"/>
  <c r="Y123" i="7"/>
  <c r="Z123" i="7"/>
  <c r="AA123" i="7"/>
  <c r="AB123" i="7"/>
  <c r="AC123" i="7"/>
  <c r="AD123" i="7"/>
  <c r="AE123" i="7"/>
  <c r="AF123" i="7"/>
  <c r="AG123" i="7"/>
  <c r="AH123" i="7"/>
  <c r="AI123" i="7"/>
  <c r="AJ123" i="7"/>
  <c r="AK123" i="7"/>
  <c r="AL123" i="7"/>
  <c r="AM123" i="7"/>
  <c r="AN123" i="7"/>
  <c r="AO123" i="7"/>
  <c r="AP123" i="7"/>
  <c r="AQ123" i="7"/>
  <c r="AR123" i="7"/>
  <c r="AS123" i="7"/>
  <c r="AT123" i="7"/>
  <c r="AU123" i="7"/>
  <c r="AV123" i="7"/>
  <c r="AW123" i="7"/>
  <c r="AX123" i="7"/>
  <c r="AY123" i="7"/>
  <c r="AZ123" i="7"/>
  <c r="BA123" i="7"/>
  <c r="BB123" i="7"/>
  <c r="BC123" i="7"/>
  <c r="BD123" i="7"/>
  <c r="BE123" i="7"/>
  <c r="BF123" i="7"/>
  <c r="BG123" i="7"/>
  <c r="BH123" i="7"/>
  <c r="BI123" i="7"/>
  <c r="BJ123" i="7"/>
  <c r="BK123" i="7"/>
  <c r="L124" i="7"/>
  <c r="M124" i="7"/>
  <c r="N124" i="7"/>
  <c r="N140" i="7" s="1"/>
  <c r="O124" i="7"/>
  <c r="O140" i="7" s="1"/>
  <c r="P124" i="7"/>
  <c r="Q124" i="7"/>
  <c r="R124" i="7"/>
  <c r="S124" i="7"/>
  <c r="T124" i="7"/>
  <c r="U124" i="7"/>
  <c r="V124" i="7"/>
  <c r="W124" i="7"/>
  <c r="X124" i="7"/>
  <c r="Y124" i="7"/>
  <c r="Z124" i="7"/>
  <c r="AA124" i="7"/>
  <c r="AB124" i="7"/>
  <c r="AC124" i="7"/>
  <c r="AD124" i="7"/>
  <c r="AE124" i="7"/>
  <c r="AF124" i="7"/>
  <c r="AG124" i="7"/>
  <c r="AH124" i="7"/>
  <c r="AI124" i="7"/>
  <c r="AJ124" i="7"/>
  <c r="AK124" i="7"/>
  <c r="AL124" i="7"/>
  <c r="AM124" i="7"/>
  <c r="AN124" i="7"/>
  <c r="AO124" i="7"/>
  <c r="AP124" i="7"/>
  <c r="AQ124" i="7"/>
  <c r="AR124" i="7"/>
  <c r="AS124" i="7"/>
  <c r="AT124" i="7"/>
  <c r="AU124" i="7"/>
  <c r="AV124" i="7"/>
  <c r="AW124" i="7"/>
  <c r="AX124" i="7"/>
  <c r="AY124" i="7"/>
  <c r="AZ124" i="7"/>
  <c r="BA124" i="7"/>
  <c r="BB124" i="7"/>
  <c r="BC124" i="7"/>
  <c r="BD124" i="7"/>
  <c r="BE124" i="7"/>
  <c r="BF124" i="7"/>
  <c r="BG124" i="7"/>
  <c r="BH124" i="7"/>
  <c r="BI124" i="7"/>
  <c r="BJ124" i="7"/>
  <c r="BK124" i="7"/>
  <c r="K112" i="7"/>
  <c r="K113" i="7"/>
  <c r="K114" i="7"/>
  <c r="K115" i="7"/>
  <c r="K116" i="7"/>
  <c r="K117" i="7"/>
  <c r="K118" i="7"/>
  <c r="K119" i="7"/>
  <c r="K120" i="7"/>
  <c r="K121" i="7"/>
  <c r="K122" i="7"/>
  <c r="K123" i="7"/>
  <c r="K124" i="7"/>
  <c r="K111" i="7"/>
  <c r="Q136" i="7"/>
  <c r="R136" i="7"/>
  <c r="S136" i="7"/>
  <c r="T136" i="7"/>
  <c r="U136" i="7"/>
  <c r="V136" i="7"/>
  <c r="W136" i="7"/>
  <c r="X136" i="7"/>
  <c r="Y136" i="7"/>
  <c r="Z136" i="7"/>
  <c r="AA136" i="7"/>
  <c r="AB136" i="7"/>
  <c r="AC136" i="7"/>
  <c r="AD136" i="7"/>
  <c r="AE136" i="7"/>
  <c r="AF136" i="7"/>
  <c r="AG136" i="7"/>
  <c r="AH136" i="7"/>
  <c r="AI136" i="7"/>
  <c r="AJ136" i="7"/>
  <c r="AK136" i="7"/>
  <c r="AL136" i="7"/>
  <c r="AM136" i="7"/>
  <c r="AN136" i="7"/>
  <c r="AO136" i="7"/>
  <c r="AP136" i="7"/>
  <c r="AQ136" i="7"/>
  <c r="AR136" i="7"/>
  <c r="AS136" i="7"/>
  <c r="AT136" i="7"/>
  <c r="AU136" i="7"/>
  <c r="AV136" i="7"/>
  <c r="AW136" i="7"/>
  <c r="AX136" i="7"/>
  <c r="AY136" i="7"/>
  <c r="AZ136" i="7"/>
  <c r="BA136" i="7"/>
  <c r="BB136" i="7"/>
  <c r="BC136" i="7"/>
  <c r="BD136" i="7"/>
  <c r="BE136" i="7"/>
  <c r="BF136" i="7"/>
  <c r="BG136" i="7"/>
  <c r="BH136" i="7"/>
  <c r="BI136" i="7"/>
  <c r="BJ136" i="7"/>
  <c r="BK136" i="7"/>
  <c r="Q141" i="7"/>
  <c r="R141" i="7"/>
  <c r="S141" i="7"/>
  <c r="T141" i="7"/>
  <c r="U141" i="7"/>
  <c r="V141" i="7"/>
  <c r="W141" i="7"/>
  <c r="X141" i="7"/>
  <c r="Y141" i="7"/>
  <c r="Z141" i="7"/>
  <c r="AA141" i="7"/>
  <c r="AB141" i="7"/>
  <c r="AC141" i="7"/>
  <c r="AD141" i="7"/>
  <c r="AE141" i="7"/>
  <c r="AF141" i="7"/>
  <c r="AG141" i="7"/>
  <c r="AH141" i="7"/>
  <c r="AI141" i="7"/>
  <c r="AJ141" i="7"/>
  <c r="AK141" i="7"/>
  <c r="AL141" i="7"/>
  <c r="AM141" i="7"/>
  <c r="AN141" i="7"/>
  <c r="AO141" i="7"/>
  <c r="AP141" i="7"/>
  <c r="AQ141" i="7"/>
  <c r="AR141" i="7"/>
  <c r="AS141" i="7"/>
  <c r="AT141" i="7"/>
  <c r="AU141" i="7"/>
  <c r="AV141" i="7"/>
  <c r="AW141" i="7"/>
  <c r="AX141" i="7"/>
  <c r="AY141" i="7"/>
  <c r="AZ141" i="7"/>
  <c r="BA141" i="7"/>
  <c r="BB141" i="7"/>
  <c r="BC141" i="7"/>
  <c r="BD141" i="7"/>
  <c r="BE141" i="7"/>
  <c r="BF141" i="7"/>
  <c r="BG141" i="7"/>
  <c r="BH141" i="7"/>
  <c r="BI141" i="7"/>
  <c r="BJ141" i="7"/>
  <c r="BK141" i="7"/>
  <c r="P136" i="7"/>
  <c r="P141" i="7"/>
  <c r="L127" i="7"/>
  <c r="M127" i="7"/>
  <c r="N127" i="7"/>
  <c r="O127" i="7"/>
  <c r="L128" i="7"/>
  <c r="M128" i="7"/>
  <c r="L129" i="7"/>
  <c r="M129" i="7"/>
  <c r="N129" i="7"/>
  <c r="O129" i="7"/>
  <c r="L130" i="7"/>
  <c r="M130" i="7"/>
  <c r="L131" i="7"/>
  <c r="M131" i="7"/>
  <c r="N131" i="7"/>
  <c r="L132" i="7"/>
  <c r="M132" i="7"/>
  <c r="L133" i="7"/>
  <c r="M133" i="7"/>
  <c r="N133" i="7"/>
  <c r="O133" i="7"/>
  <c r="L134" i="7"/>
  <c r="M134" i="7"/>
  <c r="L135" i="7"/>
  <c r="M135" i="7"/>
  <c r="N135" i="7"/>
  <c r="O135" i="7"/>
  <c r="L136" i="7"/>
  <c r="M136" i="7"/>
  <c r="N137" i="7"/>
  <c r="O137" i="7"/>
  <c r="L138" i="7"/>
  <c r="M138" i="7"/>
  <c r="M139" i="7"/>
  <c r="L140" i="7"/>
  <c r="M140" i="7"/>
  <c r="H160" i="6" l="1"/>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G160" i="6"/>
  <c r="I159" i="6"/>
  <c r="J159" i="6" s="1"/>
  <c r="K159" i="6" s="1"/>
  <c r="L159" i="6" s="1"/>
  <c r="M159" i="6" s="1"/>
  <c r="N159" i="6" s="1"/>
  <c r="O159" i="6" s="1"/>
  <c r="P159" i="6" s="1"/>
  <c r="Q159" i="6" s="1"/>
  <c r="R159" i="6" s="1"/>
  <c r="S159" i="6" s="1"/>
  <c r="T159" i="6" s="1"/>
  <c r="U159" i="6" s="1"/>
  <c r="V159" i="6" s="1"/>
  <c r="W159" i="6" s="1"/>
  <c r="X159" i="6" s="1"/>
  <c r="Y159" i="6" s="1"/>
  <c r="Z159" i="6" s="1"/>
  <c r="AA159" i="6" s="1"/>
  <c r="AB159" i="6" s="1"/>
  <c r="AC159" i="6" s="1"/>
  <c r="AD159" i="6" s="1"/>
  <c r="AE159" i="6" s="1"/>
  <c r="AF159" i="6" s="1"/>
  <c r="AG159" i="6" s="1"/>
  <c r="AH159" i="6" s="1"/>
  <c r="AI159" i="6" s="1"/>
  <c r="AJ159" i="6" s="1"/>
  <c r="AK159" i="6" s="1"/>
  <c r="AL159" i="6" s="1"/>
  <c r="AM159" i="6" s="1"/>
  <c r="AN159" i="6" s="1"/>
  <c r="AO159" i="6" s="1"/>
  <c r="AP159" i="6" s="1"/>
  <c r="AQ159" i="6" s="1"/>
  <c r="AR159" i="6" s="1"/>
  <c r="AS159" i="6" s="1"/>
  <c r="AT159" i="6" s="1"/>
  <c r="AU159" i="6" s="1"/>
  <c r="AV159" i="6" s="1"/>
  <c r="AW159" i="6" s="1"/>
  <c r="AX159" i="6" s="1"/>
  <c r="AY159" i="6" s="1"/>
  <c r="AZ159" i="6" s="1"/>
  <c r="BA159" i="6" s="1"/>
  <c r="BB159" i="6" s="1"/>
  <c r="H159" i="6"/>
  <c r="G159"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H72" i="6"/>
  <c r="I72" i="6"/>
  <c r="J72" i="6"/>
  <c r="K72" i="6"/>
  <c r="L72" i="6"/>
  <c r="M72" i="6"/>
  <c r="N72" i="6"/>
  <c r="O72" i="6"/>
  <c r="P72" i="6"/>
  <c r="Q72" i="6"/>
  <c r="R72" i="6"/>
  <c r="S72" i="6"/>
  <c r="T72" i="6"/>
  <c r="U72" i="6"/>
  <c r="V72" i="6"/>
  <c r="W72" i="6"/>
  <c r="X72" i="6"/>
  <c r="Y72" i="6"/>
  <c r="Z72" i="6"/>
  <c r="AA72" i="6"/>
  <c r="AB72" i="6"/>
  <c r="AC72" i="6"/>
  <c r="AD72" i="6"/>
  <c r="AE72" i="6"/>
  <c r="AF72" i="6"/>
  <c r="AG72" i="6"/>
  <c r="AH72" i="6"/>
  <c r="AI72" i="6"/>
  <c r="AJ72" i="6"/>
  <c r="AK72" i="6"/>
  <c r="AL72" i="6"/>
  <c r="AM72" i="6"/>
  <c r="AN72" i="6"/>
  <c r="AO72" i="6"/>
  <c r="AP72" i="6"/>
  <c r="AQ72" i="6"/>
  <c r="AR72" i="6"/>
  <c r="AS72" i="6"/>
  <c r="AT72" i="6"/>
  <c r="AU72" i="6"/>
  <c r="AV72" i="6"/>
  <c r="AW72" i="6"/>
  <c r="AX72" i="6"/>
  <c r="AY72" i="6"/>
  <c r="AZ72" i="6"/>
  <c r="BA72" i="6"/>
  <c r="BB72" i="6"/>
  <c r="H73" i="6"/>
  <c r="I73" i="6"/>
  <c r="J73" i="6"/>
  <c r="K73" i="6"/>
  <c r="L73" i="6"/>
  <c r="M73" i="6"/>
  <c r="N73" i="6"/>
  <c r="O73" i="6"/>
  <c r="P73" i="6"/>
  <c r="Q73" i="6"/>
  <c r="R73" i="6"/>
  <c r="S73" i="6"/>
  <c r="T73" i="6"/>
  <c r="U73" i="6"/>
  <c r="V73" i="6"/>
  <c r="W73" i="6"/>
  <c r="X73" i="6"/>
  <c r="Y73" i="6"/>
  <c r="Z73" i="6"/>
  <c r="AA73" i="6"/>
  <c r="AB73" i="6"/>
  <c r="AC73" i="6"/>
  <c r="AD73" i="6"/>
  <c r="AE73" i="6"/>
  <c r="AF73" i="6"/>
  <c r="AG73" i="6"/>
  <c r="AH73" i="6"/>
  <c r="AI73" i="6"/>
  <c r="AJ73" i="6"/>
  <c r="AK73" i="6"/>
  <c r="AL73" i="6"/>
  <c r="AM73" i="6"/>
  <c r="AN73" i="6"/>
  <c r="AO73" i="6"/>
  <c r="AP73" i="6"/>
  <c r="AQ73" i="6"/>
  <c r="AR73" i="6"/>
  <c r="AS73" i="6"/>
  <c r="AT73" i="6"/>
  <c r="AU73" i="6"/>
  <c r="AV73" i="6"/>
  <c r="AW73" i="6"/>
  <c r="AX73" i="6"/>
  <c r="AY73" i="6"/>
  <c r="AZ73" i="6"/>
  <c r="BA73" i="6"/>
  <c r="BB73"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H76" i="6"/>
  <c r="I76" i="6"/>
  <c r="J76" i="6"/>
  <c r="K76" i="6"/>
  <c r="L76" i="6"/>
  <c r="M76" i="6"/>
  <c r="N76" i="6"/>
  <c r="O76" i="6"/>
  <c r="P76" i="6"/>
  <c r="Q76" i="6"/>
  <c r="R76" i="6"/>
  <c r="S76" i="6"/>
  <c r="T76" i="6"/>
  <c r="U76" i="6"/>
  <c r="V76" i="6"/>
  <c r="W76" i="6"/>
  <c r="X76" i="6"/>
  <c r="Y76" i="6"/>
  <c r="Z76" i="6"/>
  <c r="AA76" i="6"/>
  <c r="AB76" i="6"/>
  <c r="AC76" i="6"/>
  <c r="AD76" i="6"/>
  <c r="AE76" i="6"/>
  <c r="AF76" i="6"/>
  <c r="AG76" i="6"/>
  <c r="AH76" i="6"/>
  <c r="AI76" i="6"/>
  <c r="AJ76" i="6"/>
  <c r="AK76" i="6"/>
  <c r="AL76" i="6"/>
  <c r="AM76" i="6"/>
  <c r="AN76" i="6"/>
  <c r="AO76" i="6"/>
  <c r="AP76" i="6"/>
  <c r="AQ76" i="6"/>
  <c r="AR76" i="6"/>
  <c r="AS76" i="6"/>
  <c r="AT76" i="6"/>
  <c r="AU76" i="6"/>
  <c r="AV76" i="6"/>
  <c r="AW76" i="6"/>
  <c r="AX76" i="6"/>
  <c r="AY76" i="6"/>
  <c r="AZ76" i="6"/>
  <c r="BA76" i="6"/>
  <c r="BB76" i="6"/>
  <c r="H77" i="6"/>
  <c r="I77" i="6"/>
  <c r="J77" i="6"/>
  <c r="K77" i="6"/>
  <c r="L77" i="6"/>
  <c r="M77" i="6"/>
  <c r="N77" i="6"/>
  <c r="O77" i="6"/>
  <c r="P77" i="6"/>
  <c r="Q77" i="6"/>
  <c r="R77" i="6"/>
  <c r="S77" i="6"/>
  <c r="T77" i="6"/>
  <c r="U77" i="6"/>
  <c r="V77" i="6"/>
  <c r="W77" i="6"/>
  <c r="X77" i="6"/>
  <c r="Y77" i="6"/>
  <c r="Z77" i="6"/>
  <c r="AA77" i="6"/>
  <c r="AB77" i="6"/>
  <c r="AC77" i="6"/>
  <c r="AD77" i="6"/>
  <c r="AE77" i="6"/>
  <c r="AF77" i="6"/>
  <c r="AG77" i="6"/>
  <c r="AH77" i="6"/>
  <c r="AI77" i="6"/>
  <c r="AJ77" i="6"/>
  <c r="AK77" i="6"/>
  <c r="AL77" i="6"/>
  <c r="AM77" i="6"/>
  <c r="AN77" i="6"/>
  <c r="AO77" i="6"/>
  <c r="AP77" i="6"/>
  <c r="AQ77" i="6"/>
  <c r="AR77" i="6"/>
  <c r="AS77" i="6"/>
  <c r="AT77" i="6"/>
  <c r="AU77" i="6"/>
  <c r="AV77" i="6"/>
  <c r="AW77" i="6"/>
  <c r="AX77" i="6"/>
  <c r="AY77" i="6"/>
  <c r="AZ77" i="6"/>
  <c r="BA77" i="6"/>
  <c r="BB77"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H84" i="6"/>
  <c r="I84" i="6"/>
  <c r="J84" i="6"/>
  <c r="K84" i="6"/>
  <c r="L84" i="6"/>
  <c r="M84" i="6"/>
  <c r="N84" i="6"/>
  <c r="O84" i="6"/>
  <c r="P84" i="6"/>
  <c r="Q84" i="6"/>
  <c r="R84" i="6"/>
  <c r="S84" i="6"/>
  <c r="T84" i="6"/>
  <c r="U84" i="6"/>
  <c r="V84" i="6"/>
  <c r="W84" i="6"/>
  <c r="X84" i="6"/>
  <c r="Y84" i="6"/>
  <c r="Z84" i="6"/>
  <c r="AA84" i="6"/>
  <c r="AB84" i="6"/>
  <c r="AC84" i="6"/>
  <c r="AD84" i="6"/>
  <c r="AE84" i="6"/>
  <c r="AF84" i="6"/>
  <c r="AG84" i="6"/>
  <c r="AH84" i="6"/>
  <c r="AI84" i="6"/>
  <c r="AJ84" i="6"/>
  <c r="AK84" i="6"/>
  <c r="AL84" i="6"/>
  <c r="AM84" i="6"/>
  <c r="AN84" i="6"/>
  <c r="AO84" i="6"/>
  <c r="AP84" i="6"/>
  <c r="AQ84" i="6"/>
  <c r="AR84" i="6"/>
  <c r="AS84" i="6"/>
  <c r="AT84" i="6"/>
  <c r="AU84" i="6"/>
  <c r="AV84" i="6"/>
  <c r="AW84" i="6"/>
  <c r="AX84" i="6"/>
  <c r="AY84" i="6"/>
  <c r="AZ84" i="6"/>
  <c r="BA84" i="6"/>
  <c r="BB84" i="6"/>
  <c r="G72" i="6"/>
  <c r="G73" i="6"/>
  <c r="G74" i="6"/>
  <c r="G76" i="6"/>
  <c r="G77" i="6"/>
  <c r="G79" i="6"/>
  <c r="G84" i="6"/>
  <c r="G96" i="6" l="1"/>
  <c r="BB96" i="6"/>
  <c r="BB46" i="6" s="1"/>
  <c r="N96" i="6"/>
  <c r="X96" i="6" s="1"/>
  <c r="AE96" i="6" l="1"/>
  <c r="W96" i="6"/>
  <c r="AU96" i="6"/>
  <c r="AM96" i="6"/>
  <c r="AT96" i="6"/>
  <c r="AS96" i="6"/>
  <c r="AL96" i="6"/>
  <c r="U96" i="6"/>
  <c r="AB96" i="6"/>
  <c r="V96" i="6"/>
  <c r="AI96" i="6"/>
  <c r="AK96" i="6"/>
  <c r="AR96" i="6"/>
  <c r="S96" i="6"/>
  <c r="R96" i="6"/>
  <c r="AD96" i="6"/>
  <c r="AJ96" i="6"/>
  <c r="AQ96" i="6"/>
  <c r="AX96" i="6"/>
  <c r="AH96" i="6"/>
  <c r="Z96" i="6"/>
  <c r="AW96" i="6"/>
  <c r="AO96" i="6"/>
  <c r="AG96" i="6"/>
  <c r="Y96" i="6"/>
  <c r="Q96" i="6"/>
  <c r="BA96" i="6"/>
  <c r="AC96" i="6"/>
  <c r="AZ96" i="6"/>
  <c r="T96" i="6"/>
  <c r="AY96" i="6"/>
  <c r="AA96" i="6"/>
  <c r="AP96" i="6"/>
  <c r="AV96" i="6"/>
  <c r="AN96" i="6"/>
  <c r="AF96" i="6"/>
  <c r="O96" i="6"/>
  <c r="P96" i="6"/>
  <c r="BB63" i="6"/>
  <c r="BB29" i="6" s="1"/>
  <c r="BK65" i="7" s="1"/>
  <c r="L155" i="8"/>
  <c r="M155" i="8"/>
  <c r="N155" i="8"/>
  <c r="O155" i="8"/>
  <c r="P155" i="8"/>
  <c r="Q155" i="8"/>
  <c r="R155" i="8"/>
  <c r="L157" i="8"/>
  <c r="M157" i="8"/>
  <c r="N157" i="8"/>
  <c r="O157" i="8"/>
  <c r="P157" i="8"/>
  <c r="Q157" i="8"/>
  <c r="R157" i="8"/>
  <c r="L158" i="8"/>
  <c r="M158" i="8"/>
  <c r="N158" i="8"/>
  <c r="O158" i="8"/>
  <c r="P158" i="8"/>
  <c r="Q158" i="8"/>
  <c r="R158" i="8"/>
  <c r="L159" i="8"/>
  <c r="M159" i="8"/>
  <c r="N159" i="8"/>
  <c r="O159" i="8"/>
  <c r="P159" i="8"/>
  <c r="Q159" i="8"/>
  <c r="R159" i="8"/>
  <c r="L160" i="8"/>
  <c r="M160" i="8"/>
  <c r="N160" i="8"/>
  <c r="O160" i="8"/>
  <c r="P160" i="8"/>
  <c r="Q160" i="8"/>
  <c r="R160" i="8"/>
  <c r="L161" i="8"/>
  <c r="M161" i="8"/>
  <c r="N161" i="8"/>
  <c r="O161" i="8"/>
  <c r="P161" i="8"/>
  <c r="Q161" i="8"/>
  <c r="R161" i="8"/>
  <c r="L162" i="8"/>
  <c r="M162" i="8"/>
  <c r="N162" i="8"/>
  <c r="O162" i="8"/>
  <c r="P162" i="8"/>
  <c r="Q162" i="8"/>
  <c r="R162" i="8"/>
  <c r="L163" i="8"/>
  <c r="M163" i="8"/>
  <c r="N163" i="8"/>
  <c r="O163" i="8"/>
  <c r="P163" i="8"/>
  <c r="Q163" i="8"/>
  <c r="R163" i="8"/>
  <c r="L164" i="8"/>
  <c r="M164" i="8"/>
  <c r="N164" i="8"/>
  <c r="O164" i="8"/>
  <c r="P164" i="8"/>
  <c r="Q164" i="8"/>
  <c r="R164" i="8"/>
  <c r="M165" i="8"/>
  <c r="N165" i="8"/>
  <c r="O165" i="8"/>
  <c r="P165" i="8"/>
  <c r="Q165" i="8"/>
  <c r="R165" i="8"/>
  <c r="L167" i="8"/>
  <c r="M167" i="8"/>
  <c r="N167" i="8"/>
  <c r="O167" i="8"/>
  <c r="P167" i="8"/>
  <c r="Q167" i="8"/>
  <c r="R167" i="8"/>
  <c r="H155" i="8"/>
  <c r="I155" i="8"/>
  <c r="J155" i="8"/>
  <c r="K155" i="8"/>
  <c r="H156" i="8"/>
  <c r="I156" i="8"/>
  <c r="J156" i="8"/>
  <c r="K156" i="8"/>
  <c r="H157" i="8"/>
  <c r="I157" i="8"/>
  <c r="J157" i="8"/>
  <c r="K157" i="8"/>
  <c r="H158" i="8"/>
  <c r="I158" i="8"/>
  <c r="J158" i="8"/>
  <c r="K158" i="8"/>
  <c r="H159" i="8"/>
  <c r="I159" i="8"/>
  <c r="J159" i="8"/>
  <c r="K159" i="8"/>
  <c r="H160" i="8"/>
  <c r="I160" i="8"/>
  <c r="J160" i="8"/>
  <c r="K160" i="8"/>
  <c r="H161" i="8"/>
  <c r="I161" i="8"/>
  <c r="J161" i="8"/>
  <c r="K161" i="8"/>
  <c r="H162" i="8"/>
  <c r="I162" i="8"/>
  <c r="J162" i="8"/>
  <c r="K162" i="8"/>
  <c r="H163" i="8"/>
  <c r="I163" i="8"/>
  <c r="J163" i="8"/>
  <c r="K163" i="8"/>
  <c r="H164" i="8"/>
  <c r="I164" i="8"/>
  <c r="J164" i="8"/>
  <c r="K164" i="8"/>
  <c r="H165" i="8"/>
  <c r="I165" i="8"/>
  <c r="J165" i="8"/>
  <c r="K165" i="8"/>
  <c r="H167" i="8"/>
  <c r="I167" i="8"/>
  <c r="J167" i="8"/>
  <c r="K167" i="8"/>
  <c r="G156" i="8"/>
  <c r="G157" i="8"/>
  <c r="G158" i="8"/>
  <c r="G159" i="8"/>
  <c r="G160" i="8"/>
  <c r="G161" i="8"/>
  <c r="G162" i="8"/>
  <c r="G163" i="8"/>
  <c r="G164" i="8"/>
  <c r="G165" i="8"/>
  <c r="G167" i="8"/>
  <c r="H168" i="8"/>
  <c r="I168" i="8"/>
  <c r="J168" i="8"/>
  <c r="K168" i="8"/>
  <c r="G168" i="8"/>
  <c r="C238" i="8" l="1"/>
  <c r="C118" i="8"/>
  <c r="C119" i="8"/>
  <c r="C120" i="8"/>
  <c r="C121" i="8"/>
  <c r="C122" i="8"/>
  <c r="C123" i="8"/>
  <c r="C124" i="8"/>
  <c r="C125" i="8"/>
  <c r="C126" i="8"/>
  <c r="C127" i="8"/>
  <c r="C128" i="8"/>
  <c r="C129" i="8"/>
  <c r="C117" i="8"/>
  <c r="R13" i="9"/>
  <c r="T127" i="8" s="1"/>
  <c r="G14" i="6" s="1"/>
  <c r="R2" i="9"/>
  <c r="T116" i="8" s="1"/>
  <c r="S155" i="8"/>
  <c r="G3" i="6" l="1"/>
  <c r="H3" i="6" s="1"/>
  <c r="I3" i="6" s="1"/>
  <c r="J3" i="6" s="1"/>
  <c r="K3" i="6" s="1"/>
  <c r="L3" i="6" s="1"/>
  <c r="M3" i="6" s="1"/>
  <c r="N3" i="6" s="1"/>
  <c r="O3" i="6" s="1"/>
  <c r="P3" i="6" s="1"/>
  <c r="Q3" i="6" s="1"/>
  <c r="R3" i="6" s="1"/>
  <c r="S3" i="6" s="1"/>
  <c r="T3" i="6" s="1"/>
  <c r="U3" i="6" s="1"/>
  <c r="V3" i="6" s="1"/>
  <c r="U116" i="8"/>
  <c r="V116" i="8" s="1"/>
  <c r="W116" i="8" s="1"/>
  <c r="X116" i="8" s="1"/>
  <c r="Y116" i="8" s="1"/>
  <c r="Z116" i="8" s="1"/>
  <c r="AA116" i="8" s="1"/>
  <c r="AB116" i="8" s="1"/>
  <c r="AC116" i="8" s="1"/>
  <c r="AD116" i="8" s="1"/>
  <c r="AE116" i="8" s="1"/>
  <c r="AF116" i="8" s="1"/>
  <c r="AG116" i="8" s="1"/>
  <c r="AH116" i="8" s="1"/>
  <c r="AI116" i="8" s="1"/>
  <c r="AJ116" i="8" s="1"/>
  <c r="AK116" i="8" s="1"/>
  <c r="AL116" i="8" s="1"/>
  <c r="AM116" i="8" s="1"/>
  <c r="AN116" i="8" s="1"/>
  <c r="AO116" i="8" s="1"/>
  <c r="AP116" i="8" s="1"/>
  <c r="AQ116" i="8" s="1"/>
  <c r="AR116" i="8" s="1"/>
  <c r="AS116" i="8" s="1"/>
  <c r="AT116" i="8" s="1"/>
  <c r="AU116" i="8" s="1"/>
  <c r="AV116" i="8" s="1"/>
  <c r="AW116" i="8" s="1"/>
  <c r="AX116" i="8" s="1"/>
  <c r="AY116" i="8" s="1"/>
  <c r="AZ116" i="8" s="1"/>
  <c r="BA116" i="8" s="1"/>
  <c r="BB116" i="8" s="1"/>
  <c r="BC116" i="8" s="1"/>
  <c r="BD116" i="8" s="1"/>
  <c r="BE116" i="8" s="1"/>
  <c r="BF116" i="8" s="1"/>
  <c r="BG116" i="8" s="1"/>
  <c r="BH116" i="8" s="1"/>
  <c r="BI116" i="8" s="1"/>
  <c r="BJ116" i="8" s="1"/>
  <c r="BK116" i="8" s="1"/>
  <c r="BL116" i="8" s="1"/>
  <c r="BM116" i="8" s="1"/>
  <c r="BN116" i="8" s="1"/>
  <c r="BO116" i="8" s="1"/>
  <c r="S168" i="8"/>
  <c r="R151" i="8"/>
  <c r="Q151" i="8"/>
  <c r="P151" i="8"/>
  <c r="O151" i="8"/>
  <c r="N151" i="8"/>
  <c r="M151" i="8"/>
  <c r="L151" i="8"/>
  <c r="K151" i="8"/>
  <c r="K166" i="8" s="1"/>
  <c r="J151" i="8"/>
  <c r="J166" i="8" s="1"/>
  <c r="I186" i="8"/>
  <c r="I151" i="8"/>
  <c r="I166" i="8" s="1"/>
  <c r="H151" i="8"/>
  <c r="H166" i="8" s="1"/>
  <c r="G151" i="8"/>
  <c r="G166" i="8" s="1"/>
  <c r="S93" i="8" l="1"/>
  <c r="S53" i="8"/>
  <c r="S19" i="8"/>
  <c r="Q93" i="8"/>
  <c r="Q53" i="8"/>
  <c r="Q19" i="8"/>
  <c r="R93" i="8"/>
  <c r="R53" i="8"/>
  <c r="R19" i="8"/>
  <c r="P93" i="8"/>
  <c r="P53" i="8"/>
  <c r="P19" i="8"/>
  <c r="O93" i="8"/>
  <c r="O53" i="8"/>
  <c r="O19" i="8"/>
  <c r="K93" i="8" l="1"/>
  <c r="K53" i="8"/>
  <c r="K19" i="8"/>
  <c r="J93" i="8"/>
  <c r="J53" i="8"/>
  <c r="J19" i="8"/>
  <c r="H93" i="8"/>
  <c r="H53" i="8"/>
  <c r="H19" i="8"/>
  <c r="I93" i="8"/>
  <c r="I53" i="8"/>
  <c r="I19" i="8"/>
  <c r="G93" i="8"/>
  <c r="G53" i="8"/>
  <c r="G19" i="8"/>
  <c r="N93" i="8"/>
  <c r="N53" i="8"/>
  <c r="N19" i="8"/>
  <c r="L93" i="8" l="1"/>
  <c r="L53" i="8"/>
  <c r="L19" i="8"/>
  <c r="M93" i="8"/>
  <c r="M53" i="8"/>
  <c r="M19" i="8"/>
  <c r="R15" i="9" l="1"/>
  <c r="T129" i="8" s="1"/>
  <c r="G16" i="6" s="1"/>
  <c r="R16" i="9"/>
  <c r="T238" i="8" s="1"/>
  <c r="G17" i="6" s="1"/>
  <c r="R14" i="9"/>
  <c r="T128" i="8" s="1"/>
  <c r="G15" i="6" s="1"/>
  <c r="R12" i="9"/>
  <c r="T126" i="8" s="1"/>
  <c r="G13" i="6" s="1"/>
  <c r="R11" i="9"/>
  <c r="T125" i="8" s="1"/>
  <c r="G12" i="6" s="1"/>
  <c r="R10" i="9"/>
  <c r="T124" i="8" s="1"/>
  <c r="G11" i="6" s="1"/>
  <c r="R9" i="9"/>
  <c r="T123" i="8" s="1"/>
  <c r="G10" i="6" s="1"/>
  <c r="R8" i="9"/>
  <c r="T122" i="8" s="1"/>
  <c r="G9" i="6" s="1"/>
  <c r="R7" i="9"/>
  <c r="T121" i="8" s="1"/>
  <c r="G8" i="6" s="1"/>
  <c r="R6" i="9"/>
  <c r="T120" i="8" s="1"/>
  <c r="G7" i="6" s="1"/>
  <c r="R5" i="9"/>
  <c r="T119" i="8" s="1"/>
  <c r="R4" i="9"/>
  <c r="T118" i="8" s="1"/>
  <c r="G5" i="6" s="1"/>
  <c r="R3" i="9"/>
  <c r="T117" i="8" s="1"/>
  <c r="G4" i="6" s="1"/>
  <c r="H4" i="6" s="1"/>
  <c r="I4" i="6" s="1"/>
  <c r="J4" i="6" s="1"/>
  <c r="K4" i="6" s="1"/>
  <c r="L4" i="6" s="1"/>
  <c r="M4" i="6" s="1"/>
  <c r="N4" i="6" s="1"/>
  <c r="O4" i="6" s="1"/>
  <c r="P4" i="6" s="1"/>
  <c r="Q4" i="6" s="1"/>
  <c r="R4" i="6" s="1"/>
  <c r="S4" i="6" s="1"/>
  <c r="T4" i="6" s="1"/>
  <c r="U4" i="6" s="1"/>
  <c r="V4" i="6" s="1"/>
  <c r="W4" i="6" s="1"/>
  <c r="X4" i="6" s="1"/>
  <c r="Y4" i="6" s="1"/>
  <c r="Z4" i="6" s="1"/>
  <c r="AA4" i="6" s="1"/>
  <c r="AB4" i="6" s="1"/>
  <c r="AC4" i="6" s="1"/>
  <c r="AD4" i="6" s="1"/>
  <c r="AE4" i="6" s="1"/>
  <c r="AF4" i="6" s="1"/>
  <c r="AG4" i="6" s="1"/>
  <c r="AH4" i="6" s="1"/>
  <c r="AI4" i="6" s="1"/>
  <c r="AJ4" i="6" s="1"/>
  <c r="AK4" i="6" s="1"/>
  <c r="AL4" i="6" s="1"/>
  <c r="AM4" i="6" s="1"/>
  <c r="AN4" i="6" s="1"/>
  <c r="AO4" i="6" s="1"/>
  <c r="AP4" i="6" s="1"/>
  <c r="AQ4" i="6" s="1"/>
  <c r="AR4" i="6" s="1"/>
  <c r="AS4" i="6" s="1"/>
  <c r="AT4" i="6" s="1"/>
  <c r="AU4" i="6" s="1"/>
  <c r="AV4" i="6" s="1"/>
  <c r="AW4" i="6" s="1"/>
  <c r="AX4" i="6" s="1"/>
  <c r="AY4" i="6" s="1"/>
  <c r="AZ4" i="6" s="1"/>
  <c r="BA4" i="6" s="1"/>
  <c r="BB4" i="6" s="1"/>
  <c r="O5" i="6" l="1"/>
  <c r="AV5" i="6"/>
  <c r="V5" i="6"/>
  <c r="AN5" i="6"/>
  <c r="H5" i="6"/>
  <c r="AD5" i="6"/>
  <c r="BA5" i="6"/>
  <c r="AS5" i="6"/>
  <c r="AK5" i="6"/>
  <c r="AC5" i="6"/>
  <c r="U5" i="6"/>
  <c r="M5" i="6"/>
  <c r="P5" i="6"/>
  <c r="AT5" i="6"/>
  <c r="AZ5" i="6"/>
  <c r="AR5" i="6"/>
  <c r="AJ5" i="6"/>
  <c r="AB5" i="6"/>
  <c r="T5" i="6"/>
  <c r="L5" i="6"/>
  <c r="X5" i="6"/>
  <c r="AL5" i="6"/>
  <c r="N5" i="6"/>
  <c r="AY5" i="6"/>
  <c r="AQ5" i="6"/>
  <c r="AI5" i="6"/>
  <c r="AA5" i="6"/>
  <c r="S5" i="6"/>
  <c r="K5" i="6"/>
  <c r="AX5" i="6"/>
  <c r="Z5" i="6"/>
  <c r="AP5" i="6"/>
  <c r="AH5" i="6"/>
  <c r="R5" i="6"/>
  <c r="J5" i="6"/>
  <c r="AW5" i="6"/>
  <c r="AO5" i="6"/>
  <c r="AG5" i="6"/>
  <c r="Y5" i="6"/>
  <c r="Q5" i="6"/>
  <c r="I5" i="6"/>
  <c r="AF5" i="6"/>
  <c r="AU5" i="6"/>
  <c r="AM5" i="6"/>
  <c r="AE5" i="6"/>
  <c r="W5" i="6"/>
  <c r="G6" i="6"/>
  <c r="U119" i="8"/>
  <c r="V119" i="8" s="1"/>
  <c r="W119" i="8" s="1"/>
  <c r="X119" i="8" s="1"/>
  <c r="Y119" i="8" s="1"/>
  <c r="Z119" i="8" s="1"/>
  <c r="AA119" i="8" s="1"/>
  <c r="AB119" i="8" s="1"/>
  <c r="AC119" i="8" s="1"/>
  <c r="AD119" i="8" s="1"/>
  <c r="AE119" i="8" s="1"/>
  <c r="AF119" i="8" s="1"/>
  <c r="AG119" i="8" s="1"/>
  <c r="AH119" i="8" s="1"/>
  <c r="AI119" i="8" s="1"/>
  <c r="AJ119" i="8" s="1"/>
  <c r="AK119" i="8" s="1"/>
  <c r="AL119" i="8" s="1"/>
  <c r="AM119" i="8" s="1"/>
  <c r="AN119" i="8" s="1"/>
  <c r="AO119" i="8" s="1"/>
  <c r="AP119" i="8" s="1"/>
  <c r="AQ119" i="8" s="1"/>
  <c r="AR119" i="8" s="1"/>
  <c r="AS119" i="8" s="1"/>
  <c r="AT119" i="8" s="1"/>
  <c r="AU119" i="8" s="1"/>
  <c r="AV119" i="8" s="1"/>
  <c r="AW119" i="8" s="1"/>
  <c r="AX119" i="8" s="1"/>
  <c r="AY119" i="8" s="1"/>
  <c r="AZ119" i="8" s="1"/>
  <c r="BA119" i="8" s="1"/>
  <c r="BB119" i="8" s="1"/>
  <c r="BC119" i="8" s="1"/>
  <c r="BD119" i="8" s="1"/>
  <c r="BE119" i="8" s="1"/>
  <c r="BF119" i="8" s="1"/>
  <c r="BG119" i="8" s="1"/>
  <c r="BH119" i="8" s="1"/>
  <c r="BI119" i="8" s="1"/>
  <c r="BJ119" i="8" s="1"/>
  <c r="BK119" i="8" s="1"/>
  <c r="BL119" i="8" s="1"/>
  <c r="BM119" i="8" s="1"/>
  <c r="BN119" i="8" s="1"/>
  <c r="BO119" i="8" s="1"/>
  <c r="L7" i="6"/>
  <c r="M7" i="6"/>
  <c r="U7" i="6"/>
  <c r="AC7" i="6"/>
  <c r="AK7" i="6"/>
  <c r="AS7" i="6"/>
  <c r="BA7" i="6"/>
  <c r="AY7" i="6"/>
  <c r="AI7" i="6"/>
  <c r="AA7" i="6"/>
  <c r="S7" i="6"/>
  <c r="AX7" i="6"/>
  <c r="AP7" i="6"/>
  <c r="AH7" i="6"/>
  <c r="Z7" i="6"/>
  <c r="R7" i="6"/>
  <c r="J7" i="6"/>
  <c r="AQ7" i="6"/>
  <c r="K7" i="6"/>
  <c r="AW7" i="6"/>
  <c r="AO7" i="6"/>
  <c r="AG7" i="6"/>
  <c r="Y7" i="6"/>
  <c r="Q7" i="6"/>
  <c r="I7" i="6"/>
  <c r="AV7" i="6"/>
  <c r="AN7" i="6"/>
  <c r="AF7" i="6"/>
  <c r="X7" i="6"/>
  <c r="P7" i="6"/>
  <c r="AU7" i="6"/>
  <c r="AE7" i="6"/>
  <c r="O7" i="6"/>
  <c r="AM7" i="6"/>
  <c r="W7" i="6"/>
  <c r="H7" i="6"/>
  <c r="AT7" i="6"/>
  <c r="AL7" i="6"/>
  <c r="AD7" i="6"/>
  <c r="V7" i="6"/>
  <c r="N7" i="6"/>
  <c r="AZ7" i="6"/>
  <c r="AR7" i="6"/>
  <c r="AJ7" i="6"/>
  <c r="AB7" i="6"/>
  <c r="T7" i="6"/>
  <c r="J8" i="6"/>
  <c r="I8" i="6"/>
  <c r="K8" i="6"/>
  <c r="M8" i="6"/>
  <c r="Q8" i="6"/>
  <c r="S8" i="6"/>
  <c r="U8" i="6"/>
  <c r="Y8" i="6"/>
  <c r="AA8" i="6"/>
  <c r="AC8" i="6"/>
  <c r="AG8" i="6"/>
  <c r="AI8" i="6"/>
  <c r="AK8" i="6"/>
  <c r="AO8" i="6"/>
  <c r="AQ8" i="6"/>
  <c r="AS8" i="6"/>
  <c r="AW8" i="6"/>
  <c r="AY8" i="6"/>
  <c r="BA8" i="6"/>
  <c r="AV8" i="6"/>
  <c r="AN8" i="6"/>
  <c r="AF8" i="6"/>
  <c r="X8" i="6"/>
  <c r="P8" i="6"/>
  <c r="AU8" i="6"/>
  <c r="AM8" i="6"/>
  <c r="AE8" i="6"/>
  <c r="W8" i="6"/>
  <c r="O8" i="6"/>
  <c r="H8" i="6"/>
  <c r="AT8" i="6"/>
  <c r="AL8" i="6"/>
  <c r="AD8" i="6"/>
  <c r="V8" i="6"/>
  <c r="N8" i="6"/>
  <c r="AZ8" i="6"/>
  <c r="AR8" i="6"/>
  <c r="AJ8" i="6"/>
  <c r="AB8" i="6"/>
  <c r="T8" i="6"/>
  <c r="L8" i="6"/>
  <c r="AX8" i="6"/>
  <c r="AP8" i="6"/>
  <c r="AH8" i="6"/>
  <c r="Z8" i="6"/>
  <c r="R8" i="6"/>
  <c r="L9" i="6"/>
  <c r="O9" i="6"/>
  <c r="S9" i="6"/>
  <c r="U9" i="6"/>
  <c r="W9" i="6"/>
  <c r="AA9" i="6"/>
  <c r="AC9" i="6"/>
  <c r="AE9" i="6"/>
  <c r="AI9" i="6"/>
  <c r="AK9" i="6"/>
  <c r="AM9" i="6"/>
  <c r="AQ9" i="6"/>
  <c r="AS9" i="6"/>
  <c r="AU9" i="6"/>
  <c r="AY9" i="6"/>
  <c r="BA9" i="6"/>
  <c r="K9" i="6"/>
  <c r="H9" i="6"/>
  <c r="AX9" i="6"/>
  <c r="AP9" i="6"/>
  <c r="AH9" i="6"/>
  <c r="Z9" i="6"/>
  <c r="R9" i="6"/>
  <c r="J9" i="6"/>
  <c r="AW9" i="6"/>
  <c r="AO9" i="6"/>
  <c r="AG9" i="6"/>
  <c r="Y9" i="6"/>
  <c r="Q9" i="6"/>
  <c r="I9" i="6"/>
  <c r="AV9" i="6"/>
  <c r="AN9" i="6"/>
  <c r="AF9" i="6"/>
  <c r="X9" i="6"/>
  <c r="P9" i="6"/>
  <c r="AT9" i="6"/>
  <c r="AL9" i="6"/>
  <c r="AD9" i="6"/>
  <c r="V9" i="6"/>
  <c r="N9" i="6"/>
  <c r="M9" i="6"/>
  <c r="AZ9" i="6"/>
  <c r="AR9" i="6"/>
  <c r="AJ9" i="6"/>
  <c r="AB9" i="6"/>
  <c r="T9" i="6"/>
  <c r="M12" i="6"/>
  <c r="N12" i="6"/>
  <c r="N46" i="6" s="1"/>
  <c r="V12" i="6"/>
  <c r="V46" i="6" s="1"/>
  <c r="AD12" i="6"/>
  <c r="AD46" i="6" s="1"/>
  <c r="AL12" i="6"/>
  <c r="AL46" i="6" s="1"/>
  <c r="AT12" i="6"/>
  <c r="AT46" i="6" s="1"/>
  <c r="AZ12" i="6"/>
  <c r="AZ46" i="6" s="1"/>
  <c r="AR12" i="6"/>
  <c r="AR46" i="6" s="1"/>
  <c r="AJ12" i="6"/>
  <c r="AJ46" i="6" s="1"/>
  <c r="AB12" i="6"/>
  <c r="AB46" i="6" s="1"/>
  <c r="T12" i="6"/>
  <c r="T46" i="6" s="1"/>
  <c r="L12" i="6"/>
  <c r="AY12" i="6"/>
  <c r="AY46" i="6" s="1"/>
  <c r="AQ12" i="6"/>
  <c r="AQ46" i="6" s="1"/>
  <c r="AI12" i="6"/>
  <c r="AI46" i="6" s="1"/>
  <c r="AA12" i="6"/>
  <c r="AA46" i="6" s="1"/>
  <c r="S12" i="6"/>
  <c r="S46" i="6" s="1"/>
  <c r="K12" i="6"/>
  <c r="AX12" i="6"/>
  <c r="AX46" i="6" s="1"/>
  <c r="AP12" i="6"/>
  <c r="AP46" i="6" s="1"/>
  <c r="AH12" i="6"/>
  <c r="AH46" i="6" s="1"/>
  <c r="Z12" i="6"/>
  <c r="Z46" i="6" s="1"/>
  <c r="R12" i="6"/>
  <c r="R46" i="6" s="1"/>
  <c r="J12" i="6"/>
  <c r="AW12" i="6"/>
  <c r="AW46" i="6" s="1"/>
  <c r="AO12" i="6"/>
  <c r="AO46" i="6" s="1"/>
  <c r="AG12" i="6"/>
  <c r="AG46" i="6" s="1"/>
  <c r="Y12" i="6"/>
  <c r="Y46" i="6" s="1"/>
  <c r="Q12" i="6"/>
  <c r="Q46" i="6" s="1"/>
  <c r="I12" i="6"/>
  <c r="AV12" i="6"/>
  <c r="AV46" i="6" s="1"/>
  <c r="AN12" i="6"/>
  <c r="AN46" i="6" s="1"/>
  <c r="AF12" i="6"/>
  <c r="AF46" i="6" s="1"/>
  <c r="X12" i="6"/>
  <c r="X46" i="6" s="1"/>
  <c r="P12" i="6"/>
  <c r="P46" i="6" s="1"/>
  <c r="AU12" i="6"/>
  <c r="AU46" i="6" s="1"/>
  <c r="AM12" i="6"/>
  <c r="AM46" i="6" s="1"/>
  <c r="AE12" i="6"/>
  <c r="AE46" i="6" s="1"/>
  <c r="W12" i="6"/>
  <c r="W46" i="6" s="1"/>
  <c r="O12" i="6"/>
  <c r="O46" i="6" s="1"/>
  <c r="H12" i="6"/>
  <c r="BA12" i="6"/>
  <c r="BA46" i="6" s="1"/>
  <c r="AS12" i="6"/>
  <c r="AS46" i="6" s="1"/>
  <c r="AK12" i="6"/>
  <c r="AK46" i="6" s="1"/>
  <c r="AC12" i="6"/>
  <c r="AC46" i="6" s="1"/>
  <c r="U12" i="6"/>
  <c r="U46" i="6" s="1"/>
  <c r="P13" i="6"/>
  <c r="I13" i="6"/>
  <c r="K13" i="6"/>
  <c r="O13" i="6"/>
  <c r="Q13" i="6"/>
  <c r="S13" i="6"/>
  <c r="W13" i="6"/>
  <c r="Y13" i="6"/>
  <c r="AA13" i="6"/>
  <c r="AE13" i="6"/>
  <c r="AG13" i="6"/>
  <c r="AI13" i="6"/>
  <c r="AM13" i="6"/>
  <c r="AO13" i="6"/>
  <c r="AQ13" i="6"/>
  <c r="AU13" i="6"/>
  <c r="AW13" i="6"/>
  <c r="AY13" i="6"/>
  <c r="H13" i="6"/>
  <c r="AT13" i="6"/>
  <c r="AL13" i="6"/>
  <c r="AD13" i="6"/>
  <c r="V13" i="6"/>
  <c r="N13" i="6"/>
  <c r="BA13" i="6"/>
  <c r="AS13" i="6"/>
  <c r="AK13" i="6"/>
  <c r="AC13" i="6"/>
  <c r="U13" i="6"/>
  <c r="M13" i="6"/>
  <c r="AZ13" i="6"/>
  <c r="AR13" i="6"/>
  <c r="AJ13" i="6"/>
  <c r="AB13" i="6"/>
  <c r="T13" i="6"/>
  <c r="L13" i="6"/>
  <c r="AX13" i="6"/>
  <c r="AP13" i="6"/>
  <c r="AH13" i="6"/>
  <c r="Z13" i="6"/>
  <c r="R13" i="6"/>
  <c r="J13" i="6"/>
  <c r="AV13" i="6"/>
  <c r="AN13" i="6"/>
  <c r="AF13" i="6"/>
  <c r="X13" i="6"/>
  <c r="S236" i="8"/>
  <c r="S238" i="8" s="1"/>
  <c r="U238" i="8" s="1"/>
  <c r="S103" i="8"/>
  <c r="S99" i="8"/>
  <c r="H95" i="8"/>
  <c r="I95" i="8"/>
  <c r="J95" i="8"/>
  <c r="K95" i="8"/>
  <c r="L95" i="8"/>
  <c r="M95" i="8"/>
  <c r="N95" i="8"/>
  <c r="O95" i="8"/>
  <c r="P95" i="8"/>
  <c r="Q95" i="8"/>
  <c r="R95" i="8"/>
  <c r="G95" i="8"/>
  <c r="S98" i="8"/>
  <c r="S100" i="8"/>
  <c r="S101" i="8"/>
  <c r="S102" i="8"/>
  <c r="S104" i="8"/>
  <c r="S105" i="8"/>
  <c r="S106" i="8"/>
  <c r="S107" i="8"/>
  <c r="S108" i="8"/>
  <c r="S109" i="8"/>
  <c r="S219" i="8" s="1"/>
  <c r="S110" i="8"/>
  <c r="S71" i="8"/>
  <c r="S58" i="8"/>
  <c r="S64" i="8"/>
  <c r="K55" i="8"/>
  <c r="L55" i="8"/>
  <c r="M55" i="8"/>
  <c r="N55" i="8"/>
  <c r="O55" i="8"/>
  <c r="P55" i="8"/>
  <c r="Q55" i="8"/>
  <c r="R55" i="8"/>
  <c r="S59" i="8"/>
  <c r="S60" i="8"/>
  <c r="S61" i="8"/>
  <c r="S62" i="8"/>
  <c r="S63" i="8"/>
  <c r="S65" i="8"/>
  <c r="S66" i="8"/>
  <c r="S67" i="8"/>
  <c r="S68" i="8"/>
  <c r="S69" i="8"/>
  <c r="S70" i="8"/>
  <c r="S24" i="8"/>
  <c r="O221" i="7" s="1"/>
  <c r="O237" i="7" s="1"/>
  <c r="S25" i="8"/>
  <c r="O222" i="7" s="1"/>
  <c r="O238" i="7" s="1"/>
  <c r="S26" i="8"/>
  <c r="O223" i="7" s="1"/>
  <c r="O239" i="7" s="1"/>
  <c r="S27" i="8"/>
  <c r="O224" i="7" s="1"/>
  <c r="O240" i="7" s="1"/>
  <c r="S28" i="8"/>
  <c r="O225" i="7" s="1"/>
  <c r="O241" i="7" s="1"/>
  <c r="S29" i="8"/>
  <c r="O226" i="7" s="1"/>
  <c r="O242" i="7" s="1"/>
  <c r="S30" i="8"/>
  <c r="O227" i="7" s="1"/>
  <c r="O243" i="7" s="1"/>
  <c r="S31" i="8"/>
  <c r="O228" i="7" s="1"/>
  <c r="O244" i="7" s="1"/>
  <c r="S32" i="8"/>
  <c r="O229" i="7" s="1"/>
  <c r="O245" i="7" s="1"/>
  <c r="S33" i="8"/>
  <c r="O230" i="7" s="1"/>
  <c r="O246" i="7" s="1"/>
  <c r="S34" i="8"/>
  <c r="O231" i="7" s="1"/>
  <c r="O247" i="7" s="1"/>
  <c r="S35" i="8"/>
  <c r="O232" i="7" s="1"/>
  <c r="O248" i="7" s="1"/>
  <c r="S36" i="8"/>
  <c r="O233" i="7" s="1"/>
  <c r="O249" i="7" s="1"/>
  <c r="S37" i="8"/>
  <c r="O234" i="7" s="1"/>
  <c r="O250" i="7" s="1"/>
  <c r="N6" i="6" l="1"/>
  <c r="I6" i="6"/>
  <c r="M6" i="6"/>
  <c r="O6" i="6"/>
  <c r="Q6" i="6"/>
  <c r="U6" i="6"/>
  <c r="W6" i="6"/>
  <c r="Y6" i="6"/>
  <c r="AC6" i="6"/>
  <c r="AE6" i="6"/>
  <c r="AG6" i="6"/>
  <c r="AK6" i="6"/>
  <c r="AM6" i="6"/>
  <c r="AO6" i="6"/>
  <c r="AS6" i="6"/>
  <c r="AU6" i="6"/>
  <c r="AW6" i="6"/>
  <c r="AX6" i="6"/>
  <c r="BA6" i="6"/>
  <c r="AZ6" i="6"/>
  <c r="AR6" i="6"/>
  <c r="AJ6" i="6"/>
  <c r="AB6" i="6"/>
  <c r="T6" i="6"/>
  <c r="L6" i="6"/>
  <c r="AY6" i="6"/>
  <c r="AQ6" i="6"/>
  <c r="AI6" i="6"/>
  <c r="AA6" i="6"/>
  <c r="S6" i="6"/>
  <c r="K6" i="6"/>
  <c r="AP6" i="6"/>
  <c r="AH6" i="6"/>
  <c r="Z6" i="6"/>
  <c r="R6" i="6"/>
  <c r="J6" i="6"/>
  <c r="AV6" i="6"/>
  <c r="AN6" i="6"/>
  <c r="AF6" i="6"/>
  <c r="X6" i="6"/>
  <c r="P6" i="6"/>
  <c r="H6" i="6"/>
  <c r="AT6" i="6"/>
  <c r="AL6" i="6"/>
  <c r="AD6" i="6"/>
  <c r="V6" i="6"/>
  <c r="S122" i="8"/>
  <c r="P8" i="9" s="1"/>
  <c r="S120" i="8"/>
  <c r="P6" i="9" s="1"/>
  <c r="S128" i="8"/>
  <c r="P14" i="9" s="1"/>
  <c r="S119" i="8"/>
  <c r="P5" i="9" s="1"/>
  <c r="S116" i="8"/>
  <c r="P2" i="9" s="1"/>
  <c r="S123" i="8"/>
  <c r="P9" i="9" s="1"/>
  <c r="S125" i="8"/>
  <c r="P11" i="9" s="1"/>
  <c r="S124" i="8"/>
  <c r="P10" i="9" s="1"/>
  <c r="S117" i="8"/>
  <c r="P3" i="9" s="1"/>
  <c r="S127" i="8"/>
  <c r="P13" i="9" s="1"/>
  <c r="S118" i="8"/>
  <c r="P4" i="9" s="1"/>
  <c r="S121" i="8"/>
  <c r="P7" i="9" s="1"/>
  <c r="S126" i="8"/>
  <c r="P12" i="9" s="1"/>
  <c r="V238" i="8"/>
  <c r="AC19" i="9"/>
  <c r="D19" i="9"/>
  <c r="D8" i="9"/>
  <c r="E8" i="9"/>
  <c r="F8" i="9"/>
  <c r="G8" i="9"/>
  <c r="D9" i="9"/>
  <c r="E9" i="9"/>
  <c r="F9" i="9"/>
  <c r="G9" i="9"/>
  <c r="H9" i="9"/>
  <c r="D15" i="9"/>
  <c r="E15" i="9"/>
  <c r="F15" i="9"/>
  <c r="G15" i="9"/>
  <c r="C14" i="9"/>
  <c r="C32" i="9" s="1"/>
  <c r="C50" i="9" s="1"/>
  <c r="C15" i="9"/>
  <c r="C33" i="9" s="1"/>
  <c r="C51" i="9" s="1"/>
  <c r="C16" i="9"/>
  <c r="C34" i="9" s="1"/>
  <c r="C52" i="9" s="1"/>
  <c r="C3" i="9"/>
  <c r="C21" i="9" s="1"/>
  <c r="C39" i="9" s="1"/>
  <c r="C4" i="9"/>
  <c r="C22" i="9" s="1"/>
  <c r="C40" i="9" s="1"/>
  <c r="C5" i="9"/>
  <c r="C23" i="9" s="1"/>
  <c r="C41" i="9" s="1"/>
  <c r="C6" i="9"/>
  <c r="C24" i="9" s="1"/>
  <c r="C42" i="9" s="1"/>
  <c r="C7" i="9"/>
  <c r="C25" i="9" s="1"/>
  <c r="C43" i="9" s="1"/>
  <c r="C8" i="9"/>
  <c r="C26" i="9" s="1"/>
  <c r="C44" i="9" s="1"/>
  <c r="C9" i="9"/>
  <c r="C27" i="9" s="1"/>
  <c r="C45" i="9" s="1"/>
  <c r="C10" i="9"/>
  <c r="C28" i="9" s="1"/>
  <c r="C46" i="9" s="1"/>
  <c r="C11" i="9"/>
  <c r="C29" i="9" s="1"/>
  <c r="C47" i="9" s="1"/>
  <c r="C12" i="9"/>
  <c r="C30" i="9" s="1"/>
  <c r="C48" i="9" s="1"/>
  <c r="C13" i="9"/>
  <c r="C31" i="9" s="1"/>
  <c r="C49" i="9" s="1"/>
  <c r="C2" i="9"/>
  <c r="C20" i="9" s="1"/>
  <c r="C38" i="9" s="1"/>
  <c r="E1" i="9"/>
  <c r="F1" i="9" s="1"/>
  <c r="G1" i="9" s="1"/>
  <c r="H1" i="9" s="1"/>
  <c r="I1" i="9" s="1"/>
  <c r="J1" i="9" s="1"/>
  <c r="E33" i="9" l="1"/>
  <c r="F26" i="9"/>
  <c r="I19" i="9"/>
  <c r="V19" i="9" s="1"/>
  <c r="E19" i="9"/>
  <c r="R19" i="9" s="1"/>
  <c r="W238" i="8"/>
  <c r="E27" i="9"/>
  <c r="G33" i="9"/>
  <c r="G27" i="9"/>
  <c r="F27" i="9"/>
  <c r="F33" i="9"/>
  <c r="E26" i="9"/>
  <c r="G26" i="9"/>
  <c r="H27" i="9"/>
  <c r="H19" i="9"/>
  <c r="U19" i="9" s="1"/>
  <c r="G19" i="9"/>
  <c r="T19" i="9" s="1"/>
  <c r="F19" i="9"/>
  <c r="S19" i="9" s="1"/>
  <c r="K1" i="9"/>
  <c r="J19" i="9"/>
  <c r="W19" i="9" s="1"/>
  <c r="L149" i="7"/>
  <c r="L165" i="7" s="1"/>
  <c r="L197" i="7" s="1"/>
  <c r="M149" i="7"/>
  <c r="N149" i="7"/>
  <c r="N165" i="7" s="1"/>
  <c r="O149" i="7"/>
  <c r="O165" i="7" s="1"/>
  <c r="P149" i="7"/>
  <c r="P165" i="7" s="1"/>
  <c r="P181" i="7" s="1"/>
  <c r="Q149" i="7"/>
  <c r="R149" i="7"/>
  <c r="E149" i="7" s="1"/>
  <c r="S149" i="7"/>
  <c r="T149" i="7"/>
  <c r="U149" i="7"/>
  <c r="V149" i="7"/>
  <c r="W149" i="7"/>
  <c r="F149" i="7" s="1"/>
  <c r="X149" i="7"/>
  <c r="Y149" i="7"/>
  <c r="Z149" i="7"/>
  <c r="AA149" i="7"/>
  <c r="AB149" i="7"/>
  <c r="AC149" i="7"/>
  <c r="AD149" i="7"/>
  <c r="AE149" i="7"/>
  <c r="AF149" i="7"/>
  <c r="AG149" i="7"/>
  <c r="G149" i="7" s="1"/>
  <c r="AH149" i="7"/>
  <c r="AI149" i="7"/>
  <c r="AJ149" i="7"/>
  <c r="AK149" i="7"/>
  <c r="AL149" i="7"/>
  <c r="AM149" i="7"/>
  <c r="AN149" i="7"/>
  <c r="AO149" i="7"/>
  <c r="AP149" i="7"/>
  <c r="AQ149" i="7"/>
  <c r="H149" i="7" s="1"/>
  <c r="AR149" i="7"/>
  <c r="AS149" i="7"/>
  <c r="AT149" i="7"/>
  <c r="AU149" i="7"/>
  <c r="AV149" i="7"/>
  <c r="AW149" i="7"/>
  <c r="AX149" i="7"/>
  <c r="AY149" i="7"/>
  <c r="AZ149" i="7"/>
  <c r="BA149" i="7"/>
  <c r="I149" i="7" s="1"/>
  <c r="BB149" i="7"/>
  <c r="BC149" i="7"/>
  <c r="BD149" i="7"/>
  <c r="BE149" i="7"/>
  <c r="BF149" i="7"/>
  <c r="BG149" i="7"/>
  <c r="BH149" i="7"/>
  <c r="BI149" i="7"/>
  <c r="BJ149" i="7"/>
  <c r="BK149" i="7"/>
  <c r="J149" i="7" s="1"/>
  <c r="L150" i="7"/>
  <c r="L166" i="7" s="1"/>
  <c r="L198" i="7" s="1"/>
  <c r="M150" i="7"/>
  <c r="N150" i="7"/>
  <c r="N166" i="7" s="1"/>
  <c r="O150" i="7"/>
  <c r="O166" i="7" s="1"/>
  <c r="O198" i="7" s="1"/>
  <c r="P150" i="7"/>
  <c r="P166" i="7" s="1"/>
  <c r="P182" i="7" s="1"/>
  <c r="Q150" i="7"/>
  <c r="R150" i="7"/>
  <c r="E150" i="7" s="1"/>
  <c r="S150" i="7"/>
  <c r="T150" i="7"/>
  <c r="U150" i="7"/>
  <c r="V150" i="7"/>
  <c r="W150" i="7"/>
  <c r="F150" i="7" s="1"/>
  <c r="X150" i="7"/>
  <c r="Y150" i="7"/>
  <c r="Z150" i="7"/>
  <c r="AA150" i="7"/>
  <c r="AB150" i="7"/>
  <c r="AC150" i="7"/>
  <c r="AD150" i="7"/>
  <c r="AE150" i="7"/>
  <c r="AF150" i="7"/>
  <c r="AG150" i="7"/>
  <c r="G150" i="7" s="1"/>
  <c r="AH150" i="7"/>
  <c r="AI150" i="7"/>
  <c r="AJ150" i="7"/>
  <c r="AK150" i="7"/>
  <c r="AL150" i="7"/>
  <c r="AM150" i="7"/>
  <c r="AN150" i="7"/>
  <c r="AO150" i="7"/>
  <c r="AP150" i="7"/>
  <c r="AQ150" i="7"/>
  <c r="H150" i="7" s="1"/>
  <c r="AR150" i="7"/>
  <c r="AS150" i="7"/>
  <c r="AT150" i="7"/>
  <c r="AU150" i="7"/>
  <c r="AV150" i="7"/>
  <c r="AW150" i="7"/>
  <c r="AX150" i="7"/>
  <c r="AY150" i="7"/>
  <c r="AZ150" i="7"/>
  <c r="BA150" i="7"/>
  <c r="I150" i="7" s="1"/>
  <c r="BB150" i="7"/>
  <c r="BC150" i="7"/>
  <c r="BD150" i="7"/>
  <c r="BE150" i="7"/>
  <c r="BF150" i="7"/>
  <c r="BG150" i="7"/>
  <c r="BH150" i="7"/>
  <c r="BI150" i="7"/>
  <c r="BJ150" i="7"/>
  <c r="BK150" i="7"/>
  <c r="J150" i="7" s="1"/>
  <c r="L151" i="7"/>
  <c r="L167" i="7" s="1"/>
  <c r="L199" i="7" s="1"/>
  <c r="M151" i="7"/>
  <c r="N151" i="7"/>
  <c r="N167" i="7" s="1"/>
  <c r="O151" i="7"/>
  <c r="O167" i="7" s="1"/>
  <c r="O199" i="7" s="1"/>
  <c r="P151" i="7"/>
  <c r="P167" i="7" s="1"/>
  <c r="P183" i="7" s="1"/>
  <c r="Q151" i="7"/>
  <c r="R151" i="7"/>
  <c r="E151" i="7" s="1"/>
  <c r="S151" i="7"/>
  <c r="T151" i="7"/>
  <c r="U151" i="7"/>
  <c r="V151" i="7"/>
  <c r="W151" i="7"/>
  <c r="F151" i="7" s="1"/>
  <c r="X151" i="7"/>
  <c r="Y151" i="7"/>
  <c r="Z151" i="7"/>
  <c r="AA151" i="7"/>
  <c r="AB151" i="7"/>
  <c r="AC151" i="7"/>
  <c r="AD151" i="7"/>
  <c r="AE151" i="7"/>
  <c r="AF151" i="7"/>
  <c r="AG151" i="7"/>
  <c r="G151" i="7" s="1"/>
  <c r="AH151" i="7"/>
  <c r="AI151" i="7"/>
  <c r="AJ151" i="7"/>
  <c r="AK151" i="7"/>
  <c r="AL151" i="7"/>
  <c r="AM151" i="7"/>
  <c r="AN151" i="7"/>
  <c r="AO151" i="7"/>
  <c r="AP151" i="7"/>
  <c r="AQ151" i="7"/>
  <c r="H151" i="7" s="1"/>
  <c r="AR151" i="7"/>
  <c r="AS151" i="7"/>
  <c r="AT151" i="7"/>
  <c r="AU151" i="7"/>
  <c r="AV151" i="7"/>
  <c r="AW151" i="7"/>
  <c r="AX151" i="7"/>
  <c r="AY151" i="7"/>
  <c r="AZ151" i="7"/>
  <c r="BA151" i="7"/>
  <c r="I151" i="7" s="1"/>
  <c r="BB151" i="7"/>
  <c r="BC151" i="7"/>
  <c r="BD151" i="7"/>
  <c r="BE151" i="7"/>
  <c r="BF151" i="7"/>
  <c r="BG151" i="7"/>
  <c r="BH151" i="7"/>
  <c r="BI151" i="7"/>
  <c r="BJ151" i="7"/>
  <c r="BK151" i="7"/>
  <c r="J151" i="7" s="1"/>
  <c r="L152" i="7"/>
  <c r="L168" i="7" s="1"/>
  <c r="L200" i="7" s="1"/>
  <c r="M152" i="7"/>
  <c r="N152" i="7"/>
  <c r="N168" i="7" s="1"/>
  <c r="O152" i="7"/>
  <c r="O168" i="7" s="1"/>
  <c r="O200" i="7" s="1"/>
  <c r="P152" i="7"/>
  <c r="P168" i="7" s="1"/>
  <c r="P184" i="7" s="1"/>
  <c r="Q152" i="7"/>
  <c r="R152" i="7"/>
  <c r="E152" i="7" s="1"/>
  <c r="S152" i="7"/>
  <c r="T152" i="7"/>
  <c r="U152" i="7"/>
  <c r="V152" i="7"/>
  <c r="W152" i="7"/>
  <c r="F152" i="7" s="1"/>
  <c r="X152" i="7"/>
  <c r="Y152" i="7"/>
  <c r="Z152" i="7"/>
  <c r="AA152" i="7"/>
  <c r="AB152" i="7"/>
  <c r="AC152" i="7"/>
  <c r="AD152" i="7"/>
  <c r="AE152" i="7"/>
  <c r="AF152" i="7"/>
  <c r="AG152" i="7"/>
  <c r="G152" i="7" s="1"/>
  <c r="AH152" i="7"/>
  <c r="AI152" i="7"/>
  <c r="AJ152" i="7"/>
  <c r="AK152" i="7"/>
  <c r="AL152" i="7"/>
  <c r="AM152" i="7"/>
  <c r="AN152" i="7"/>
  <c r="AO152" i="7"/>
  <c r="AP152" i="7"/>
  <c r="AQ152" i="7"/>
  <c r="H152" i="7" s="1"/>
  <c r="AR152" i="7"/>
  <c r="AS152" i="7"/>
  <c r="AT152" i="7"/>
  <c r="AU152" i="7"/>
  <c r="AV152" i="7"/>
  <c r="AW152" i="7"/>
  <c r="AX152" i="7"/>
  <c r="AY152" i="7"/>
  <c r="AZ152" i="7"/>
  <c r="BA152" i="7"/>
  <c r="I152" i="7" s="1"/>
  <c r="BB152" i="7"/>
  <c r="BC152" i="7"/>
  <c r="BD152" i="7"/>
  <c r="BE152" i="7"/>
  <c r="BF152" i="7"/>
  <c r="BG152" i="7"/>
  <c r="BH152" i="7"/>
  <c r="BI152" i="7"/>
  <c r="BJ152" i="7"/>
  <c r="BK152" i="7"/>
  <c r="J152" i="7" s="1"/>
  <c r="L153" i="7"/>
  <c r="L169" i="7" s="1"/>
  <c r="L201" i="7" s="1"/>
  <c r="M153" i="7"/>
  <c r="N153" i="7"/>
  <c r="N169" i="7" s="1"/>
  <c r="O153" i="7"/>
  <c r="O169" i="7" s="1"/>
  <c r="O201" i="7" s="1"/>
  <c r="P153" i="7"/>
  <c r="P169" i="7" s="1"/>
  <c r="P185" i="7" s="1"/>
  <c r="Q153" i="7"/>
  <c r="R153" i="7"/>
  <c r="E153" i="7" s="1"/>
  <c r="S153" i="7"/>
  <c r="T153" i="7"/>
  <c r="U153" i="7"/>
  <c r="V153" i="7"/>
  <c r="W153" i="7"/>
  <c r="F153" i="7" s="1"/>
  <c r="X153" i="7"/>
  <c r="Y153" i="7"/>
  <c r="Z153" i="7"/>
  <c r="AA153" i="7"/>
  <c r="AB153" i="7"/>
  <c r="AC153" i="7"/>
  <c r="AD153" i="7"/>
  <c r="AE153" i="7"/>
  <c r="AF153" i="7"/>
  <c r="AG153" i="7"/>
  <c r="G153" i="7" s="1"/>
  <c r="AH153" i="7"/>
  <c r="AI153" i="7"/>
  <c r="AJ153" i="7"/>
  <c r="AK153" i="7"/>
  <c r="AL153" i="7"/>
  <c r="AM153" i="7"/>
  <c r="AN153" i="7"/>
  <c r="AO153" i="7"/>
  <c r="AP153" i="7"/>
  <c r="AQ153" i="7"/>
  <c r="H153" i="7" s="1"/>
  <c r="AR153" i="7"/>
  <c r="AS153" i="7"/>
  <c r="AT153" i="7"/>
  <c r="AU153" i="7"/>
  <c r="AV153" i="7"/>
  <c r="AW153" i="7"/>
  <c r="AX153" i="7"/>
  <c r="AY153" i="7"/>
  <c r="AZ153" i="7"/>
  <c r="BA153" i="7"/>
  <c r="I153" i="7" s="1"/>
  <c r="BB153" i="7"/>
  <c r="BC153" i="7"/>
  <c r="BD153" i="7"/>
  <c r="BE153" i="7"/>
  <c r="BF153" i="7"/>
  <c r="BG153" i="7"/>
  <c r="BH153" i="7"/>
  <c r="BI153" i="7"/>
  <c r="BJ153" i="7"/>
  <c r="BK153" i="7"/>
  <c r="J153" i="7" s="1"/>
  <c r="L154" i="7"/>
  <c r="L170" i="7" s="1"/>
  <c r="L202" i="7" s="1"/>
  <c r="M154" i="7"/>
  <c r="N154" i="7"/>
  <c r="N170" i="7" s="1"/>
  <c r="O154" i="7"/>
  <c r="O170" i="7" s="1"/>
  <c r="O202" i="7" s="1"/>
  <c r="P154" i="7"/>
  <c r="P170" i="7" s="1"/>
  <c r="P186" i="7" s="1"/>
  <c r="Q154" i="7"/>
  <c r="R154" i="7"/>
  <c r="E154" i="7" s="1"/>
  <c r="S154" i="7"/>
  <c r="T154" i="7"/>
  <c r="U154" i="7"/>
  <c r="V154" i="7"/>
  <c r="W154" i="7"/>
  <c r="F154" i="7" s="1"/>
  <c r="X154" i="7"/>
  <c r="Y154" i="7"/>
  <c r="Z154" i="7"/>
  <c r="AA154" i="7"/>
  <c r="AB154" i="7"/>
  <c r="AC154" i="7"/>
  <c r="AD154" i="7"/>
  <c r="AE154" i="7"/>
  <c r="AF154" i="7"/>
  <c r="AG154" i="7"/>
  <c r="G154" i="7" s="1"/>
  <c r="AH154" i="7"/>
  <c r="AI154" i="7"/>
  <c r="AJ154" i="7"/>
  <c r="AK154" i="7"/>
  <c r="AL154" i="7"/>
  <c r="AM154" i="7"/>
  <c r="AN154" i="7"/>
  <c r="AO154" i="7"/>
  <c r="AP154" i="7"/>
  <c r="AQ154" i="7"/>
  <c r="H154" i="7" s="1"/>
  <c r="AR154" i="7"/>
  <c r="AS154" i="7"/>
  <c r="AT154" i="7"/>
  <c r="AU154" i="7"/>
  <c r="AV154" i="7"/>
  <c r="AW154" i="7"/>
  <c r="AX154" i="7"/>
  <c r="AY154" i="7"/>
  <c r="AZ154" i="7"/>
  <c r="BA154" i="7"/>
  <c r="I154" i="7" s="1"/>
  <c r="BB154" i="7"/>
  <c r="BC154" i="7"/>
  <c r="BD154" i="7"/>
  <c r="BE154" i="7"/>
  <c r="BF154" i="7"/>
  <c r="BG154" i="7"/>
  <c r="BH154" i="7"/>
  <c r="BI154" i="7"/>
  <c r="BJ154" i="7"/>
  <c r="BK154" i="7"/>
  <c r="J154" i="7" s="1"/>
  <c r="L155" i="7"/>
  <c r="L171" i="7" s="1"/>
  <c r="L203" i="7" s="1"/>
  <c r="M155" i="7"/>
  <c r="D155" i="7" s="1"/>
  <c r="N155" i="7"/>
  <c r="N171" i="7" s="1"/>
  <c r="O155" i="7"/>
  <c r="O171" i="7" s="1"/>
  <c r="O203" i="7" s="1"/>
  <c r="P155" i="7"/>
  <c r="P171" i="7" s="1"/>
  <c r="P187" i="7" s="1"/>
  <c r="Q155" i="7"/>
  <c r="R155" i="7"/>
  <c r="E155" i="7" s="1"/>
  <c r="S155" i="7"/>
  <c r="T155" i="7"/>
  <c r="U155" i="7"/>
  <c r="V155" i="7"/>
  <c r="W155" i="7"/>
  <c r="F155" i="7" s="1"/>
  <c r="X155" i="7"/>
  <c r="Y155" i="7"/>
  <c r="Z155" i="7"/>
  <c r="AA155" i="7"/>
  <c r="AB155" i="7"/>
  <c r="AC155" i="7"/>
  <c r="AD155" i="7"/>
  <c r="AE155" i="7"/>
  <c r="AF155" i="7"/>
  <c r="AG155" i="7"/>
  <c r="G155" i="7" s="1"/>
  <c r="AH155" i="7"/>
  <c r="AI155" i="7"/>
  <c r="AJ155" i="7"/>
  <c r="AK155" i="7"/>
  <c r="AL155" i="7"/>
  <c r="AM155" i="7"/>
  <c r="AN155" i="7"/>
  <c r="AO155" i="7"/>
  <c r="AP155" i="7"/>
  <c r="AQ155" i="7"/>
  <c r="H155" i="7" s="1"/>
  <c r="AR155" i="7"/>
  <c r="AS155" i="7"/>
  <c r="AT155" i="7"/>
  <c r="AU155" i="7"/>
  <c r="AV155" i="7"/>
  <c r="AW155" i="7"/>
  <c r="AX155" i="7"/>
  <c r="AY155" i="7"/>
  <c r="AZ155" i="7"/>
  <c r="BA155" i="7"/>
  <c r="I155" i="7" s="1"/>
  <c r="BB155" i="7"/>
  <c r="BC155" i="7"/>
  <c r="BD155" i="7"/>
  <c r="BE155" i="7"/>
  <c r="BF155" i="7"/>
  <c r="BG155" i="7"/>
  <c r="BH155" i="7"/>
  <c r="BI155" i="7"/>
  <c r="BJ155" i="7"/>
  <c r="BK155" i="7"/>
  <c r="J155" i="7" s="1"/>
  <c r="L156" i="7"/>
  <c r="L172" i="7" s="1"/>
  <c r="L204" i="7" s="1"/>
  <c r="M156" i="7"/>
  <c r="N156" i="7"/>
  <c r="N172" i="7" s="1"/>
  <c r="O156" i="7"/>
  <c r="O172" i="7" s="1"/>
  <c r="O204" i="7" s="1"/>
  <c r="P156" i="7"/>
  <c r="P172" i="7" s="1"/>
  <c r="P188" i="7" s="1"/>
  <c r="Q156" i="7"/>
  <c r="R156" i="7"/>
  <c r="E156" i="7" s="1"/>
  <c r="S156" i="7"/>
  <c r="T156" i="7"/>
  <c r="U156" i="7"/>
  <c r="V156" i="7"/>
  <c r="W156" i="7"/>
  <c r="F156" i="7" s="1"/>
  <c r="X156" i="7"/>
  <c r="Y156" i="7"/>
  <c r="Z156" i="7"/>
  <c r="AA156" i="7"/>
  <c r="AB156" i="7"/>
  <c r="AC156" i="7"/>
  <c r="AD156" i="7"/>
  <c r="AE156" i="7"/>
  <c r="AF156" i="7"/>
  <c r="AG156" i="7"/>
  <c r="G156" i="7" s="1"/>
  <c r="AH156" i="7"/>
  <c r="AI156" i="7"/>
  <c r="AJ156" i="7"/>
  <c r="AK156" i="7"/>
  <c r="AL156" i="7"/>
  <c r="AM156" i="7"/>
  <c r="AN156" i="7"/>
  <c r="AO156" i="7"/>
  <c r="AP156" i="7"/>
  <c r="AQ156" i="7"/>
  <c r="H156" i="7" s="1"/>
  <c r="AR156" i="7"/>
  <c r="AS156" i="7"/>
  <c r="AT156" i="7"/>
  <c r="AU156" i="7"/>
  <c r="AV156" i="7"/>
  <c r="AW156" i="7"/>
  <c r="AX156" i="7"/>
  <c r="AY156" i="7"/>
  <c r="AZ156" i="7"/>
  <c r="BA156" i="7"/>
  <c r="I156" i="7" s="1"/>
  <c r="BB156" i="7"/>
  <c r="BC156" i="7"/>
  <c r="BD156" i="7"/>
  <c r="BE156" i="7"/>
  <c r="BF156" i="7"/>
  <c r="BG156" i="7"/>
  <c r="BH156" i="7"/>
  <c r="BI156" i="7"/>
  <c r="BJ156" i="7"/>
  <c r="BK156" i="7"/>
  <c r="J156" i="7" s="1"/>
  <c r="L157" i="7"/>
  <c r="L173" i="7" s="1"/>
  <c r="L205" i="7" s="1"/>
  <c r="M157" i="7"/>
  <c r="N157" i="7"/>
  <c r="N173" i="7" s="1"/>
  <c r="O157" i="7"/>
  <c r="O173" i="7" s="1"/>
  <c r="O205" i="7" s="1"/>
  <c r="P157" i="7"/>
  <c r="P173" i="7" s="1"/>
  <c r="P189" i="7" s="1"/>
  <c r="Q157" i="7"/>
  <c r="R157" i="7"/>
  <c r="E157" i="7" s="1"/>
  <c r="S157" i="7"/>
  <c r="T157" i="7"/>
  <c r="U157" i="7"/>
  <c r="V157" i="7"/>
  <c r="W157" i="7"/>
  <c r="F157" i="7" s="1"/>
  <c r="X157" i="7"/>
  <c r="Y157" i="7"/>
  <c r="Z157" i="7"/>
  <c r="AA157" i="7"/>
  <c r="AB157" i="7"/>
  <c r="AC157" i="7"/>
  <c r="AD157" i="7"/>
  <c r="AE157" i="7"/>
  <c r="AF157" i="7"/>
  <c r="AG157" i="7"/>
  <c r="G157" i="7" s="1"/>
  <c r="AH157" i="7"/>
  <c r="AI157" i="7"/>
  <c r="AJ157" i="7"/>
  <c r="AK157" i="7"/>
  <c r="AL157" i="7"/>
  <c r="AM157" i="7"/>
  <c r="AN157" i="7"/>
  <c r="AO157" i="7"/>
  <c r="AP157" i="7"/>
  <c r="AQ157" i="7"/>
  <c r="H157" i="7" s="1"/>
  <c r="AR157" i="7"/>
  <c r="AS157" i="7"/>
  <c r="AT157" i="7"/>
  <c r="AU157" i="7"/>
  <c r="AV157" i="7"/>
  <c r="AW157" i="7"/>
  <c r="AX157" i="7"/>
  <c r="AY157" i="7"/>
  <c r="AZ157" i="7"/>
  <c r="BA157" i="7"/>
  <c r="I157" i="7" s="1"/>
  <c r="BB157" i="7"/>
  <c r="BC157" i="7"/>
  <c r="BD157" i="7"/>
  <c r="BE157" i="7"/>
  <c r="BF157" i="7"/>
  <c r="BG157" i="7"/>
  <c r="BH157" i="7"/>
  <c r="BI157" i="7"/>
  <c r="BJ157" i="7"/>
  <c r="BK157" i="7"/>
  <c r="J157" i="7" s="1"/>
  <c r="L158" i="7"/>
  <c r="L174" i="7" s="1"/>
  <c r="L206" i="7" s="1"/>
  <c r="M158" i="7"/>
  <c r="N158" i="7"/>
  <c r="N174" i="7" s="1"/>
  <c r="O158" i="7"/>
  <c r="O174" i="7" s="1"/>
  <c r="O206" i="7" s="1"/>
  <c r="P158" i="7"/>
  <c r="P174" i="7" s="1"/>
  <c r="P190" i="7" s="1"/>
  <c r="Q158" i="7"/>
  <c r="R158" i="7"/>
  <c r="E158" i="7" s="1"/>
  <c r="S158" i="7"/>
  <c r="T158" i="7"/>
  <c r="U158" i="7"/>
  <c r="V158" i="7"/>
  <c r="W158" i="7"/>
  <c r="F158" i="7" s="1"/>
  <c r="X158" i="7"/>
  <c r="Y158" i="7"/>
  <c r="Z158" i="7"/>
  <c r="AA158" i="7"/>
  <c r="AB158" i="7"/>
  <c r="AC158" i="7"/>
  <c r="AD158" i="7"/>
  <c r="AE158" i="7"/>
  <c r="AF158" i="7"/>
  <c r="AG158" i="7"/>
  <c r="G158" i="7" s="1"/>
  <c r="AH158" i="7"/>
  <c r="AI158" i="7"/>
  <c r="AJ158" i="7"/>
  <c r="AK158" i="7"/>
  <c r="AL158" i="7"/>
  <c r="AM158" i="7"/>
  <c r="AN158" i="7"/>
  <c r="AO158" i="7"/>
  <c r="AP158" i="7"/>
  <c r="AQ158" i="7"/>
  <c r="H158" i="7" s="1"/>
  <c r="AR158" i="7"/>
  <c r="AS158" i="7"/>
  <c r="AT158" i="7"/>
  <c r="AU158" i="7"/>
  <c r="AV158" i="7"/>
  <c r="AW158" i="7"/>
  <c r="AX158" i="7"/>
  <c r="AY158" i="7"/>
  <c r="AZ158" i="7"/>
  <c r="BA158" i="7"/>
  <c r="I158" i="7" s="1"/>
  <c r="BB158" i="7"/>
  <c r="BC158" i="7"/>
  <c r="BD158" i="7"/>
  <c r="BE158" i="7"/>
  <c r="BF158" i="7"/>
  <c r="BG158" i="7"/>
  <c r="BH158" i="7"/>
  <c r="BI158" i="7"/>
  <c r="BJ158" i="7"/>
  <c r="BK158" i="7"/>
  <c r="J158" i="7" s="1"/>
  <c r="L159" i="7"/>
  <c r="L175" i="7" s="1"/>
  <c r="L207" i="7" s="1"/>
  <c r="M159" i="7"/>
  <c r="N159" i="7"/>
  <c r="N175" i="7" s="1"/>
  <c r="O159" i="7"/>
  <c r="O175" i="7" s="1"/>
  <c r="O207" i="7" s="1"/>
  <c r="P159" i="7"/>
  <c r="P175" i="7" s="1"/>
  <c r="P191" i="7" s="1"/>
  <c r="Q159" i="7"/>
  <c r="R159" i="7"/>
  <c r="E159" i="7" s="1"/>
  <c r="S159" i="7"/>
  <c r="T159" i="7"/>
  <c r="U159" i="7"/>
  <c r="V159" i="7"/>
  <c r="W159" i="7"/>
  <c r="F159" i="7" s="1"/>
  <c r="X159" i="7"/>
  <c r="Y159" i="7"/>
  <c r="Z159" i="7"/>
  <c r="AA159" i="7"/>
  <c r="AB159" i="7"/>
  <c r="AC159" i="7"/>
  <c r="AD159" i="7"/>
  <c r="AE159" i="7"/>
  <c r="AF159" i="7"/>
  <c r="AG159" i="7"/>
  <c r="G159" i="7" s="1"/>
  <c r="AH159" i="7"/>
  <c r="AI159" i="7"/>
  <c r="AJ159" i="7"/>
  <c r="AK159" i="7"/>
  <c r="AL159" i="7"/>
  <c r="AM159" i="7"/>
  <c r="AN159" i="7"/>
  <c r="AO159" i="7"/>
  <c r="AP159" i="7"/>
  <c r="AQ159" i="7"/>
  <c r="H159" i="7" s="1"/>
  <c r="AR159" i="7"/>
  <c r="AS159" i="7"/>
  <c r="AT159" i="7"/>
  <c r="AU159" i="7"/>
  <c r="AV159" i="7"/>
  <c r="AW159" i="7"/>
  <c r="AX159" i="7"/>
  <c r="AY159" i="7"/>
  <c r="AZ159" i="7"/>
  <c r="BA159" i="7"/>
  <c r="I159" i="7" s="1"/>
  <c r="BB159" i="7"/>
  <c r="BC159" i="7"/>
  <c r="BD159" i="7"/>
  <c r="BE159" i="7"/>
  <c r="BF159" i="7"/>
  <c r="BG159" i="7"/>
  <c r="BH159" i="7"/>
  <c r="BI159" i="7"/>
  <c r="BJ159" i="7"/>
  <c r="BK159" i="7"/>
  <c r="J159" i="7" s="1"/>
  <c r="L160" i="7"/>
  <c r="L176" i="7" s="1"/>
  <c r="L208" i="7" s="1"/>
  <c r="M160" i="7"/>
  <c r="N160" i="7"/>
  <c r="N176" i="7" s="1"/>
  <c r="O160" i="7"/>
  <c r="O176" i="7" s="1"/>
  <c r="O208" i="7" s="1"/>
  <c r="P160" i="7"/>
  <c r="P176" i="7" s="1"/>
  <c r="P192" i="7" s="1"/>
  <c r="Q160" i="7"/>
  <c r="R160" i="7"/>
  <c r="E160" i="7" s="1"/>
  <c r="S160" i="7"/>
  <c r="T160" i="7"/>
  <c r="U160" i="7"/>
  <c r="V160" i="7"/>
  <c r="W160" i="7"/>
  <c r="F160" i="7" s="1"/>
  <c r="X160" i="7"/>
  <c r="Y160" i="7"/>
  <c r="Z160" i="7"/>
  <c r="AA160" i="7"/>
  <c r="AB160" i="7"/>
  <c r="AC160" i="7"/>
  <c r="AD160" i="7"/>
  <c r="AE160" i="7"/>
  <c r="AF160" i="7"/>
  <c r="AG160" i="7"/>
  <c r="G160" i="7" s="1"/>
  <c r="AH160" i="7"/>
  <c r="AI160" i="7"/>
  <c r="AJ160" i="7"/>
  <c r="AK160" i="7"/>
  <c r="AL160" i="7"/>
  <c r="AM160" i="7"/>
  <c r="AN160" i="7"/>
  <c r="AO160" i="7"/>
  <c r="AP160" i="7"/>
  <c r="AQ160" i="7"/>
  <c r="H160" i="7" s="1"/>
  <c r="AR160" i="7"/>
  <c r="AS160" i="7"/>
  <c r="AT160" i="7"/>
  <c r="AU160" i="7"/>
  <c r="AV160" i="7"/>
  <c r="AW160" i="7"/>
  <c r="AX160" i="7"/>
  <c r="AY160" i="7"/>
  <c r="AZ160" i="7"/>
  <c r="BA160" i="7"/>
  <c r="I160" i="7" s="1"/>
  <c r="BB160" i="7"/>
  <c r="BC160" i="7"/>
  <c r="BD160" i="7"/>
  <c r="BE160" i="7"/>
  <c r="BF160" i="7"/>
  <c r="BG160" i="7"/>
  <c r="BH160" i="7"/>
  <c r="BI160" i="7"/>
  <c r="BJ160" i="7"/>
  <c r="BK160" i="7"/>
  <c r="J160" i="7" s="1"/>
  <c r="L161" i="7"/>
  <c r="L177" i="7" s="1"/>
  <c r="L209" i="7" s="1"/>
  <c r="M161" i="7"/>
  <c r="N161" i="7"/>
  <c r="N177" i="7" s="1"/>
  <c r="O161" i="7"/>
  <c r="O177" i="7" s="1"/>
  <c r="O209" i="7" s="1"/>
  <c r="P161" i="7"/>
  <c r="P177" i="7" s="1"/>
  <c r="P193" i="7" s="1"/>
  <c r="Q161" i="7"/>
  <c r="R161" i="7"/>
  <c r="E161" i="7" s="1"/>
  <c r="S161" i="7"/>
  <c r="T161" i="7"/>
  <c r="U161" i="7"/>
  <c r="V161" i="7"/>
  <c r="W161" i="7"/>
  <c r="F161" i="7" s="1"/>
  <c r="X161" i="7"/>
  <c r="Y161" i="7"/>
  <c r="Z161" i="7"/>
  <c r="AA161" i="7"/>
  <c r="AB161" i="7"/>
  <c r="AC161" i="7"/>
  <c r="AD161" i="7"/>
  <c r="AE161" i="7"/>
  <c r="AF161" i="7"/>
  <c r="AG161" i="7"/>
  <c r="G161" i="7" s="1"/>
  <c r="AH161" i="7"/>
  <c r="AI161" i="7"/>
  <c r="AJ161" i="7"/>
  <c r="AK161" i="7"/>
  <c r="AL161" i="7"/>
  <c r="AM161" i="7"/>
  <c r="AN161" i="7"/>
  <c r="AO161" i="7"/>
  <c r="AP161" i="7"/>
  <c r="AQ161" i="7"/>
  <c r="H161" i="7" s="1"/>
  <c r="AR161" i="7"/>
  <c r="AS161" i="7"/>
  <c r="AT161" i="7"/>
  <c r="AU161" i="7"/>
  <c r="AV161" i="7"/>
  <c r="AW161" i="7"/>
  <c r="AX161" i="7"/>
  <c r="AY161" i="7"/>
  <c r="AZ161" i="7"/>
  <c r="BA161" i="7"/>
  <c r="I161" i="7" s="1"/>
  <c r="BB161" i="7"/>
  <c r="BC161" i="7"/>
  <c r="BD161" i="7"/>
  <c r="BE161" i="7"/>
  <c r="BF161" i="7"/>
  <c r="BG161" i="7"/>
  <c r="BH161" i="7"/>
  <c r="BI161" i="7"/>
  <c r="BJ161" i="7"/>
  <c r="BK161" i="7"/>
  <c r="J161" i="7" s="1"/>
  <c r="L162" i="7"/>
  <c r="L178" i="7" s="1"/>
  <c r="L210" i="7" s="1"/>
  <c r="M162" i="7"/>
  <c r="N162" i="7"/>
  <c r="N178" i="7" s="1"/>
  <c r="O162" i="7"/>
  <c r="O178" i="7" s="1"/>
  <c r="O210" i="7" s="1"/>
  <c r="P162" i="7"/>
  <c r="P178" i="7" s="1"/>
  <c r="P194" i="7" s="1"/>
  <c r="Q162" i="7"/>
  <c r="R162" i="7"/>
  <c r="E162" i="7" s="1"/>
  <c r="S162" i="7"/>
  <c r="T162" i="7"/>
  <c r="U162" i="7"/>
  <c r="V162" i="7"/>
  <c r="W162" i="7"/>
  <c r="F162" i="7" s="1"/>
  <c r="X162" i="7"/>
  <c r="Y162" i="7"/>
  <c r="Z162" i="7"/>
  <c r="AA162" i="7"/>
  <c r="AB162" i="7"/>
  <c r="AC162" i="7"/>
  <c r="AD162" i="7"/>
  <c r="AE162" i="7"/>
  <c r="AF162" i="7"/>
  <c r="AG162" i="7"/>
  <c r="G162" i="7" s="1"/>
  <c r="AH162" i="7"/>
  <c r="AI162" i="7"/>
  <c r="AJ162" i="7"/>
  <c r="AK162" i="7"/>
  <c r="AL162" i="7"/>
  <c r="AM162" i="7"/>
  <c r="AN162" i="7"/>
  <c r="AO162" i="7"/>
  <c r="AP162" i="7"/>
  <c r="AQ162" i="7"/>
  <c r="H162" i="7" s="1"/>
  <c r="AR162" i="7"/>
  <c r="AS162" i="7"/>
  <c r="AT162" i="7"/>
  <c r="AU162" i="7"/>
  <c r="AV162" i="7"/>
  <c r="AW162" i="7"/>
  <c r="AX162" i="7"/>
  <c r="AY162" i="7"/>
  <c r="AZ162" i="7"/>
  <c r="BA162" i="7"/>
  <c r="I162" i="7" s="1"/>
  <c r="BB162" i="7"/>
  <c r="BC162" i="7"/>
  <c r="BD162" i="7"/>
  <c r="BE162" i="7"/>
  <c r="BF162" i="7"/>
  <c r="BG162" i="7"/>
  <c r="BH162" i="7"/>
  <c r="BI162" i="7"/>
  <c r="BJ162" i="7"/>
  <c r="BK162" i="7"/>
  <c r="J162" i="7" s="1"/>
  <c r="L163" i="7"/>
  <c r="L179" i="7" s="1"/>
  <c r="L211" i="7" s="1"/>
  <c r="M163" i="7"/>
  <c r="N163" i="7"/>
  <c r="N179" i="7" s="1"/>
  <c r="O163" i="7"/>
  <c r="O179" i="7" s="1"/>
  <c r="O211" i="7" s="1"/>
  <c r="P163" i="7"/>
  <c r="P179" i="7" s="1"/>
  <c r="P195" i="7" s="1"/>
  <c r="Q163" i="7"/>
  <c r="R163" i="7"/>
  <c r="E163" i="7" s="1"/>
  <c r="S163" i="7"/>
  <c r="T163" i="7"/>
  <c r="U163" i="7"/>
  <c r="V163" i="7"/>
  <c r="W163" i="7"/>
  <c r="F163" i="7" s="1"/>
  <c r="X163" i="7"/>
  <c r="Y163" i="7"/>
  <c r="Z163" i="7"/>
  <c r="AA163" i="7"/>
  <c r="AB163" i="7"/>
  <c r="AC163" i="7"/>
  <c r="AD163" i="7"/>
  <c r="AE163" i="7"/>
  <c r="AF163" i="7"/>
  <c r="AG163" i="7"/>
  <c r="G163" i="7" s="1"/>
  <c r="AH163" i="7"/>
  <c r="AI163" i="7"/>
  <c r="AJ163" i="7"/>
  <c r="AK163" i="7"/>
  <c r="AL163" i="7"/>
  <c r="AM163" i="7"/>
  <c r="AN163" i="7"/>
  <c r="AO163" i="7"/>
  <c r="AP163" i="7"/>
  <c r="AQ163" i="7"/>
  <c r="H163" i="7" s="1"/>
  <c r="AR163" i="7"/>
  <c r="AS163" i="7"/>
  <c r="AT163" i="7"/>
  <c r="AU163" i="7"/>
  <c r="AV163" i="7"/>
  <c r="AW163" i="7"/>
  <c r="AX163" i="7"/>
  <c r="AY163" i="7"/>
  <c r="AZ163" i="7"/>
  <c r="BA163" i="7"/>
  <c r="I163" i="7" s="1"/>
  <c r="BB163" i="7"/>
  <c r="BC163" i="7"/>
  <c r="BD163" i="7"/>
  <c r="BE163" i="7"/>
  <c r="BF163" i="7"/>
  <c r="BG163" i="7"/>
  <c r="BH163" i="7"/>
  <c r="BI163" i="7"/>
  <c r="BJ163" i="7"/>
  <c r="BK163" i="7"/>
  <c r="J163" i="7" s="1"/>
  <c r="K163" i="7"/>
  <c r="K162" i="7"/>
  <c r="K150" i="7"/>
  <c r="K151" i="7"/>
  <c r="K167" i="7" s="1"/>
  <c r="K152" i="7"/>
  <c r="K153" i="7"/>
  <c r="K154" i="7"/>
  <c r="K155" i="7"/>
  <c r="K156" i="7"/>
  <c r="K157" i="7"/>
  <c r="K173" i="7" s="1"/>
  <c r="C173" i="7" s="1"/>
  <c r="K158" i="7"/>
  <c r="K159" i="7"/>
  <c r="K175" i="7" s="1"/>
  <c r="K160" i="7"/>
  <c r="K161" i="7"/>
  <c r="K149" i="7"/>
  <c r="C9" i="7"/>
  <c r="C25" i="7" s="1"/>
  <c r="D9" i="7"/>
  <c r="D25" i="7" s="1"/>
  <c r="E9" i="7"/>
  <c r="E25" i="7" s="1"/>
  <c r="F9" i="7"/>
  <c r="F25" i="7" s="1"/>
  <c r="C10" i="7"/>
  <c r="C26" i="7" s="1"/>
  <c r="D10" i="7"/>
  <c r="D26" i="7" s="1"/>
  <c r="E10" i="7"/>
  <c r="E26" i="7" s="1"/>
  <c r="F10" i="7"/>
  <c r="F26" i="7" s="1"/>
  <c r="G10" i="7"/>
  <c r="G26" i="7" s="1"/>
  <c r="C16" i="7"/>
  <c r="C32" i="7" s="1"/>
  <c r="D16" i="7"/>
  <c r="D32" i="7" s="1"/>
  <c r="E16" i="7"/>
  <c r="E32" i="7" s="1"/>
  <c r="F16" i="7"/>
  <c r="F32" i="7" s="1"/>
  <c r="O181" i="7" l="1"/>
  <c r="O197" i="7"/>
  <c r="X238" i="8"/>
  <c r="L1" i="9"/>
  <c r="K19" i="9"/>
  <c r="X19" i="9" s="1"/>
  <c r="L192" i="7"/>
  <c r="O191" i="7"/>
  <c r="L187" i="7"/>
  <c r="L185" i="7"/>
  <c r="L184" i="7"/>
  <c r="L182" i="7"/>
  <c r="L195" i="7"/>
  <c r="O194" i="7"/>
  <c r="O193" i="7"/>
  <c r="K176" i="7"/>
  <c r="C160" i="7"/>
  <c r="K168" i="7"/>
  <c r="C152" i="7"/>
  <c r="K189" i="7"/>
  <c r="C189" i="7" s="1"/>
  <c r="L191" i="7"/>
  <c r="L188" i="7"/>
  <c r="O184" i="7"/>
  <c r="C151" i="7"/>
  <c r="M179" i="7"/>
  <c r="D163" i="7"/>
  <c r="K207" i="7"/>
  <c r="C175" i="7"/>
  <c r="K199" i="7"/>
  <c r="C167" i="7"/>
  <c r="L194" i="7"/>
  <c r="O190" i="7"/>
  <c r="O187" i="7"/>
  <c r="L181" i="7"/>
  <c r="M177" i="7"/>
  <c r="D161" i="7"/>
  <c r="M175" i="7"/>
  <c r="D159" i="7"/>
  <c r="M165" i="7"/>
  <c r="D149" i="7"/>
  <c r="K174" i="7"/>
  <c r="C158" i="7"/>
  <c r="N202" i="7"/>
  <c r="N186" i="7"/>
  <c r="N198" i="7"/>
  <c r="N182" i="7"/>
  <c r="M171" i="7"/>
  <c r="K177" i="7"/>
  <c r="C161" i="7"/>
  <c r="M173" i="7"/>
  <c r="M205" i="7" s="1"/>
  <c r="D157" i="7"/>
  <c r="N210" i="7"/>
  <c r="N194" i="7"/>
  <c r="N206" i="7"/>
  <c r="N190" i="7"/>
  <c r="N200" i="7"/>
  <c r="N184" i="7"/>
  <c r="M178" i="7"/>
  <c r="D162" i="7"/>
  <c r="M174" i="7"/>
  <c r="D158" i="7"/>
  <c r="M172" i="7"/>
  <c r="M204" i="7" s="1"/>
  <c r="D156" i="7"/>
  <c r="M170" i="7"/>
  <c r="M202" i="7" s="1"/>
  <c r="D154" i="7"/>
  <c r="M168" i="7"/>
  <c r="M200" i="7" s="1"/>
  <c r="D152" i="7"/>
  <c r="M166" i="7"/>
  <c r="M198" i="7" s="1"/>
  <c r="D150" i="7"/>
  <c r="K183" i="7"/>
  <c r="C183" i="7" s="1"/>
  <c r="L193" i="7"/>
  <c r="L190" i="7"/>
  <c r="O186" i="7"/>
  <c r="O183" i="7"/>
  <c r="K166" i="7"/>
  <c r="C150" i="7"/>
  <c r="N204" i="7"/>
  <c r="N188" i="7"/>
  <c r="K178" i="7"/>
  <c r="C162" i="7"/>
  <c r="M176" i="7"/>
  <c r="D160" i="7"/>
  <c r="K172" i="7"/>
  <c r="C156" i="7"/>
  <c r="K179" i="7"/>
  <c r="C163" i="7"/>
  <c r="O192" i="7"/>
  <c r="O189" i="7"/>
  <c r="L183" i="7"/>
  <c r="C159" i="7"/>
  <c r="M169" i="7"/>
  <c r="M201" i="7" s="1"/>
  <c r="D153" i="7"/>
  <c r="M167" i="7"/>
  <c r="D151" i="7"/>
  <c r="N208" i="7"/>
  <c r="N192" i="7"/>
  <c r="K171" i="7"/>
  <c r="C155" i="7"/>
  <c r="O195" i="7"/>
  <c r="L189" i="7"/>
  <c r="L186" i="7"/>
  <c r="O182" i="7"/>
  <c r="K169" i="7"/>
  <c r="C153" i="7"/>
  <c r="K165" i="7"/>
  <c r="C149" i="7"/>
  <c r="K170" i="7"/>
  <c r="C154" i="7"/>
  <c r="N211" i="7"/>
  <c r="N195" i="7"/>
  <c r="N209" i="7"/>
  <c r="N193" i="7"/>
  <c r="N207" i="7"/>
  <c r="N191" i="7"/>
  <c r="N205" i="7"/>
  <c r="N189" i="7"/>
  <c r="N203" i="7"/>
  <c r="N187" i="7"/>
  <c r="N201" i="7"/>
  <c r="N185" i="7"/>
  <c r="N199" i="7"/>
  <c r="N183" i="7"/>
  <c r="N197" i="7"/>
  <c r="N181" i="7"/>
  <c r="K191" i="7"/>
  <c r="C191" i="7" s="1"/>
  <c r="O188" i="7"/>
  <c r="O185" i="7"/>
  <c r="C157" i="7"/>
  <c r="K205" i="7"/>
  <c r="L235" i="7"/>
  <c r="L251" i="7" s="1"/>
  <c r="M235" i="7"/>
  <c r="M251" i="7" s="1"/>
  <c r="N235" i="7"/>
  <c r="N251" i="7" s="1"/>
  <c r="K235" i="7"/>
  <c r="K251" i="7" s="1"/>
  <c r="K140" i="7"/>
  <c r="L75" i="7"/>
  <c r="L91" i="7" s="1"/>
  <c r="M75" i="7"/>
  <c r="M91" i="7" s="1"/>
  <c r="N75" i="7"/>
  <c r="N91" i="7" s="1"/>
  <c r="L85" i="7"/>
  <c r="L101" i="7" s="1"/>
  <c r="M85" i="7"/>
  <c r="M101" i="7" s="1"/>
  <c r="N85" i="7"/>
  <c r="N101" i="7" s="1"/>
  <c r="K75" i="7"/>
  <c r="K91" i="7" s="1"/>
  <c r="K85" i="7"/>
  <c r="K101" i="7" s="1"/>
  <c r="L54" i="7"/>
  <c r="L70" i="7" s="1"/>
  <c r="M54" i="7"/>
  <c r="M70" i="7" s="1"/>
  <c r="N54" i="7"/>
  <c r="N70" i="7" s="1"/>
  <c r="K54" i="7"/>
  <c r="K70" i="7" s="1"/>
  <c r="R420" i="8"/>
  <c r="Q420" i="8"/>
  <c r="P420" i="8"/>
  <c r="O420" i="8"/>
  <c r="N420" i="8"/>
  <c r="R401" i="8"/>
  <c r="Q401" i="8"/>
  <c r="P401" i="8"/>
  <c r="O401" i="8"/>
  <c r="N401" i="8"/>
  <c r="Y238" i="8" l="1"/>
  <c r="M1" i="9"/>
  <c r="L19" i="9"/>
  <c r="Y19" i="9" s="1"/>
  <c r="K210" i="7"/>
  <c r="C178" i="7"/>
  <c r="K194" i="7"/>
  <c r="C194" i="7" s="1"/>
  <c r="D166" i="7"/>
  <c r="M182" i="7"/>
  <c r="D182" i="7" s="1"/>
  <c r="D174" i="7"/>
  <c r="M190" i="7"/>
  <c r="D190" i="7" s="1"/>
  <c r="D175" i="7"/>
  <c r="M191" i="7"/>
  <c r="D191" i="7" s="1"/>
  <c r="K208" i="7"/>
  <c r="K192" i="7"/>
  <c r="C192" i="7" s="1"/>
  <c r="C176" i="7"/>
  <c r="K197" i="7"/>
  <c r="C165" i="7"/>
  <c r="K181" i="7"/>
  <c r="C181" i="7" s="1"/>
  <c r="K203" i="7"/>
  <c r="C171" i="7"/>
  <c r="K187" i="7"/>
  <c r="C187" i="7" s="1"/>
  <c r="D167" i="7"/>
  <c r="M183" i="7"/>
  <c r="D183" i="7" s="1"/>
  <c r="K211" i="7"/>
  <c r="C179" i="7"/>
  <c r="K195" i="7"/>
  <c r="C195" i="7" s="1"/>
  <c r="D168" i="7"/>
  <c r="M184" i="7"/>
  <c r="D184" i="7" s="1"/>
  <c r="M210" i="7"/>
  <c r="D178" i="7"/>
  <c r="M194" i="7"/>
  <c r="D194" i="7" s="1"/>
  <c r="K206" i="7"/>
  <c r="C174" i="7"/>
  <c r="K190" i="7"/>
  <c r="C190" i="7" s="1"/>
  <c r="M209" i="7"/>
  <c r="D177" i="7"/>
  <c r="M193" i="7"/>
  <c r="D193" i="7" s="1"/>
  <c r="K201" i="7"/>
  <c r="C169" i="7"/>
  <c r="K185" i="7"/>
  <c r="C185" i="7" s="1"/>
  <c r="D169" i="7"/>
  <c r="M185" i="7"/>
  <c r="D185" i="7" s="1"/>
  <c r="D173" i="7"/>
  <c r="M189" i="7"/>
  <c r="D189" i="7" s="1"/>
  <c r="M211" i="7"/>
  <c r="M195" i="7"/>
  <c r="D195" i="7" s="1"/>
  <c r="D179" i="7"/>
  <c r="M199" i="7"/>
  <c r="M206" i="7"/>
  <c r="K204" i="7"/>
  <c r="C172" i="7"/>
  <c r="K188" i="7"/>
  <c r="C188" i="7" s="1"/>
  <c r="K198" i="7"/>
  <c r="C166" i="7"/>
  <c r="K182" i="7"/>
  <c r="C182" i="7" s="1"/>
  <c r="D170" i="7"/>
  <c r="M186" i="7"/>
  <c r="D186" i="7" s="1"/>
  <c r="M203" i="7"/>
  <c r="D171" i="7"/>
  <c r="M187" i="7"/>
  <c r="D187" i="7" s="1"/>
  <c r="K209" i="7"/>
  <c r="C177" i="7"/>
  <c r="K193" i="7"/>
  <c r="C193" i="7" s="1"/>
  <c r="M208" i="7"/>
  <c r="D176" i="7"/>
  <c r="M192" i="7"/>
  <c r="D192" i="7" s="1"/>
  <c r="D172" i="7"/>
  <c r="M188" i="7"/>
  <c r="D188" i="7" s="1"/>
  <c r="M197" i="7"/>
  <c r="D165" i="7"/>
  <c r="M181" i="7"/>
  <c r="D181" i="7" s="1"/>
  <c r="K200" i="7"/>
  <c r="C168" i="7"/>
  <c r="K184" i="7"/>
  <c r="C184" i="7" s="1"/>
  <c r="M207" i="7"/>
  <c r="K202" i="7"/>
  <c r="K186" i="7"/>
  <c r="C186" i="7" s="1"/>
  <c r="C170" i="7"/>
  <c r="U401" i="8"/>
  <c r="S401" i="8"/>
  <c r="T401" i="8"/>
  <c r="Z238" i="8" l="1"/>
  <c r="N1" i="9"/>
  <c r="M19" i="9"/>
  <c r="Z19" i="9" s="1"/>
  <c r="V401" i="8"/>
  <c r="AA238" i="8" l="1"/>
  <c r="O1" i="9"/>
  <c r="O19" i="9" s="1"/>
  <c r="AB19" i="9" s="1"/>
  <c r="N19" i="9"/>
  <c r="AA19" i="9" s="1"/>
  <c r="W401" i="8"/>
  <c r="AB238" i="8" l="1"/>
  <c r="X401" i="8"/>
  <c r="AC238" i="8" l="1"/>
  <c r="Y401" i="8"/>
  <c r="AD238" i="8" l="1"/>
  <c r="Z401" i="8"/>
  <c r="AE238" i="8" l="1"/>
  <c r="AA401" i="8"/>
  <c r="AF238" i="8" l="1"/>
  <c r="AB401" i="8"/>
  <c r="AG238" i="8" l="1"/>
  <c r="AC401" i="8"/>
  <c r="AH238" i="8" l="1"/>
  <c r="AD401" i="8"/>
  <c r="AI238" i="8" l="1"/>
  <c r="AE401" i="8"/>
  <c r="AJ238" i="8" l="1"/>
  <c r="AF401" i="8"/>
  <c r="AK238" i="8" l="1"/>
  <c r="AG401" i="8"/>
  <c r="AL238" i="8" l="1"/>
  <c r="AH401" i="8"/>
  <c r="AM238" i="8" l="1"/>
  <c r="AI401" i="8"/>
  <c r="AN238" i="8" l="1"/>
  <c r="AJ401" i="8"/>
  <c r="AO238" i="8" l="1"/>
  <c r="AK401" i="8"/>
  <c r="AP238" i="8" l="1"/>
  <c r="AL401" i="8"/>
  <c r="AQ238" i="8" l="1"/>
  <c r="AM401" i="8"/>
  <c r="AR238" i="8" l="1"/>
  <c r="AN401" i="8"/>
  <c r="AS238" i="8" l="1"/>
  <c r="AO401" i="8"/>
  <c r="AT238" i="8" l="1"/>
  <c r="AP401" i="8"/>
  <c r="AU238" i="8" l="1"/>
  <c r="AQ401" i="8"/>
  <c r="AV238" i="8" l="1"/>
  <c r="AR401" i="8"/>
  <c r="AW238" i="8" l="1"/>
  <c r="AS401" i="8"/>
  <c r="AX238" i="8" l="1"/>
  <c r="AT401" i="8"/>
  <c r="AY238" i="8" l="1"/>
  <c r="AU401" i="8"/>
  <c r="AZ238" i="8" l="1"/>
  <c r="AV401" i="8"/>
  <c r="BA238" i="8" l="1"/>
  <c r="AW401" i="8"/>
  <c r="BB238" i="8" l="1"/>
  <c r="AX401" i="8"/>
  <c r="BC238" i="8" l="1"/>
  <c r="AY401" i="8"/>
  <c r="BD238" i="8" l="1"/>
  <c r="AZ401" i="8"/>
  <c r="BE238" i="8" l="1"/>
  <c r="BA401" i="8"/>
  <c r="BF238" i="8" l="1"/>
  <c r="BB401" i="8"/>
  <c r="BG238" i="8" l="1"/>
  <c r="BC401" i="8"/>
  <c r="BH238" i="8" l="1"/>
  <c r="BD401" i="8"/>
  <c r="BI238" i="8" l="1"/>
  <c r="BE401" i="8"/>
  <c r="BJ238" i="8" l="1"/>
  <c r="BF401" i="8"/>
  <c r="BK238" i="8" l="1"/>
  <c r="BG401" i="8"/>
  <c r="BL238" i="8" l="1"/>
  <c r="BH401" i="8"/>
  <c r="BM238" i="8" l="1"/>
  <c r="BI401" i="8"/>
  <c r="BN238" i="8" l="1"/>
  <c r="BJ401" i="8"/>
  <c r="BO238" i="8" l="1"/>
  <c r="BB17" i="6" s="1"/>
  <c r="BK401" i="8"/>
  <c r="P17" i="6" l="1"/>
  <c r="X17" i="6"/>
  <c r="AF17" i="6"/>
  <c r="AN17" i="6"/>
  <c r="AV17" i="6"/>
  <c r="AT17" i="6"/>
  <c r="AL17" i="6"/>
  <c r="AD17" i="6"/>
  <c r="V17" i="6"/>
  <c r="J17" i="6"/>
  <c r="BA17" i="6"/>
  <c r="AS17" i="6"/>
  <c r="AK17" i="6"/>
  <c r="AC17" i="6"/>
  <c r="U17" i="6"/>
  <c r="I17" i="6"/>
  <c r="H17" i="6"/>
  <c r="AZ17" i="6"/>
  <c r="AR17" i="6"/>
  <c r="AJ17" i="6"/>
  <c r="AB17" i="6"/>
  <c r="T17" i="6"/>
  <c r="AY17" i="6"/>
  <c r="AQ17" i="6"/>
  <c r="AI17" i="6"/>
  <c r="AA17" i="6"/>
  <c r="S17" i="6"/>
  <c r="AP17" i="6"/>
  <c r="AH17" i="6"/>
  <c r="Z17" i="6"/>
  <c r="R17" i="6"/>
  <c r="AX17" i="6"/>
  <c r="AW17" i="6"/>
  <c r="AO17" i="6"/>
  <c r="AG17" i="6"/>
  <c r="Y17" i="6"/>
  <c r="Q17" i="6"/>
  <c r="AU17" i="6"/>
  <c r="AM17" i="6"/>
  <c r="AE17" i="6"/>
  <c r="W17" i="6"/>
  <c r="L17" i="6"/>
  <c r="O17" i="6"/>
  <c r="N17" i="6"/>
  <c r="M17" i="6"/>
  <c r="K17" i="6"/>
  <c r="BL401" i="8"/>
  <c r="BM401" i="8" l="1"/>
  <c r="BO401" i="8" l="1"/>
  <c r="BN401" i="8"/>
  <c r="K353" i="8" l="1"/>
  <c r="H338" i="8"/>
  <c r="G338" i="8"/>
  <c r="H337" i="8"/>
  <c r="G337" i="8"/>
  <c r="R318" i="8"/>
  <c r="Q318" i="8"/>
  <c r="P318" i="8"/>
  <c r="O318" i="8"/>
  <c r="N318" i="8"/>
  <c r="M318" i="8"/>
  <c r="L318" i="8"/>
  <c r="K318" i="8"/>
  <c r="J318" i="8"/>
  <c r="I318" i="8"/>
  <c r="H318" i="8"/>
  <c r="G318" i="8"/>
  <c r="R317" i="8"/>
  <c r="Q317" i="8"/>
  <c r="P317" i="8"/>
  <c r="O317" i="8"/>
  <c r="N317" i="8"/>
  <c r="M317" i="8"/>
  <c r="L317" i="8"/>
  <c r="K317" i="8"/>
  <c r="J317" i="8"/>
  <c r="I317" i="8"/>
  <c r="H317" i="8"/>
  <c r="G317" i="8"/>
  <c r="R310" i="8"/>
  <c r="Q310" i="8"/>
  <c r="P310" i="8"/>
  <c r="O310" i="8"/>
  <c r="N310" i="8"/>
  <c r="M310" i="8"/>
  <c r="L310" i="8"/>
  <c r="K310" i="8"/>
  <c r="J310" i="8"/>
  <c r="I310" i="8"/>
  <c r="H310" i="8"/>
  <c r="G310" i="8"/>
  <c r="R309" i="8"/>
  <c r="Q309" i="8"/>
  <c r="P309" i="8"/>
  <c r="O309" i="8"/>
  <c r="N309" i="8"/>
  <c r="M309" i="8"/>
  <c r="L309" i="8"/>
  <c r="K309" i="8"/>
  <c r="J309" i="8"/>
  <c r="I309" i="8"/>
  <c r="H309" i="8"/>
  <c r="G309" i="8"/>
  <c r="T302" i="8"/>
  <c r="U302" i="8" s="1"/>
  <c r="V302" i="8" s="1"/>
  <c r="T301" i="8"/>
  <c r="Q299" i="8"/>
  <c r="P299" i="8"/>
  <c r="O299" i="8"/>
  <c r="N299" i="8"/>
  <c r="M299" i="8"/>
  <c r="L299" i="8"/>
  <c r="K299" i="8"/>
  <c r="J299" i="8"/>
  <c r="I299" i="8"/>
  <c r="H299" i="8"/>
  <c r="G299" i="8"/>
  <c r="R295" i="8"/>
  <c r="R294" i="8"/>
  <c r="S286" i="8"/>
  <c r="T286" i="8" s="1"/>
  <c r="U286" i="8" s="1"/>
  <c r="V286" i="8" s="1"/>
  <c r="W286" i="8" s="1"/>
  <c r="X286" i="8" s="1"/>
  <c r="Y286" i="8" s="1"/>
  <c r="Z286" i="8" s="1"/>
  <c r="AA286" i="8" s="1"/>
  <c r="AB286" i="8" s="1"/>
  <c r="AC286" i="8" s="1"/>
  <c r="AD286" i="8" s="1"/>
  <c r="AE286" i="8" s="1"/>
  <c r="AF286" i="8" s="1"/>
  <c r="AG286" i="8" s="1"/>
  <c r="AH286" i="8" s="1"/>
  <c r="AI286" i="8" s="1"/>
  <c r="AJ286" i="8" s="1"/>
  <c r="AK286" i="8" s="1"/>
  <c r="AL286" i="8" s="1"/>
  <c r="AM286" i="8" s="1"/>
  <c r="AN286" i="8" s="1"/>
  <c r="AO286" i="8" s="1"/>
  <c r="AP286" i="8" s="1"/>
  <c r="AQ286" i="8" s="1"/>
  <c r="AR286" i="8" s="1"/>
  <c r="AS286" i="8" s="1"/>
  <c r="AT286" i="8" s="1"/>
  <c r="AU286" i="8" s="1"/>
  <c r="AV286" i="8" s="1"/>
  <c r="AW286" i="8" s="1"/>
  <c r="AX286" i="8" s="1"/>
  <c r="AY286" i="8" s="1"/>
  <c r="AZ286" i="8" s="1"/>
  <c r="BA286" i="8" s="1"/>
  <c r="BB286" i="8" s="1"/>
  <c r="BC286" i="8" s="1"/>
  <c r="BD286" i="8" s="1"/>
  <c r="BE286" i="8" s="1"/>
  <c r="BF286" i="8" s="1"/>
  <c r="BG286" i="8" s="1"/>
  <c r="BH286" i="8" s="1"/>
  <c r="BI286" i="8" s="1"/>
  <c r="BJ286" i="8" s="1"/>
  <c r="BK286" i="8" s="1"/>
  <c r="BL286" i="8" s="1"/>
  <c r="BM286" i="8" s="1"/>
  <c r="BN286" i="8" s="1"/>
  <c r="BO286" i="8" s="1"/>
  <c r="R278" i="8"/>
  <c r="Q278" i="8"/>
  <c r="P278" i="8"/>
  <c r="O278" i="8"/>
  <c r="N278" i="8"/>
  <c r="M278" i="8"/>
  <c r="L278" i="8"/>
  <c r="K278" i="8"/>
  <c r="J278" i="8"/>
  <c r="I278" i="8"/>
  <c r="H278" i="8"/>
  <c r="G278" i="8"/>
  <c r="R277" i="8"/>
  <c r="Q277" i="8"/>
  <c r="P277" i="8"/>
  <c r="O277" i="8"/>
  <c r="N277" i="8"/>
  <c r="M277" i="8"/>
  <c r="L277" i="8"/>
  <c r="K277" i="8"/>
  <c r="J277" i="8"/>
  <c r="I277" i="8"/>
  <c r="H277" i="8"/>
  <c r="G277" i="8"/>
  <c r="R276" i="8"/>
  <c r="Q276" i="8"/>
  <c r="P276" i="8"/>
  <c r="O276" i="8"/>
  <c r="N276" i="8"/>
  <c r="M276" i="8"/>
  <c r="L276" i="8"/>
  <c r="K276" i="8"/>
  <c r="J276" i="8"/>
  <c r="I276" i="8"/>
  <c r="H276" i="8"/>
  <c r="G276" i="8"/>
  <c r="R268" i="8"/>
  <c r="Q268" i="8"/>
  <c r="P268" i="8"/>
  <c r="O268" i="8"/>
  <c r="N268" i="8"/>
  <c r="M268" i="8"/>
  <c r="L268" i="8"/>
  <c r="R267" i="8"/>
  <c r="Q267" i="8"/>
  <c r="P267" i="8"/>
  <c r="O267" i="8"/>
  <c r="N267" i="8"/>
  <c r="M267" i="8"/>
  <c r="L267" i="8"/>
  <c r="R266" i="8"/>
  <c r="Q266" i="8"/>
  <c r="P266" i="8"/>
  <c r="O266" i="8"/>
  <c r="N266" i="8"/>
  <c r="M266" i="8"/>
  <c r="L266" i="8"/>
  <c r="R258" i="8"/>
  <c r="Q258" i="8"/>
  <c r="P258" i="8"/>
  <c r="O258" i="8"/>
  <c r="N258" i="8"/>
  <c r="M258" i="8"/>
  <c r="L258" i="8"/>
  <c r="K258" i="8"/>
  <c r="J258" i="8"/>
  <c r="I258" i="8"/>
  <c r="H258" i="8"/>
  <c r="G258" i="8"/>
  <c r="R257" i="8"/>
  <c r="Q257" i="8"/>
  <c r="P257" i="8"/>
  <c r="O257" i="8"/>
  <c r="N257" i="8"/>
  <c r="M257" i="8"/>
  <c r="L257" i="8"/>
  <c r="K257" i="8"/>
  <c r="J257" i="8"/>
  <c r="I257" i="8"/>
  <c r="H257" i="8"/>
  <c r="G257" i="8"/>
  <c r="R256" i="8"/>
  <c r="Q256" i="8"/>
  <c r="P256" i="8"/>
  <c r="O256" i="8"/>
  <c r="N256" i="8"/>
  <c r="M256" i="8"/>
  <c r="L256" i="8"/>
  <c r="K256" i="8"/>
  <c r="J256" i="8"/>
  <c r="I256" i="8"/>
  <c r="H256" i="8"/>
  <c r="G256" i="8"/>
  <c r="R244" i="8"/>
  <c r="Q244" i="8"/>
  <c r="P244" i="8"/>
  <c r="O244" i="8"/>
  <c r="N244" i="8"/>
  <c r="M244" i="8"/>
  <c r="L244" i="8"/>
  <c r="K244" i="8"/>
  <c r="J244" i="8"/>
  <c r="I244" i="8"/>
  <c r="H244" i="8"/>
  <c r="G244" i="8"/>
  <c r="R241" i="8"/>
  <c r="Q241" i="8"/>
  <c r="M88" i="7" s="1"/>
  <c r="M104" i="7" s="1"/>
  <c r="P241" i="8"/>
  <c r="L88" i="7" s="1"/>
  <c r="L104" i="7" s="1"/>
  <c r="O241" i="8"/>
  <c r="K88" i="7" s="1"/>
  <c r="K104" i="7" s="1"/>
  <c r="N241" i="8"/>
  <c r="M241" i="8"/>
  <c r="L241" i="8"/>
  <c r="K241" i="8"/>
  <c r="J241" i="8"/>
  <c r="I241" i="8"/>
  <c r="H241" i="8"/>
  <c r="G241" i="8"/>
  <c r="R236" i="8"/>
  <c r="Q236" i="8"/>
  <c r="P236" i="8"/>
  <c r="O236" i="8"/>
  <c r="N236" i="8"/>
  <c r="N238" i="8" s="1"/>
  <c r="M236" i="8"/>
  <c r="M238" i="8" s="1"/>
  <c r="L236" i="8"/>
  <c r="L238" i="8" s="1"/>
  <c r="K236" i="8"/>
  <c r="K238" i="8" s="1"/>
  <c r="J236" i="8"/>
  <c r="J238" i="8" s="1"/>
  <c r="I236" i="8"/>
  <c r="I238" i="8" s="1"/>
  <c r="H236" i="8"/>
  <c r="H238" i="8" s="1"/>
  <c r="G236" i="8"/>
  <c r="G238" i="8" s="1"/>
  <c r="O235" i="7"/>
  <c r="O251" i="7" s="1"/>
  <c r="K221" i="8"/>
  <c r="N202" i="8"/>
  <c r="M202" i="8"/>
  <c r="L202" i="8"/>
  <c r="K202" i="8"/>
  <c r="J202" i="8"/>
  <c r="I202" i="8"/>
  <c r="H202" i="8"/>
  <c r="G202" i="8"/>
  <c r="N201" i="8"/>
  <c r="M201" i="8"/>
  <c r="L201" i="8"/>
  <c r="K201" i="8"/>
  <c r="J201" i="8"/>
  <c r="I201" i="8"/>
  <c r="H201" i="8"/>
  <c r="G201" i="8"/>
  <c r="N200" i="8"/>
  <c r="M200" i="8"/>
  <c r="L200" i="8"/>
  <c r="K200" i="8"/>
  <c r="J200" i="8"/>
  <c r="I200" i="8"/>
  <c r="H200" i="8"/>
  <c r="G200" i="8"/>
  <c r="N199" i="8"/>
  <c r="M199" i="8"/>
  <c r="K199" i="8"/>
  <c r="J199" i="8"/>
  <c r="I199" i="8"/>
  <c r="H199" i="8"/>
  <c r="G199" i="8"/>
  <c r="N198" i="8"/>
  <c r="M198" i="8"/>
  <c r="L198" i="8"/>
  <c r="K198" i="8"/>
  <c r="J198" i="8"/>
  <c r="I198" i="8"/>
  <c r="H198" i="8"/>
  <c r="G198" i="8"/>
  <c r="N197" i="8"/>
  <c r="M197" i="8"/>
  <c r="L197" i="8"/>
  <c r="K197" i="8"/>
  <c r="J197" i="8"/>
  <c r="I197" i="8"/>
  <c r="H197" i="8"/>
  <c r="G197" i="8"/>
  <c r="N196" i="8"/>
  <c r="M196" i="8"/>
  <c r="L196" i="8"/>
  <c r="K196" i="8"/>
  <c r="J196" i="8"/>
  <c r="I196" i="8"/>
  <c r="H196" i="8"/>
  <c r="G196" i="8"/>
  <c r="N195" i="8"/>
  <c r="M195" i="8"/>
  <c r="L195" i="8"/>
  <c r="K195" i="8"/>
  <c r="J195" i="8"/>
  <c r="I195" i="8"/>
  <c r="H195" i="8"/>
  <c r="G195" i="8"/>
  <c r="N194" i="8"/>
  <c r="M194" i="8"/>
  <c r="L194" i="8"/>
  <c r="K194" i="8"/>
  <c r="J194" i="8"/>
  <c r="I194" i="8"/>
  <c r="H194" i="8"/>
  <c r="G194" i="8"/>
  <c r="N193" i="8"/>
  <c r="M193" i="8"/>
  <c r="L193" i="8"/>
  <c r="K193" i="8"/>
  <c r="J193" i="8"/>
  <c r="I193" i="8"/>
  <c r="H193" i="8"/>
  <c r="G193" i="8"/>
  <c r="K192" i="8"/>
  <c r="J192" i="8"/>
  <c r="I192" i="8"/>
  <c r="H192" i="8"/>
  <c r="G192" i="8"/>
  <c r="N191" i="8"/>
  <c r="M191" i="8"/>
  <c r="L191" i="8"/>
  <c r="K191" i="8"/>
  <c r="J191" i="8"/>
  <c r="I191" i="8"/>
  <c r="H191" i="8"/>
  <c r="G191" i="8"/>
  <c r="N190" i="8"/>
  <c r="M190" i="8"/>
  <c r="L190" i="8"/>
  <c r="K190" i="8"/>
  <c r="J190" i="8"/>
  <c r="I190" i="8"/>
  <c r="H190" i="8"/>
  <c r="G190" i="8"/>
  <c r="R168" i="8"/>
  <c r="R221" i="8" s="1"/>
  <c r="Q168" i="8"/>
  <c r="Q221" i="8" s="1"/>
  <c r="P168" i="8"/>
  <c r="P221" i="8" s="1"/>
  <c r="O168" i="8"/>
  <c r="O221" i="8" s="1"/>
  <c r="N168" i="8"/>
  <c r="N221" i="8" s="1"/>
  <c r="M168" i="8"/>
  <c r="M221" i="8" s="1"/>
  <c r="L168" i="8"/>
  <c r="L221" i="8" s="1"/>
  <c r="M86" i="7"/>
  <c r="M102" i="7" s="1"/>
  <c r="L86" i="7"/>
  <c r="L102" i="7" s="1"/>
  <c r="K86" i="7"/>
  <c r="K102" i="7" s="1"/>
  <c r="M84" i="7"/>
  <c r="M100" i="7" s="1"/>
  <c r="L84" i="7"/>
  <c r="L100" i="7" s="1"/>
  <c r="K84" i="7"/>
  <c r="K100" i="7" s="1"/>
  <c r="M83" i="7"/>
  <c r="M99" i="7" s="1"/>
  <c r="L83" i="7"/>
  <c r="L99" i="7" s="1"/>
  <c r="K83" i="7"/>
  <c r="K99" i="7" s="1"/>
  <c r="M82" i="7"/>
  <c r="M98" i="7" s="1"/>
  <c r="L82" i="7"/>
  <c r="L98" i="7" s="1"/>
  <c r="K82" i="7"/>
  <c r="K98" i="7" s="1"/>
  <c r="N81" i="7"/>
  <c r="N97" i="7" s="1"/>
  <c r="M81" i="7"/>
  <c r="M97" i="7" s="1"/>
  <c r="L81" i="7"/>
  <c r="L97" i="7" s="1"/>
  <c r="K81" i="7"/>
  <c r="K97" i="7" s="1"/>
  <c r="M80" i="7"/>
  <c r="M96" i="7" s="1"/>
  <c r="L80" i="7"/>
  <c r="L96" i="7" s="1"/>
  <c r="K80" i="7"/>
  <c r="K96" i="7" s="1"/>
  <c r="M79" i="7"/>
  <c r="M95" i="7" s="1"/>
  <c r="L79" i="7"/>
  <c r="L95" i="7" s="1"/>
  <c r="K79" i="7"/>
  <c r="K95" i="7" s="1"/>
  <c r="M78" i="7"/>
  <c r="M94" i="7" s="1"/>
  <c r="L78" i="7"/>
  <c r="L94" i="7" s="1"/>
  <c r="K78" i="7"/>
  <c r="K94" i="7" s="1"/>
  <c r="M77" i="7"/>
  <c r="M93" i="7" s="1"/>
  <c r="L77" i="7"/>
  <c r="L93" i="7" s="1"/>
  <c r="K77" i="7"/>
  <c r="K93" i="7" s="1"/>
  <c r="M76" i="7"/>
  <c r="M92" i="7" s="1"/>
  <c r="L76" i="7"/>
  <c r="L92" i="7" s="1"/>
  <c r="K76" i="7"/>
  <c r="K92" i="7" s="1"/>
  <c r="G155" i="8"/>
  <c r="R129" i="8"/>
  <c r="Q129" i="8"/>
  <c r="P129" i="8"/>
  <c r="O129" i="8"/>
  <c r="N129" i="8"/>
  <c r="M129" i="8"/>
  <c r="L129" i="8"/>
  <c r="K129" i="8"/>
  <c r="U117" i="8"/>
  <c r="V117" i="8" s="1"/>
  <c r="W117" i="8" s="1"/>
  <c r="X117" i="8" s="1"/>
  <c r="Y117" i="8" s="1"/>
  <c r="Z117" i="8" s="1"/>
  <c r="AA117" i="8" s="1"/>
  <c r="AB117" i="8" s="1"/>
  <c r="AC117" i="8" s="1"/>
  <c r="AD117" i="8" s="1"/>
  <c r="AE117" i="8" s="1"/>
  <c r="AF117" i="8" s="1"/>
  <c r="AG117" i="8" s="1"/>
  <c r="AH117" i="8" s="1"/>
  <c r="AI117" i="8" s="1"/>
  <c r="AJ117" i="8" s="1"/>
  <c r="AK117" i="8" s="1"/>
  <c r="AL117" i="8" s="1"/>
  <c r="AM117" i="8" s="1"/>
  <c r="AN117" i="8" s="1"/>
  <c r="AO117" i="8" s="1"/>
  <c r="AP117" i="8" s="1"/>
  <c r="AQ117" i="8" s="1"/>
  <c r="AR117" i="8" s="1"/>
  <c r="AS117" i="8" s="1"/>
  <c r="AT117" i="8" s="1"/>
  <c r="AU117" i="8" s="1"/>
  <c r="AV117" i="8" s="1"/>
  <c r="AW117" i="8" s="1"/>
  <c r="AX117" i="8" s="1"/>
  <c r="AY117" i="8" s="1"/>
  <c r="AZ117" i="8" s="1"/>
  <c r="BA117" i="8" s="1"/>
  <c r="BB117" i="8" s="1"/>
  <c r="BC117" i="8" s="1"/>
  <c r="BD117" i="8" s="1"/>
  <c r="BE117" i="8" s="1"/>
  <c r="BF117" i="8" s="1"/>
  <c r="BG117" i="8" s="1"/>
  <c r="BH117" i="8" s="1"/>
  <c r="BI117" i="8" s="1"/>
  <c r="BJ117" i="8" s="1"/>
  <c r="BK117" i="8" s="1"/>
  <c r="BL117" i="8" s="1"/>
  <c r="BM117" i="8" s="1"/>
  <c r="BN117" i="8" s="1"/>
  <c r="BO117" i="8" s="1"/>
  <c r="C116" i="8"/>
  <c r="R110" i="8"/>
  <c r="Q110" i="8"/>
  <c r="P110" i="8"/>
  <c r="O110" i="8"/>
  <c r="N110" i="8"/>
  <c r="N220" i="8" s="1"/>
  <c r="M110" i="8"/>
  <c r="M220" i="8" s="1"/>
  <c r="L110" i="8"/>
  <c r="L220" i="8" s="1"/>
  <c r="K110" i="8"/>
  <c r="J110" i="8"/>
  <c r="I110" i="8"/>
  <c r="H110" i="8"/>
  <c r="G110" i="8"/>
  <c r="R109" i="8"/>
  <c r="R219" i="8" s="1"/>
  <c r="Q109" i="8"/>
  <c r="P109" i="8"/>
  <c r="O109" i="8"/>
  <c r="N109" i="8"/>
  <c r="N219" i="8" s="1"/>
  <c r="M109" i="8"/>
  <c r="M219" i="8" s="1"/>
  <c r="L109" i="8"/>
  <c r="L219" i="8" s="1"/>
  <c r="K109" i="8"/>
  <c r="J109" i="8"/>
  <c r="I109" i="8"/>
  <c r="H109" i="8"/>
  <c r="G109" i="8"/>
  <c r="R108" i="8"/>
  <c r="Q108" i="8"/>
  <c r="P108" i="8"/>
  <c r="O108" i="8"/>
  <c r="N108" i="8"/>
  <c r="N218" i="8" s="1"/>
  <c r="M108" i="8"/>
  <c r="M218" i="8" s="1"/>
  <c r="L108" i="8"/>
  <c r="L218" i="8" s="1"/>
  <c r="K108" i="8"/>
  <c r="J108" i="8"/>
  <c r="I108" i="8"/>
  <c r="H108" i="8"/>
  <c r="G108" i="8"/>
  <c r="R107" i="8"/>
  <c r="Q107" i="8"/>
  <c r="P107" i="8"/>
  <c r="O107" i="8"/>
  <c r="N107" i="8"/>
  <c r="N217" i="8" s="1"/>
  <c r="M107" i="8"/>
  <c r="M217" i="8" s="1"/>
  <c r="L107" i="8"/>
  <c r="L217" i="8" s="1"/>
  <c r="K107" i="8"/>
  <c r="J107" i="8"/>
  <c r="I107" i="8"/>
  <c r="H107" i="8"/>
  <c r="G107" i="8"/>
  <c r="R106" i="8"/>
  <c r="Q106" i="8"/>
  <c r="P106" i="8"/>
  <c r="O106" i="8"/>
  <c r="N106" i="8"/>
  <c r="N216" i="8" s="1"/>
  <c r="M106" i="8"/>
  <c r="M216" i="8" s="1"/>
  <c r="L106" i="8"/>
  <c r="L216" i="8" s="1"/>
  <c r="K106" i="8"/>
  <c r="J106" i="8"/>
  <c r="I106" i="8"/>
  <c r="H106" i="8"/>
  <c r="G106" i="8"/>
  <c r="R105" i="8"/>
  <c r="R215" i="8" s="1"/>
  <c r="Q105" i="8"/>
  <c r="P105" i="8"/>
  <c r="O105" i="8"/>
  <c r="N105" i="8"/>
  <c r="N215" i="8" s="1"/>
  <c r="M105" i="8"/>
  <c r="M215" i="8" s="1"/>
  <c r="L105" i="8"/>
  <c r="L215" i="8" s="1"/>
  <c r="K105" i="8"/>
  <c r="J105" i="8"/>
  <c r="J214" i="8" s="1"/>
  <c r="I105" i="8"/>
  <c r="I214" i="8" s="1"/>
  <c r="H105" i="8"/>
  <c r="H214" i="8" s="1"/>
  <c r="G105" i="8"/>
  <c r="R104" i="8"/>
  <c r="Q104" i="8"/>
  <c r="P104" i="8"/>
  <c r="O104" i="8"/>
  <c r="N104" i="8"/>
  <c r="N214" i="8" s="1"/>
  <c r="M104" i="8"/>
  <c r="M214" i="8" s="1"/>
  <c r="L104" i="8"/>
  <c r="L214" i="8" s="1"/>
  <c r="K104" i="8"/>
  <c r="J104" i="8"/>
  <c r="I104" i="8"/>
  <c r="H104" i="8"/>
  <c r="G104" i="8"/>
  <c r="R103" i="8"/>
  <c r="Q103" i="8"/>
  <c r="P103" i="8"/>
  <c r="O103" i="8"/>
  <c r="N103" i="8"/>
  <c r="N213" i="8" s="1"/>
  <c r="M103" i="8"/>
  <c r="M213" i="8" s="1"/>
  <c r="L103" i="8"/>
  <c r="L213" i="8" s="1"/>
  <c r="K103" i="8"/>
  <c r="J103" i="8"/>
  <c r="I103" i="8"/>
  <c r="H103" i="8"/>
  <c r="G103" i="8"/>
  <c r="R102" i="8"/>
  <c r="Q102" i="8"/>
  <c r="P102" i="8"/>
  <c r="O102" i="8"/>
  <c r="N102" i="8"/>
  <c r="N212" i="8" s="1"/>
  <c r="M102" i="8"/>
  <c r="M212" i="8" s="1"/>
  <c r="L102" i="8"/>
  <c r="L212" i="8" s="1"/>
  <c r="K102" i="8"/>
  <c r="J102" i="8"/>
  <c r="I102" i="8"/>
  <c r="H102" i="8"/>
  <c r="G102" i="8"/>
  <c r="R101" i="8"/>
  <c r="Q101" i="8"/>
  <c r="P101" i="8"/>
  <c r="O101" i="8"/>
  <c r="N101" i="8"/>
  <c r="N211" i="8" s="1"/>
  <c r="M101" i="8"/>
  <c r="M211" i="8" s="1"/>
  <c r="L101" i="8"/>
  <c r="L211" i="8" s="1"/>
  <c r="K101" i="8"/>
  <c r="J101" i="8"/>
  <c r="I101" i="8"/>
  <c r="H101" i="8"/>
  <c r="G101" i="8"/>
  <c r="R100" i="8"/>
  <c r="Q100" i="8"/>
  <c r="P100" i="8"/>
  <c r="P210" i="8" s="1"/>
  <c r="O100" i="8"/>
  <c r="N100" i="8"/>
  <c r="N210" i="8" s="1"/>
  <c r="M100" i="8"/>
  <c r="M210" i="8" s="1"/>
  <c r="L100" i="8"/>
  <c r="L210" i="8" s="1"/>
  <c r="K100" i="8"/>
  <c r="J100" i="8"/>
  <c r="I100" i="8"/>
  <c r="H100" i="8"/>
  <c r="G100" i="8"/>
  <c r="R99" i="8"/>
  <c r="Q99" i="8"/>
  <c r="P99" i="8"/>
  <c r="P209" i="8" s="1"/>
  <c r="O99" i="8"/>
  <c r="N99" i="8"/>
  <c r="N209" i="8" s="1"/>
  <c r="M99" i="8"/>
  <c r="M209" i="8" s="1"/>
  <c r="L99" i="8"/>
  <c r="L209" i="8" s="1"/>
  <c r="K99" i="8"/>
  <c r="J99" i="8"/>
  <c r="I99" i="8"/>
  <c r="H99" i="8"/>
  <c r="G99" i="8"/>
  <c r="R98" i="8"/>
  <c r="P98" i="8"/>
  <c r="O98" i="8"/>
  <c r="N98" i="8"/>
  <c r="N208" i="8" s="1"/>
  <c r="M98" i="8"/>
  <c r="M208" i="8" s="1"/>
  <c r="L98" i="8"/>
  <c r="K98" i="8"/>
  <c r="J98" i="8"/>
  <c r="I98" i="8"/>
  <c r="H98" i="8"/>
  <c r="G98" i="8"/>
  <c r="J71" i="8"/>
  <c r="J55" i="8" s="1"/>
  <c r="I71" i="8"/>
  <c r="I55" i="8" s="1"/>
  <c r="H71" i="8"/>
  <c r="H55" i="8" s="1"/>
  <c r="G71" i="8"/>
  <c r="G55" i="8" s="1"/>
  <c r="R70" i="8"/>
  <c r="Q70" i="8"/>
  <c r="P70" i="8"/>
  <c r="O70" i="8"/>
  <c r="N70" i="8"/>
  <c r="M70" i="8"/>
  <c r="L70" i="8"/>
  <c r="K70" i="8"/>
  <c r="J70" i="8"/>
  <c r="I70" i="8"/>
  <c r="H70" i="8"/>
  <c r="G70" i="8"/>
  <c r="R69" i="8"/>
  <c r="Q69" i="8"/>
  <c r="P69" i="8"/>
  <c r="O69" i="8"/>
  <c r="N69" i="8"/>
  <c r="M69" i="8"/>
  <c r="L69" i="8"/>
  <c r="K69" i="8"/>
  <c r="J69" i="8"/>
  <c r="I69" i="8"/>
  <c r="H69" i="8"/>
  <c r="G69" i="8"/>
  <c r="R68" i="8"/>
  <c r="Q68" i="8"/>
  <c r="P68" i="8"/>
  <c r="O68" i="8"/>
  <c r="N68" i="8"/>
  <c r="M68" i="8"/>
  <c r="L68" i="8"/>
  <c r="K68" i="8"/>
  <c r="J68" i="8"/>
  <c r="I68" i="8"/>
  <c r="H68" i="8"/>
  <c r="G68" i="8"/>
  <c r="R67" i="8"/>
  <c r="Q67" i="8"/>
  <c r="P67" i="8"/>
  <c r="O67" i="8"/>
  <c r="N67" i="8"/>
  <c r="M67" i="8"/>
  <c r="L67" i="8"/>
  <c r="K67" i="8"/>
  <c r="J67" i="8"/>
  <c r="I67" i="8"/>
  <c r="H67" i="8"/>
  <c r="G67" i="8"/>
  <c r="R66" i="8"/>
  <c r="Q66" i="8"/>
  <c r="P66" i="8"/>
  <c r="O66" i="8"/>
  <c r="N66" i="8"/>
  <c r="M66" i="8"/>
  <c r="L66" i="8"/>
  <c r="K66" i="8"/>
  <c r="J66" i="8"/>
  <c r="I66" i="8"/>
  <c r="H66" i="8"/>
  <c r="G66" i="8"/>
  <c r="R65" i="8"/>
  <c r="Q65" i="8"/>
  <c r="P65" i="8"/>
  <c r="O65" i="8"/>
  <c r="N65" i="8"/>
  <c r="M65" i="8"/>
  <c r="L65" i="8"/>
  <c r="K65" i="8"/>
  <c r="J65" i="8"/>
  <c r="I65" i="8"/>
  <c r="H65" i="8"/>
  <c r="G65" i="8"/>
  <c r="R64" i="8"/>
  <c r="Q64" i="8"/>
  <c r="P64" i="8"/>
  <c r="O64" i="8"/>
  <c r="N64" i="8"/>
  <c r="M64" i="8"/>
  <c r="L64" i="8"/>
  <c r="K64" i="8"/>
  <c r="J64" i="8"/>
  <c r="I64" i="8"/>
  <c r="H64" i="8"/>
  <c r="G64" i="8"/>
  <c r="R63" i="8"/>
  <c r="Q63" i="8"/>
  <c r="P63" i="8"/>
  <c r="O63" i="8"/>
  <c r="N63" i="8"/>
  <c r="M63" i="8"/>
  <c r="L63" i="8"/>
  <c r="K63" i="8"/>
  <c r="J63" i="8"/>
  <c r="I63" i="8"/>
  <c r="H63" i="8"/>
  <c r="G63" i="8"/>
  <c r="R62" i="8"/>
  <c r="Q62" i="8"/>
  <c r="P62" i="8"/>
  <c r="O62" i="8"/>
  <c r="N62" i="8"/>
  <c r="M62" i="8"/>
  <c r="L62" i="8"/>
  <c r="K62" i="8"/>
  <c r="J62" i="8"/>
  <c r="I62" i="8"/>
  <c r="H62" i="8"/>
  <c r="G62" i="8"/>
  <c r="R61" i="8"/>
  <c r="Q61" i="8"/>
  <c r="P61" i="8"/>
  <c r="O61" i="8"/>
  <c r="N61" i="8"/>
  <c r="M61" i="8"/>
  <c r="L61" i="8"/>
  <c r="K61" i="8"/>
  <c r="J61" i="8"/>
  <c r="I61" i="8"/>
  <c r="H61" i="8"/>
  <c r="G61" i="8"/>
  <c r="R60" i="8"/>
  <c r="Q60" i="8"/>
  <c r="P60" i="8"/>
  <c r="O60" i="8"/>
  <c r="N60" i="8"/>
  <c r="M60" i="8"/>
  <c r="L60" i="8"/>
  <c r="K60" i="8"/>
  <c r="J60" i="8"/>
  <c r="I60" i="8"/>
  <c r="H60" i="8"/>
  <c r="G60" i="8"/>
  <c r="R59" i="8"/>
  <c r="Q59" i="8"/>
  <c r="P59" i="8"/>
  <c r="O59" i="8"/>
  <c r="N59" i="8"/>
  <c r="M59" i="8"/>
  <c r="L59" i="8"/>
  <c r="K59" i="8"/>
  <c r="J59" i="8"/>
  <c r="I59" i="8"/>
  <c r="H59" i="8"/>
  <c r="G59" i="8"/>
  <c r="R58" i="8"/>
  <c r="Q58" i="8"/>
  <c r="P58" i="8"/>
  <c r="O58" i="8"/>
  <c r="N58" i="8"/>
  <c r="M58" i="8"/>
  <c r="L58" i="8"/>
  <c r="K58" i="8"/>
  <c r="J58" i="8"/>
  <c r="I58" i="8"/>
  <c r="H58" i="8"/>
  <c r="G58" i="8"/>
  <c r="R37" i="8"/>
  <c r="N234" i="7" s="1"/>
  <c r="N250" i="7" s="1"/>
  <c r="Q37" i="8"/>
  <c r="M234" i="7" s="1"/>
  <c r="M250" i="7" s="1"/>
  <c r="P37" i="8"/>
  <c r="L234" i="7" s="1"/>
  <c r="L250" i="7" s="1"/>
  <c r="O37" i="8"/>
  <c r="K234" i="7" s="1"/>
  <c r="K250" i="7" s="1"/>
  <c r="N37" i="8"/>
  <c r="M37" i="8"/>
  <c r="L37" i="8"/>
  <c r="K37" i="8"/>
  <c r="J37" i="8"/>
  <c r="I37" i="8"/>
  <c r="H37" i="8"/>
  <c r="G37" i="8"/>
  <c r="R36" i="8"/>
  <c r="N233" i="7" s="1"/>
  <c r="Q36" i="8"/>
  <c r="M233" i="7" s="1"/>
  <c r="P36" i="8"/>
  <c r="L233" i="7" s="1"/>
  <c r="L249" i="7" s="1"/>
  <c r="O36" i="8"/>
  <c r="K233" i="7" s="1"/>
  <c r="K249" i="7" s="1"/>
  <c r="N36" i="8"/>
  <c r="M36" i="8"/>
  <c r="L36" i="8"/>
  <c r="K36" i="8"/>
  <c r="J36" i="8"/>
  <c r="I36" i="8"/>
  <c r="H36" i="8"/>
  <c r="G36" i="8"/>
  <c r="R35" i="8"/>
  <c r="N232" i="7" s="1"/>
  <c r="Q35" i="8"/>
  <c r="M232" i="7" s="1"/>
  <c r="P35" i="8"/>
  <c r="L232" i="7" s="1"/>
  <c r="L248" i="7" s="1"/>
  <c r="O35" i="8"/>
  <c r="K232" i="7" s="1"/>
  <c r="K248" i="7" s="1"/>
  <c r="N35" i="8"/>
  <c r="M35" i="8"/>
  <c r="L35" i="8"/>
  <c r="K35" i="8"/>
  <c r="J35" i="8"/>
  <c r="I35" i="8"/>
  <c r="H35" i="8"/>
  <c r="G35" i="8"/>
  <c r="R34" i="8"/>
  <c r="Q34" i="8"/>
  <c r="M231" i="7" s="1"/>
  <c r="P34" i="8"/>
  <c r="L231" i="7" s="1"/>
  <c r="L247" i="7" s="1"/>
  <c r="O34" i="8"/>
  <c r="K231" i="7" s="1"/>
  <c r="K247" i="7" s="1"/>
  <c r="N34" i="8"/>
  <c r="M34" i="8"/>
  <c r="L34" i="8"/>
  <c r="K34" i="8"/>
  <c r="J34" i="8"/>
  <c r="I34" i="8"/>
  <c r="H34" i="8"/>
  <c r="G34" i="8"/>
  <c r="R33" i="8"/>
  <c r="N230" i="7" s="1"/>
  <c r="Q33" i="8"/>
  <c r="M230" i="7" s="1"/>
  <c r="P33" i="8"/>
  <c r="L230" i="7" s="1"/>
  <c r="L246" i="7" s="1"/>
  <c r="O33" i="8"/>
  <c r="K230" i="7" s="1"/>
  <c r="K246" i="7" s="1"/>
  <c r="N33" i="8"/>
  <c r="M33" i="8"/>
  <c r="L33" i="8"/>
  <c r="K33" i="8"/>
  <c r="J33" i="8"/>
  <c r="I33" i="8"/>
  <c r="H33" i="8"/>
  <c r="G33" i="8"/>
  <c r="R32" i="8"/>
  <c r="N229" i="7" s="1"/>
  <c r="Q32" i="8"/>
  <c r="M229" i="7" s="1"/>
  <c r="P32" i="8"/>
  <c r="L229" i="7" s="1"/>
  <c r="L245" i="7" s="1"/>
  <c r="O32" i="8"/>
  <c r="K229" i="7" s="1"/>
  <c r="K245" i="7" s="1"/>
  <c r="N32" i="8"/>
  <c r="M32" i="8"/>
  <c r="L32" i="8"/>
  <c r="K32" i="8"/>
  <c r="J32" i="8"/>
  <c r="I32" i="8"/>
  <c r="H32" i="8"/>
  <c r="G32" i="8"/>
  <c r="R31" i="8"/>
  <c r="N228" i="7" s="1"/>
  <c r="Q31" i="8"/>
  <c r="M228" i="7" s="1"/>
  <c r="P31" i="8"/>
  <c r="L228" i="7" s="1"/>
  <c r="L244" i="7" s="1"/>
  <c r="O31" i="8"/>
  <c r="K228" i="7" s="1"/>
  <c r="K244" i="7" s="1"/>
  <c r="N31" i="8"/>
  <c r="M31" i="8"/>
  <c r="L31" i="8"/>
  <c r="K31" i="8"/>
  <c r="J31" i="8"/>
  <c r="I31" i="8"/>
  <c r="H31" i="8"/>
  <c r="G31" i="8"/>
  <c r="R30" i="8"/>
  <c r="N227" i="7" s="1"/>
  <c r="Q30" i="8"/>
  <c r="M227" i="7" s="1"/>
  <c r="P30" i="8"/>
  <c r="L227" i="7" s="1"/>
  <c r="L243" i="7" s="1"/>
  <c r="O30" i="8"/>
  <c r="K227" i="7" s="1"/>
  <c r="K243" i="7" s="1"/>
  <c r="N30" i="8"/>
  <c r="M30" i="8"/>
  <c r="L30" i="8"/>
  <c r="K30" i="8"/>
  <c r="J30" i="8"/>
  <c r="I30" i="8"/>
  <c r="H30" i="8"/>
  <c r="G30" i="8"/>
  <c r="R29" i="8"/>
  <c r="N226" i="7" s="1"/>
  <c r="Q29" i="8"/>
  <c r="M226" i="7" s="1"/>
  <c r="P29" i="8"/>
  <c r="L226" i="7" s="1"/>
  <c r="L242" i="7" s="1"/>
  <c r="O29" i="8"/>
  <c r="K226" i="7" s="1"/>
  <c r="K242" i="7" s="1"/>
  <c r="N29" i="8"/>
  <c r="M29" i="8"/>
  <c r="L29" i="8"/>
  <c r="K29" i="8"/>
  <c r="J29" i="8"/>
  <c r="I29" i="8"/>
  <c r="H29" i="8"/>
  <c r="G29" i="8"/>
  <c r="R28" i="8"/>
  <c r="N225" i="7" s="1"/>
  <c r="Q28" i="8"/>
  <c r="M225" i="7" s="1"/>
  <c r="P28" i="8"/>
  <c r="L225" i="7" s="1"/>
  <c r="L241" i="7" s="1"/>
  <c r="O28" i="8"/>
  <c r="K225" i="7" s="1"/>
  <c r="K241" i="7" s="1"/>
  <c r="N28" i="8"/>
  <c r="M28" i="8"/>
  <c r="L28" i="8"/>
  <c r="K28" i="8"/>
  <c r="J28" i="8"/>
  <c r="I28" i="8"/>
  <c r="H28" i="8"/>
  <c r="G28" i="8"/>
  <c r="R27" i="8"/>
  <c r="N224" i="7" s="1"/>
  <c r="Q27" i="8"/>
  <c r="M224" i="7" s="1"/>
  <c r="P27" i="8"/>
  <c r="L224" i="7" s="1"/>
  <c r="L240" i="7" s="1"/>
  <c r="O27" i="8"/>
  <c r="K224" i="7" s="1"/>
  <c r="K240" i="7" s="1"/>
  <c r="N27" i="8"/>
  <c r="M27" i="8"/>
  <c r="L27" i="8"/>
  <c r="K27" i="8"/>
  <c r="J27" i="8"/>
  <c r="I27" i="8"/>
  <c r="H27" i="8"/>
  <c r="G27" i="8"/>
  <c r="R26" i="8"/>
  <c r="Q26" i="8"/>
  <c r="M223" i="7" s="1"/>
  <c r="P26" i="8"/>
  <c r="L223" i="7" s="1"/>
  <c r="L239" i="7" s="1"/>
  <c r="O26" i="8"/>
  <c r="K223" i="7" s="1"/>
  <c r="K239" i="7" s="1"/>
  <c r="N26" i="8"/>
  <c r="M26" i="8"/>
  <c r="L26" i="8"/>
  <c r="K26" i="8"/>
  <c r="J26" i="8"/>
  <c r="I26" i="8"/>
  <c r="H26" i="8"/>
  <c r="G26" i="8"/>
  <c r="R25" i="8"/>
  <c r="N222" i="7" s="1"/>
  <c r="Q25" i="8"/>
  <c r="M222" i="7" s="1"/>
  <c r="P25" i="8"/>
  <c r="L222" i="7" s="1"/>
  <c r="L238" i="7" s="1"/>
  <c r="O25" i="8"/>
  <c r="K222" i="7" s="1"/>
  <c r="K238" i="7" s="1"/>
  <c r="N25" i="8"/>
  <c r="M25" i="8"/>
  <c r="L25" i="8"/>
  <c r="K25" i="8"/>
  <c r="J25" i="8"/>
  <c r="I25" i="8"/>
  <c r="H25" i="8"/>
  <c r="G25" i="8"/>
  <c r="R24" i="8"/>
  <c r="N221" i="7" s="1"/>
  <c r="Q24" i="8"/>
  <c r="M221" i="7" s="1"/>
  <c r="P24" i="8"/>
  <c r="L221" i="7" s="1"/>
  <c r="L237" i="7" s="1"/>
  <c r="O24" i="8"/>
  <c r="K221" i="7" s="1"/>
  <c r="N24" i="8"/>
  <c r="M24" i="8"/>
  <c r="L24" i="8"/>
  <c r="K24" i="8"/>
  <c r="J24" i="8"/>
  <c r="I24" i="8"/>
  <c r="H24" i="8"/>
  <c r="G24" i="8"/>
  <c r="F52" i="3"/>
  <c r="F51" i="3"/>
  <c r="G51" i="3" s="1"/>
  <c r="G83" i="6" s="1"/>
  <c r="F50" i="3"/>
  <c r="G50" i="3" s="1"/>
  <c r="G82" i="6" s="1"/>
  <c r="F49" i="3"/>
  <c r="F48" i="3"/>
  <c r="G48" i="3" s="1"/>
  <c r="G80" i="6" s="1"/>
  <c r="F47" i="3"/>
  <c r="F46" i="3"/>
  <c r="G46" i="3" s="1"/>
  <c r="G78" i="6" s="1"/>
  <c r="F45" i="3"/>
  <c r="G45" i="3" s="1"/>
  <c r="F44" i="3"/>
  <c r="G44" i="3" s="1"/>
  <c r="H44" i="3" s="1"/>
  <c r="I44" i="3" s="1"/>
  <c r="J44" i="3" s="1"/>
  <c r="K44" i="3" s="1"/>
  <c r="L44" i="3" s="1"/>
  <c r="F43" i="3"/>
  <c r="G43" i="3" s="1"/>
  <c r="G75" i="6" s="1"/>
  <c r="F42" i="3"/>
  <c r="G42" i="3" s="1"/>
  <c r="F41" i="3"/>
  <c r="F40" i="3"/>
  <c r="F39" i="3"/>
  <c r="F38" i="3"/>
  <c r="F5" i="3"/>
  <c r="P223" i="7" l="1"/>
  <c r="N223" i="7"/>
  <c r="P231" i="7"/>
  <c r="N231" i="7"/>
  <c r="K237" i="7"/>
  <c r="M238" i="7"/>
  <c r="M239" i="7"/>
  <c r="M240" i="7"/>
  <c r="M241" i="7"/>
  <c r="M242" i="7"/>
  <c r="M244" i="7"/>
  <c r="N244" i="7"/>
  <c r="M245" i="7"/>
  <c r="M246" i="7"/>
  <c r="M247" i="7"/>
  <c r="M248" i="7"/>
  <c r="N248" i="7"/>
  <c r="M249" i="7"/>
  <c r="N249" i="7"/>
  <c r="K127" i="7"/>
  <c r="O208" i="8"/>
  <c r="Q98" i="8"/>
  <c r="Q208" i="8" s="1"/>
  <c r="P208" i="8"/>
  <c r="R208" i="8"/>
  <c r="K128" i="7"/>
  <c r="O209" i="8"/>
  <c r="Q209" i="8"/>
  <c r="R209" i="8"/>
  <c r="K129" i="7"/>
  <c r="O210" i="8"/>
  <c r="Q210" i="8"/>
  <c r="R210" i="8"/>
  <c r="N42" i="7" s="1"/>
  <c r="N58" i="7" s="1"/>
  <c r="K130" i="7"/>
  <c r="O211" i="8"/>
  <c r="P211" i="8"/>
  <c r="Q211" i="8"/>
  <c r="R211" i="8"/>
  <c r="N43" i="7" s="1"/>
  <c r="N59" i="7" s="1"/>
  <c r="K131" i="7"/>
  <c r="O212" i="8"/>
  <c r="K44" i="7" s="1"/>
  <c r="K60" i="7" s="1"/>
  <c r="P212" i="8"/>
  <c r="L44" i="7" s="1"/>
  <c r="L60" i="7" s="1"/>
  <c r="Q212" i="8"/>
  <c r="R212" i="8"/>
  <c r="K132" i="7"/>
  <c r="O213" i="8"/>
  <c r="P213" i="8"/>
  <c r="Q213" i="8"/>
  <c r="R213" i="8"/>
  <c r="N45" i="7" s="1"/>
  <c r="N61" i="7" s="1"/>
  <c r="K133" i="7"/>
  <c r="O214" i="8"/>
  <c r="P214" i="8"/>
  <c r="Q214" i="8"/>
  <c r="R214" i="8"/>
  <c r="K134" i="7"/>
  <c r="O215" i="8"/>
  <c r="P215" i="8"/>
  <c r="Q215" i="8"/>
  <c r="K135" i="7"/>
  <c r="O216" i="8"/>
  <c r="P216" i="8"/>
  <c r="Q216" i="8"/>
  <c r="R216" i="8"/>
  <c r="N48" i="7" s="1"/>
  <c r="N64" i="7" s="1"/>
  <c r="K136" i="7"/>
  <c r="O217" i="8"/>
  <c r="P217" i="8"/>
  <c r="L49" i="7" s="1"/>
  <c r="L65" i="7" s="1"/>
  <c r="Q217" i="8"/>
  <c r="R217" i="8"/>
  <c r="K137" i="7"/>
  <c r="O218" i="8"/>
  <c r="P218" i="8"/>
  <c r="L50" i="7" s="1"/>
  <c r="L66" i="7" s="1"/>
  <c r="Q218" i="8"/>
  <c r="R218" i="8"/>
  <c r="N50" i="7" s="1"/>
  <c r="N66" i="7" s="1"/>
  <c r="K138" i="7"/>
  <c r="O219" i="8"/>
  <c r="P219" i="8"/>
  <c r="Q219" i="8"/>
  <c r="K139" i="7"/>
  <c r="O220" i="8"/>
  <c r="K52" i="7" s="1"/>
  <c r="K68" i="7" s="1"/>
  <c r="P220" i="8"/>
  <c r="Q220" i="8"/>
  <c r="M52" i="7" s="1"/>
  <c r="M68" i="7" s="1"/>
  <c r="R220" i="8"/>
  <c r="N52" i="7" s="1"/>
  <c r="N68" i="7" s="1"/>
  <c r="P233" i="7"/>
  <c r="G56" i="6"/>
  <c r="G60" i="6"/>
  <c r="G65" i="6"/>
  <c r="G61" i="6"/>
  <c r="G57" i="6"/>
  <c r="G59" i="6"/>
  <c r="G68" i="6"/>
  <c r="G66" i="6"/>
  <c r="G67" i="6"/>
  <c r="L116" i="8"/>
  <c r="H3" i="7" s="1"/>
  <c r="H19" i="7" s="1"/>
  <c r="L120" i="8"/>
  <c r="H121" i="8"/>
  <c r="D8" i="7" s="1"/>
  <c r="D24" i="7" s="1"/>
  <c r="L128" i="8"/>
  <c r="M117" i="8"/>
  <c r="J3" i="9" s="1"/>
  <c r="I120" i="8"/>
  <c r="F6" i="9" s="1"/>
  <c r="N117" i="8"/>
  <c r="K3" i="9" s="1"/>
  <c r="K124" i="8"/>
  <c r="G11" i="7" s="1"/>
  <c r="G27" i="7" s="1"/>
  <c r="K126" i="8"/>
  <c r="K128" i="8"/>
  <c r="G15" i="7" s="1"/>
  <c r="G31" i="7" s="1"/>
  <c r="K208" i="8"/>
  <c r="R323" i="8"/>
  <c r="G218" i="8"/>
  <c r="N15" i="9"/>
  <c r="M16" i="7"/>
  <c r="M32" i="7" s="1"/>
  <c r="L53" i="7"/>
  <c r="L69" i="7" s="1"/>
  <c r="L87" i="7"/>
  <c r="L103" i="7" s="1"/>
  <c r="M237" i="7"/>
  <c r="Q122" i="8"/>
  <c r="M243" i="7"/>
  <c r="L42" i="7"/>
  <c r="L58" i="7" s="1"/>
  <c r="O15" i="9"/>
  <c r="N16" i="7"/>
  <c r="N32" i="7" s="1"/>
  <c r="N83" i="7"/>
  <c r="N99" i="7" s="1"/>
  <c r="M53" i="7"/>
  <c r="M69" i="7" s="1"/>
  <c r="M87" i="7"/>
  <c r="M103" i="7" s="1"/>
  <c r="H16" i="9"/>
  <c r="G17" i="7"/>
  <c r="G33" i="7" s="1"/>
  <c r="G5" i="3"/>
  <c r="H5" i="3" s="1"/>
  <c r="I5" i="3" s="1"/>
  <c r="J5" i="3" s="1"/>
  <c r="K5" i="3" s="1"/>
  <c r="L5" i="3" s="1"/>
  <c r="M5" i="3" s="1"/>
  <c r="N5" i="3" s="1"/>
  <c r="O5" i="3" s="1"/>
  <c r="P5" i="3" s="1"/>
  <c r="Q5" i="3" s="1"/>
  <c r="R5" i="3" s="1"/>
  <c r="S5" i="3" s="1"/>
  <c r="T5" i="3" s="1"/>
  <c r="U5" i="3" s="1"/>
  <c r="V5" i="3" s="1"/>
  <c r="W5" i="3" s="1"/>
  <c r="X5" i="3" s="1"/>
  <c r="Y5" i="3" s="1"/>
  <c r="Z5" i="3" s="1"/>
  <c r="AA5" i="3" s="1"/>
  <c r="AB5" i="3" s="1"/>
  <c r="AC5" i="3" s="1"/>
  <c r="AD5" i="3" s="1"/>
  <c r="AE5" i="3" s="1"/>
  <c r="AF5" i="3" s="1"/>
  <c r="AG5" i="3" s="1"/>
  <c r="AH5" i="3" s="1"/>
  <c r="AI5" i="3" s="1"/>
  <c r="AJ5" i="3" s="1"/>
  <c r="AK5" i="3" s="1"/>
  <c r="AL5" i="3" s="1"/>
  <c r="AM5" i="3" s="1"/>
  <c r="AN5" i="3" s="1"/>
  <c r="AO5" i="3" s="1"/>
  <c r="AP5" i="3" s="1"/>
  <c r="AQ5" i="3" s="1"/>
  <c r="AR5" i="3" s="1"/>
  <c r="AS5" i="3" s="1"/>
  <c r="AT5" i="3" s="1"/>
  <c r="AU5" i="3" s="1"/>
  <c r="AV5" i="3" s="1"/>
  <c r="AW5" i="3" s="1"/>
  <c r="AX5" i="3" s="1"/>
  <c r="AY5" i="3" s="1"/>
  <c r="AZ5" i="3" s="1"/>
  <c r="BA5" i="3" s="1"/>
  <c r="BB5" i="3" s="1"/>
  <c r="G38" i="3"/>
  <c r="H38" i="3" s="1"/>
  <c r="N237" i="7"/>
  <c r="N239" i="7"/>
  <c r="R120" i="8"/>
  <c r="N241" i="7"/>
  <c r="N243" i="7"/>
  <c r="N245" i="7"/>
  <c r="N247" i="7"/>
  <c r="H15" i="9"/>
  <c r="G16" i="7"/>
  <c r="G32" i="7" s="1"/>
  <c r="O85" i="7"/>
  <c r="O101" i="7" s="1"/>
  <c r="N53" i="7"/>
  <c r="N69" i="7" s="1"/>
  <c r="N87" i="7"/>
  <c r="N103" i="7" s="1"/>
  <c r="I16" i="9"/>
  <c r="H17" i="7"/>
  <c r="H33" i="7" s="1"/>
  <c r="H12" i="9"/>
  <c r="G13" i="7"/>
  <c r="G29" i="7" s="1"/>
  <c r="J128" i="8"/>
  <c r="I15" i="9"/>
  <c r="H16" i="7"/>
  <c r="H32" i="7" s="1"/>
  <c r="P103" i="7"/>
  <c r="O87" i="7"/>
  <c r="O103" i="7" s="1"/>
  <c r="J16" i="9"/>
  <c r="I17" i="7"/>
  <c r="I33" i="7" s="1"/>
  <c r="I2" i="9"/>
  <c r="P117" i="8"/>
  <c r="P119" i="8"/>
  <c r="I6" i="9"/>
  <c r="H7" i="7"/>
  <c r="H23" i="7" s="1"/>
  <c r="E7" i="9"/>
  <c r="P121" i="8"/>
  <c r="I14" i="9"/>
  <c r="H15" i="7"/>
  <c r="H31" i="7" s="1"/>
  <c r="G117" i="8"/>
  <c r="J15" i="9"/>
  <c r="I16" i="7"/>
  <c r="I32" i="7" s="1"/>
  <c r="N76" i="7"/>
  <c r="N92" i="7" s="1"/>
  <c r="N78" i="7"/>
  <c r="N94" i="7" s="1"/>
  <c r="N80" i="7"/>
  <c r="N96" i="7" s="1"/>
  <c r="N84" i="7"/>
  <c r="N100" i="7" s="1"/>
  <c r="K16" i="9"/>
  <c r="J17" i="7"/>
  <c r="J33" i="7" s="1"/>
  <c r="N88" i="7"/>
  <c r="N104" i="7" s="1"/>
  <c r="L41" i="7"/>
  <c r="L57" i="7" s="1"/>
  <c r="K15" i="9"/>
  <c r="J16" i="7"/>
  <c r="J32" i="7" s="1"/>
  <c r="N82" i="7"/>
  <c r="N98" i="7" s="1"/>
  <c r="D16" i="9"/>
  <c r="C17" i="7"/>
  <c r="C33" i="7" s="1"/>
  <c r="O238" i="8"/>
  <c r="K125" i="7"/>
  <c r="K141" i="7" s="1"/>
  <c r="N238" i="7"/>
  <c r="N240" i="7"/>
  <c r="N242" i="7"/>
  <c r="N246" i="7"/>
  <c r="L15" i="9"/>
  <c r="K16" i="7"/>
  <c r="K32" i="7" s="1"/>
  <c r="N86" i="7"/>
  <c r="N102" i="7" s="1"/>
  <c r="E16" i="9"/>
  <c r="D17" i="7"/>
  <c r="D33" i="7" s="1"/>
  <c r="P238" i="8"/>
  <c r="L125" i="7"/>
  <c r="L141" i="7" s="1"/>
  <c r="N47" i="7"/>
  <c r="N63" i="7" s="1"/>
  <c r="N51" i="7"/>
  <c r="N67" i="7" s="1"/>
  <c r="M15" i="9"/>
  <c r="M33" i="9" s="1"/>
  <c r="L16" i="7"/>
  <c r="L32" i="7" s="1"/>
  <c r="O75" i="7"/>
  <c r="O91" i="7" s="1"/>
  <c r="K53" i="7"/>
  <c r="K69" i="7" s="1"/>
  <c r="K87" i="7"/>
  <c r="K103" i="7" s="1"/>
  <c r="F16" i="9"/>
  <c r="E17" i="7"/>
  <c r="E33" i="7" s="1"/>
  <c r="Q238" i="8"/>
  <c r="M125" i="7"/>
  <c r="M141" i="7" s="1"/>
  <c r="N77" i="7"/>
  <c r="N93" i="7" s="1"/>
  <c r="N79" i="7"/>
  <c r="N95" i="7" s="1"/>
  <c r="G16" i="9"/>
  <c r="F17" i="7"/>
  <c r="F33" i="7" s="1"/>
  <c r="N125" i="7"/>
  <c r="N141" i="7" s="1"/>
  <c r="T55" i="8"/>
  <c r="P322" i="8"/>
  <c r="D268" i="8"/>
  <c r="D267" i="8"/>
  <c r="D266" i="8"/>
  <c r="M125" i="8"/>
  <c r="M127" i="8"/>
  <c r="K42" i="7"/>
  <c r="K58" i="7" s="1"/>
  <c r="G216" i="8"/>
  <c r="K122" i="8"/>
  <c r="R128" i="8"/>
  <c r="M72" i="8"/>
  <c r="I72" i="8"/>
  <c r="Q119" i="8"/>
  <c r="J208" i="8"/>
  <c r="N44" i="7"/>
  <c r="N60" i="7" s="1"/>
  <c r="I127" i="8"/>
  <c r="Q127" i="8"/>
  <c r="M128" i="8"/>
  <c r="K212" i="8"/>
  <c r="K216" i="8"/>
  <c r="R238" i="8"/>
  <c r="N126" i="8"/>
  <c r="J127" i="8"/>
  <c r="L51" i="7"/>
  <c r="L67" i="7" s="1"/>
  <c r="M51" i="7"/>
  <c r="M67" i="7" s="1"/>
  <c r="I212" i="8"/>
  <c r="O118" i="8"/>
  <c r="P118" i="8"/>
  <c r="G124" i="8"/>
  <c r="G126" i="8"/>
  <c r="O126" i="8"/>
  <c r="L125" i="8"/>
  <c r="J118" i="8"/>
  <c r="G72" i="8"/>
  <c r="O72" i="8"/>
  <c r="L72" i="8"/>
  <c r="Q223" i="7"/>
  <c r="T10" i="8"/>
  <c r="P224" i="7"/>
  <c r="N38" i="8"/>
  <c r="O38" i="8"/>
  <c r="G38" i="8"/>
  <c r="T20" i="8"/>
  <c r="P38" i="8"/>
  <c r="U20" i="8"/>
  <c r="P232" i="7"/>
  <c r="G40" i="3"/>
  <c r="H46" i="3"/>
  <c r="H78" i="6" s="1"/>
  <c r="G39" i="3"/>
  <c r="G71" i="6" s="1"/>
  <c r="G47" i="3"/>
  <c r="H48" i="3"/>
  <c r="H80" i="6" s="1"/>
  <c r="G41" i="3"/>
  <c r="G49" i="3"/>
  <c r="G81" i="6" s="1"/>
  <c r="H42" i="3"/>
  <c r="H50" i="3"/>
  <c r="H82" i="6" s="1"/>
  <c r="H43" i="3"/>
  <c r="H75" i="6" s="1"/>
  <c r="H51" i="3"/>
  <c r="H83" i="6" s="1"/>
  <c r="M44" i="3"/>
  <c r="N44" i="3" s="1"/>
  <c r="O44" i="3" s="1"/>
  <c r="P44" i="3" s="1"/>
  <c r="Q44" i="3" s="1"/>
  <c r="R44" i="3" s="1"/>
  <c r="S44" i="3" s="1"/>
  <c r="T44" i="3" s="1"/>
  <c r="G52" i="3"/>
  <c r="H45" i="3"/>
  <c r="K214" i="8"/>
  <c r="I216" i="8"/>
  <c r="M48" i="7"/>
  <c r="M64" i="7" s="1"/>
  <c r="L48" i="7"/>
  <c r="L64" i="7" s="1"/>
  <c r="P230" i="7"/>
  <c r="P228" i="7"/>
  <c r="Q231" i="7"/>
  <c r="T18" i="8"/>
  <c r="J38" i="8"/>
  <c r="P229" i="7"/>
  <c r="K38" i="8"/>
  <c r="K72" i="8"/>
  <c r="L118" i="8"/>
  <c r="P222" i="7"/>
  <c r="H120" i="8"/>
  <c r="H212" i="8"/>
  <c r="R38" i="8"/>
  <c r="H38" i="8"/>
  <c r="P226" i="7"/>
  <c r="R127" i="8"/>
  <c r="N112" i="8"/>
  <c r="N116" i="8"/>
  <c r="J368" i="8"/>
  <c r="J366" i="8"/>
  <c r="J367" i="8"/>
  <c r="J211" i="8"/>
  <c r="J119" i="8"/>
  <c r="R368" i="8"/>
  <c r="R366" i="8"/>
  <c r="R367" i="8"/>
  <c r="R119" i="8"/>
  <c r="P120" i="8"/>
  <c r="Q38" i="8"/>
  <c r="M38" i="8"/>
  <c r="I38" i="8"/>
  <c r="M116" i="8"/>
  <c r="M112" i="8"/>
  <c r="J116" i="8"/>
  <c r="J72" i="8"/>
  <c r="R72" i="8"/>
  <c r="Q72" i="8"/>
  <c r="P227" i="7"/>
  <c r="M47" i="7"/>
  <c r="M63" i="7" s="1"/>
  <c r="Q123" i="8"/>
  <c r="J216" i="8"/>
  <c r="J124" i="8"/>
  <c r="R124" i="8"/>
  <c r="L38" i="8"/>
  <c r="N72" i="8"/>
  <c r="G212" i="8"/>
  <c r="G120" i="8"/>
  <c r="O120" i="8"/>
  <c r="M362" i="8"/>
  <c r="M360" i="8"/>
  <c r="M358" i="8"/>
  <c r="M361" i="8"/>
  <c r="M359" i="8"/>
  <c r="M357" i="8"/>
  <c r="M121" i="8"/>
  <c r="J117" i="8"/>
  <c r="J112" i="8"/>
  <c r="N41" i="7"/>
  <c r="N57" i="7" s="1"/>
  <c r="R117" i="8"/>
  <c r="L47" i="7"/>
  <c r="L63" i="7" s="1"/>
  <c r="P123" i="8"/>
  <c r="I217" i="8"/>
  <c r="I125" i="8"/>
  <c r="M49" i="7"/>
  <c r="M65" i="7" s="1"/>
  <c r="Q125" i="8"/>
  <c r="G208" i="8"/>
  <c r="G112" i="8"/>
  <c r="G116" i="8"/>
  <c r="O112" i="8"/>
  <c r="O116" i="8"/>
  <c r="M44" i="7"/>
  <c r="M60" i="7" s="1"/>
  <c r="Q120" i="8"/>
  <c r="N362" i="8"/>
  <c r="N360" i="8"/>
  <c r="N358" i="8"/>
  <c r="N359" i="8"/>
  <c r="N361" i="8"/>
  <c r="N357" i="8"/>
  <c r="N121" i="8"/>
  <c r="K127" i="8"/>
  <c r="K41" i="7"/>
  <c r="K57" i="7" s="1"/>
  <c r="O117" i="8"/>
  <c r="H118" i="8"/>
  <c r="M122" i="8"/>
  <c r="H72" i="8"/>
  <c r="P72" i="8"/>
  <c r="R123" i="8"/>
  <c r="I208" i="8"/>
  <c r="I116" i="8"/>
  <c r="I112" i="8"/>
  <c r="H117" i="8"/>
  <c r="H112" i="8"/>
  <c r="M367" i="8"/>
  <c r="M366" i="8"/>
  <c r="M368" i="8"/>
  <c r="M119" i="8"/>
  <c r="N122" i="8"/>
  <c r="M124" i="8"/>
  <c r="G217" i="8"/>
  <c r="G125" i="8"/>
  <c r="K49" i="7"/>
  <c r="K65" i="7" s="1"/>
  <c r="O125" i="8"/>
  <c r="P112" i="8"/>
  <c r="I361" i="8"/>
  <c r="I359" i="8"/>
  <c r="I357" i="8"/>
  <c r="I358" i="8"/>
  <c r="I360" i="8"/>
  <c r="I362" i="8"/>
  <c r="I213" i="8"/>
  <c r="I121" i="8"/>
  <c r="Q361" i="8"/>
  <c r="Q359" i="8"/>
  <c r="Q357" i="8"/>
  <c r="Q358" i="8"/>
  <c r="Q360" i="8"/>
  <c r="Q362" i="8"/>
  <c r="M45" i="7"/>
  <c r="M61" i="7" s="1"/>
  <c r="Q121" i="8"/>
  <c r="O122" i="8"/>
  <c r="K46" i="7"/>
  <c r="K62" i="7" s="1"/>
  <c r="K47" i="7"/>
  <c r="K63" i="7" s="1"/>
  <c r="O123" i="8"/>
  <c r="H217" i="8"/>
  <c r="H125" i="8"/>
  <c r="P125" i="8"/>
  <c r="H208" i="8"/>
  <c r="H116" i="8"/>
  <c r="P116" i="8"/>
  <c r="I117" i="8"/>
  <c r="M41" i="7"/>
  <c r="M57" i="7" s="1"/>
  <c r="Q117" i="8"/>
  <c r="G118" i="8"/>
  <c r="L367" i="8"/>
  <c r="L366" i="8"/>
  <c r="L368" i="8"/>
  <c r="L119" i="8"/>
  <c r="J212" i="8"/>
  <c r="J120" i="8"/>
  <c r="H218" i="8"/>
  <c r="H126" i="8"/>
  <c r="P126" i="8"/>
  <c r="K116" i="8"/>
  <c r="I218" i="8"/>
  <c r="I126" i="8"/>
  <c r="M50" i="7"/>
  <c r="M66" i="7" s="1"/>
  <c r="Q126" i="8"/>
  <c r="N127" i="8"/>
  <c r="R116" i="8"/>
  <c r="K117" i="8"/>
  <c r="I118" i="8"/>
  <c r="M42" i="7"/>
  <c r="M58" i="7" s="1"/>
  <c r="Q118" i="8"/>
  <c r="N367" i="8"/>
  <c r="N366" i="8"/>
  <c r="N368" i="8"/>
  <c r="N119" i="8"/>
  <c r="N46" i="7"/>
  <c r="N62" i="7" s="1"/>
  <c r="R122" i="8"/>
  <c r="L123" i="8"/>
  <c r="G127" i="8"/>
  <c r="L117" i="8"/>
  <c r="G368" i="8"/>
  <c r="G366" i="8"/>
  <c r="G367" i="8"/>
  <c r="G211" i="8"/>
  <c r="O368" i="8"/>
  <c r="O366" i="8"/>
  <c r="O367" i="8"/>
  <c r="K43" i="7"/>
  <c r="K59" i="7" s="1"/>
  <c r="O119" i="8"/>
  <c r="M120" i="8"/>
  <c r="K362" i="8"/>
  <c r="K360" i="8"/>
  <c r="K358" i="8"/>
  <c r="K357" i="8"/>
  <c r="K359" i="8"/>
  <c r="K361" i="8"/>
  <c r="K213" i="8"/>
  <c r="K48" i="7"/>
  <c r="K64" i="7" s="1"/>
  <c r="O124" i="8"/>
  <c r="H127" i="8"/>
  <c r="H128" i="8"/>
  <c r="L52" i="7"/>
  <c r="L68" i="7" s="1"/>
  <c r="P128" i="8"/>
  <c r="K112" i="8"/>
  <c r="R118" i="8"/>
  <c r="G119" i="8"/>
  <c r="K121" i="8"/>
  <c r="P127" i="8"/>
  <c r="L208" i="8"/>
  <c r="L112" i="8"/>
  <c r="K118" i="8"/>
  <c r="L360" i="8"/>
  <c r="L359" i="8"/>
  <c r="L362" i="8"/>
  <c r="L361" i="8"/>
  <c r="L358" i="8"/>
  <c r="L357" i="8"/>
  <c r="L121" i="8"/>
  <c r="H216" i="8"/>
  <c r="H124" i="8"/>
  <c r="N125" i="8"/>
  <c r="L126" i="8"/>
  <c r="L122" i="8"/>
  <c r="H366" i="8"/>
  <c r="H368" i="8"/>
  <c r="H367" i="8"/>
  <c r="H211" i="8"/>
  <c r="P368" i="8"/>
  <c r="P367" i="8"/>
  <c r="P366" i="8"/>
  <c r="L43" i="7"/>
  <c r="L59" i="7" s="1"/>
  <c r="G361" i="8"/>
  <c r="G359" i="8"/>
  <c r="G357" i="8"/>
  <c r="G358" i="8"/>
  <c r="G360" i="8"/>
  <c r="G362" i="8"/>
  <c r="G213" i="8"/>
  <c r="G121" i="8"/>
  <c r="O361" i="8"/>
  <c r="O359" i="8"/>
  <c r="O357" i="8"/>
  <c r="O362" i="8"/>
  <c r="O358" i="8"/>
  <c r="O360" i="8"/>
  <c r="K45" i="7"/>
  <c r="K61" i="7" s="1"/>
  <c r="O121" i="8"/>
  <c r="L46" i="7"/>
  <c r="L62" i="7" s="1"/>
  <c r="P122" i="8"/>
  <c r="J217" i="8"/>
  <c r="J125" i="8"/>
  <c r="N49" i="7"/>
  <c r="N65" i="7" s="1"/>
  <c r="R125" i="8"/>
  <c r="J218" i="8"/>
  <c r="J126" i="8"/>
  <c r="R126" i="8"/>
  <c r="N128" i="8"/>
  <c r="H119" i="8"/>
  <c r="L124" i="8"/>
  <c r="I368" i="8"/>
  <c r="I366" i="8"/>
  <c r="I367" i="8"/>
  <c r="I211" i="8"/>
  <c r="Q368" i="8"/>
  <c r="Q366" i="8"/>
  <c r="Q367" i="8"/>
  <c r="M43" i="7"/>
  <c r="M59" i="7" s="1"/>
  <c r="M46" i="7"/>
  <c r="M62" i="7" s="1"/>
  <c r="K218" i="8"/>
  <c r="G128" i="8"/>
  <c r="O128" i="8"/>
  <c r="R112" i="8"/>
  <c r="I119" i="8"/>
  <c r="K120" i="8"/>
  <c r="M123" i="8"/>
  <c r="K367" i="8"/>
  <c r="K366" i="8"/>
  <c r="K368" i="8"/>
  <c r="K211" i="8"/>
  <c r="K119" i="8"/>
  <c r="J361" i="8"/>
  <c r="J359" i="8"/>
  <c r="J357" i="8"/>
  <c r="J358" i="8"/>
  <c r="J360" i="8"/>
  <c r="J362" i="8"/>
  <c r="J213" i="8"/>
  <c r="J121" i="8"/>
  <c r="R361" i="8"/>
  <c r="R359" i="8"/>
  <c r="R357" i="8"/>
  <c r="R358" i="8"/>
  <c r="R360" i="8"/>
  <c r="R362" i="8"/>
  <c r="R121" i="8"/>
  <c r="N124" i="8"/>
  <c r="M126" i="8"/>
  <c r="L127" i="8"/>
  <c r="I128" i="8"/>
  <c r="Q128" i="8"/>
  <c r="M118" i="8"/>
  <c r="N120" i="8"/>
  <c r="M170" i="8"/>
  <c r="N118" i="8"/>
  <c r="N170" i="8"/>
  <c r="Q204" i="8"/>
  <c r="R204" i="8"/>
  <c r="K51" i="7"/>
  <c r="K67" i="7" s="1"/>
  <c r="K217" i="8"/>
  <c r="N123" i="8"/>
  <c r="P124" i="8"/>
  <c r="H357" i="8"/>
  <c r="H359" i="8"/>
  <c r="H358" i="8"/>
  <c r="H361" i="8"/>
  <c r="H360" i="8"/>
  <c r="H362" i="8"/>
  <c r="H213" i="8"/>
  <c r="P358" i="8"/>
  <c r="P360" i="8"/>
  <c r="P362" i="8"/>
  <c r="P359" i="8"/>
  <c r="P361" i="8"/>
  <c r="P357" i="8"/>
  <c r="L45" i="7"/>
  <c r="L61" i="7" s="1"/>
  <c r="K50" i="7"/>
  <c r="K66" i="7" s="1"/>
  <c r="I124" i="8"/>
  <c r="Q124" i="8"/>
  <c r="K125" i="8"/>
  <c r="O127" i="8"/>
  <c r="O204" i="8"/>
  <c r="P204" i="8"/>
  <c r="W302" i="8"/>
  <c r="BQ317" i="8"/>
  <c r="T295" i="8"/>
  <c r="T323" i="8" s="1"/>
  <c r="S294" i="8"/>
  <c r="S322" i="8" s="1"/>
  <c r="S277" i="8"/>
  <c r="S282" i="8"/>
  <c r="S278" i="8"/>
  <c r="S276" i="8"/>
  <c r="S295" i="8"/>
  <c r="S323" i="8" s="1"/>
  <c r="T294" i="8"/>
  <c r="T322" i="8" s="1"/>
  <c r="U301" i="8"/>
  <c r="O322" i="8"/>
  <c r="BQ318" i="8"/>
  <c r="R322" i="8"/>
  <c r="R299" i="8"/>
  <c r="Q322" i="8"/>
  <c r="K254" i="7"/>
  <c r="K253" i="7"/>
  <c r="T12" i="8" l="1"/>
  <c r="P225" i="7"/>
  <c r="T21" i="8"/>
  <c r="P234" i="7"/>
  <c r="Q233" i="7"/>
  <c r="G58" i="6"/>
  <c r="G55" i="6"/>
  <c r="H66" i="6"/>
  <c r="H61" i="6"/>
  <c r="G62" i="6"/>
  <c r="H68" i="6"/>
  <c r="H65" i="6"/>
  <c r="G63" i="6"/>
  <c r="H59" i="6"/>
  <c r="H60" i="6"/>
  <c r="G64" i="6"/>
  <c r="H67" i="6"/>
  <c r="H57" i="6"/>
  <c r="H56" i="6"/>
  <c r="H14" i="9"/>
  <c r="H10" i="9"/>
  <c r="Q112" i="8"/>
  <c r="S246" i="8"/>
  <c r="Q116" i="8"/>
  <c r="M3" i="7" s="1"/>
  <c r="M19" i="7" s="1"/>
  <c r="H33" i="9"/>
  <c r="L33" i="9"/>
  <c r="E7" i="7"/>
  <c r="E23" i="7" s="1"/>
  <c r="G34" i="9"/>
  <c r="I4" i="7"/>
  <c r="I20" i="7" s="1"/>
  <c r="J4" i="7"/>
  <c r="J20" i="7" s="1"/>
  <c r="I32" i="9"/>
  <c r="T50" i="8"/>
  <c r="T52" i="8"/>
  <c r="M253" i="7"/>
  <c r="M254" i="7"/>
  <c r="K34" i="9"/>
  <c r="L253" i="7"/>
  <c r="J34" i="9"/>
  <c r="K33" i="9"/>
  <c r="I33" i="9"/>
  <c r="E34" i="9"/>
  <c r="L254" i="7"/>
  <c r="M14" i="9"/>
  <c r="L15" i="7"/>
  <c r="L31" i="7" s="1"/>
  <c r="N10" i="9"/>
  <c r="M11" i="7"/>
  <c r="M27" i="7" s="1"/>
  <c r="I8" i="9"/>
  <c r="H9" i="7"/>
  <c r="H25" i="7" s="1"/>
  <c r="K40" i="7"/>
  <c r="K56" i="7" s="1"/>
  <c r="K74" i="7"/>
  <c r="K90" i="7" s="1"/>
  <c r="N14" i="9"/>
  <c r="M15" i="7"/>
  <c r="M31" i="7" s="1"/>
  <c r="H6" i="9"/>
  <c r="I24" i="9" s="1"/>
  <c r="G7" i="7"/>
  <c r="G23" i="7" s="1"/>
  <c r="I10" i="9"/>
  <c r="I28" i="9" s="1"/>
  <c r="H11" i="7"/>
  <c r="H27" i="7" s="1"/>
  <c r="O11" i="9"/>
  <c r="N12" i="7"/>
  <c r="N28" i="7" s="1"/>
  <c r="M13" i="9"/>
  <c r="L14" i="7"/>
  <c r="L30" i="7" s="1"/>
  <c r="E13" i="9"/>
  <c r="D14" i="7"/>
  <c r="D30" i="7" s="1"/>
  <c r="I9" i="9"/>
  <c r="H10" i="7"/>
  <c r="H26" i="7" s="1"/>
  <c r="E12" i="9"/>
  <c r="D13" i="7"/>
  <c r="D29" i="7" s="1"/>
  <c r="M11" i="9"/>
  <c r="L12" i="7"/>
  <c r="L28" i="7" s="1"/>
  <c r="N7" i="9"/>
  <c r="M8" i="7"/>
  <c r="M24" i="7" s="1"/>
  <c r="F7" i="9"/>
  <c r="F25" i="9" s="1"/>
  <c r="E8" i="7"/>
  <c r="E24" i="7" s="1"/>
  <c r="G3" i="9"/>
  <c r="F4" i="7"/>
  <c r="F20" i="7" s="1"/>
  <c r="P11" i="7"/>
  <c r="P27" i="7" s="1"/>
  <c r="O10" i="9"/>
  <c r="N11" i="7"/>
  <c r="N27" i="7" s="1"/>
  <c r="G2" i="9"/>
  <c r="F3" i="7"/>
  <c r="F19" i="7" s="1"/>
  <c r="P14" i="7"/>
  <c r="P30" i="7" s="1"/>
  <c r="O13" i="9"/>
  <c r="N14" i="7"/>
  <c r="N30" i="7" s="1"/>
  <c r="G13" i="9"/>
  <c r="F14" i="7"/>
  <c r="F30" i="7" s="1"/>
  <c r="F13" i="9"/>
  <c r="E14" i="7"/>
  <c r="E30" i="7" s="1"/>
  <c r="L16" i="9"/>
  <c r="L34" i="9" s="1"/>
  <c r="K17" i="7"/>
  <c r="K33" i="7" s="1"/>
  <c r="D3" i="9"/>
  <c r="C4" i="7"/>
  <c r="C20" i="7" s="1"/>
  <c r="P85" i="7"/>
  <c r="N253" i="7"/>
  <c r="O33" i="9"/>
  <c r="P8" i="7"/>
  <c r="P24" i="7" s="1"/>
  <c r="O7" i="9"/>
  <c r="N8" i="7"/>
  <c r="N24" i="7" s="1"/>
  <c r="K11" i="9"/>
  <c r="J12" i="7"/>
  <c r="J28" i="7" s="1"/>
  <c r="H7" i="9"/>
  <c r="G8" i="7"/>
  <c r="G24" i="7" s="1"/>
  <c r="L10" i="9"/>
  <c r="K11" i="7"/>
  <c r="K27" i="7" s="1"/>
  <c r="N4" i="9"/>
  <c r="M5" i="7"/>
  <c r="M21" i="7" s="1"/>
  <c r="N12" i="9"/>
  <c r="M13" i="7"/>
  <c r="M29" i="7" s="1"/>
  <c r="D4" i="9"/>
  <c r="C5" i="7"/>
  <c r="C21" i="7" s="1"/>
  <c r="L11" i="9"/>
  <c r="K12" i="7"/>
  <c r="K28" i="7" s="1"/>
  <c r="J5" i="9"/>
  <c r="I6" i="7"/>
  <c r="I22" i="7" s="1"/>
  <c r="J8" i="9"/>
  <c r="I9" i="7"/>
  <c r="I25" i="7" s="1"/>
  <c r="L2" i="9"/>
  <c r="K3" i="7"/>
  <c r="K19" i="7" s="1"/>
  <c r="F11" i="9"/>
  <c r="E12" i="7"/>
  <c r="E28" i="7" s="1"/>
  <c r="J7" i="9"/>
  <c r="I8" i="7"/>
  <c r="I24" i="7" s="1"/>
  <c r="L6" i="9"/>
  <c r="K7" i="7"/>
  <c r="K23" i="7" s="1"/>
  <c r="E6" i="9"/>
  <c r="F24" i="9" s="1"/>
  <c r="D7" i="7"/>
  <c r="D23" i="7" s="1"/>
  <c r="I11" i="9"/>
  <c r="H12" i="7"/>
  <c r="H28" i="7" s="1"/>
  <c r="K12" i="9"/>
  <c r="J13" i="7"/>
  <c r="J29" i="7" s="1"/>
  <c r="P16" i="9"/>
  <c r="O125" i="7"/>
  <c r="O141" i="7" s="1"/>
  <c r="O80" i="7"/>
  <c r="O96" i="7" s="1"/>
  <c r="G14" i="9"/>
  <c r="H32" i="9" s="1"/>
  <c r="F15" i="7"/>
  <c r="F31" i="7" s="1"/>
  <c r="N254" i="7"/>
  <c r="H34" i="9"/>
  <c r="E52" i="9" s="1"/>
  <c r="I3" i="9"/>
  <c r="H4" i="7"/>
  <c r="H20" i="7" s="1"/>
  <c r="O3" i="9"/>
  <c r="N4" i="7"/>
  <c r="N20" i="7" s="1"/>
  <c r="K6" i="9"/>
  <c r="J7" i="7"/>
  <c r="J23" i="7" s="1"/>
  <c r="K9" i="9"/>
  <c r="J10" i="7"/>
  <c r="J26" i="7" s="1"/>
  <c r="G7" i="9"/>
  <c r="F8" i="7"/>
  <c r="F24" i="7" s="1"/>
  <c r="F5" i="9"/>
  <c r="E6" i="7"/>
  <c r="E22" i="7" s="1"/>
  <c r="E5" i="9"/>
  <c r="D6" i="7"/>
  <c r="D22" i="7" s="1"/>
  <c r="F14" i="9"/>
  <c r="E15" i="7"/>
  <c r="E31" i="7" s="1"/>
  <c r="H5" i="9"/>
  <c r="G6" i="7"/>
  <c r="G22" i="7" s="1"/>
  <c r="K14" i="9"/>
  <c r="J15" i="7"/>
  <c r="J31" i="7" s="1"/>
  <c r="G11" i="9"/>
  <c r="F12" i="7"/>
  <c r="F28" i="7" s="1"/>
  <c r="D5" i="9"/>
  <c r="C6" i="7"/>
  <c r="C22" i="7" s="1"/>
  <c r="J6" i="9"/>
  <c r="J24" i="9" s="1"/>
  <c r="I7" i="7"/>
  <c r="I23" i="7" s="1"/>
  <c r="P9" i="7"/>
  <c r="P25" i="7" s="1"/>
  <c r="O8" i="9"/>
  <c r="N9" i="7"/>
  <c r="N25" i="7" s="1"/>
  <c r="G6" i="9"/>
  <c r="G24" i="9" s="1"/>
  <c r="F7" i="7"/>
  <c r="F23" i="7" s="1"/>
  <c r="N3" i="9"/>
  <c r="M4" i="7"/>
  <c r="M20" i="7" s="1"/>
  <c r="E11" i="9"/>
  <c r="D12" i="7"/>
  <c r="D28" i="7" s="1"/>
  <c r="G10" i="9"/>
  <c r="H28" i="9" s="1"/>
  <c r="F11" i="7"/>
  <c r="F27" i="7" s="1"/>
  <c r="J2" i="9"/>
  <c r="J20" i="9" s="1"/>
  <c r="I3" i="7"/>
  <c r="I19" i="7" s="1"/>
  <c r="O5" i="9"/>
  <c r="N6" i="7"/>
  <c r="N22" i="7" s="1"/>
  <c r="L12" i="9"/>
  <c r="K13" i="7"/>
  <c r="K29" i="7" s="1"/>
  <c r="O14" i="9"/>
  <c r="N15" i="7"/>
  <c r="N31" i="7" s="1"/>
  <c r="M16" i="9"/>
  <c r="L17" i="7"/>
  <c r="L33" i="7" s="1"/>
  <c r="T51" i="8"/>
  <c r="O88" i="7"/>
  <c r="O104" i="7" s="1"/>
  <c r="M5" i="9"/>
  <c r="L6" i="7"/>
  <c r="L22" i="7" s="1"/>
  <c r="N9" i="9"/>
  <c r="M10" i="7"/>
  <c r="M26" i="7" s="1"/>
  <c r="D7" i="9"/>
  <c r="C8" i="7"/>
  <c r="C24" i="7" s="1"/>
  <c r="I13" i="9"/>
  <c r="H14" i="7"/>
  <c r="H30" i="7" s="1"/>
  <c r="L14" i="9"/>
  <c r="K15" i="7"/>
  <c r="K31" i="7" s="1"/>
  <c r="E10" i="9"/>
  <c r="D11" i="7"/>
  <c r="D27" i="7" s="1"/>
  <c r="P5" i="7"/>
  <c r="P21" i="7" s="1"/>
  <c r="O4" i="9"/>
  <c r="N5" i="7"/>
  <c r="N21" i="7" s="1"/>
  <c r="F4" i="9"/>
  <c r="E5" i="7"/>
  <c r="E21" i="7" s="1"/>
  <c r="F12" i="9"/>
  <c r="E13" i="7"/>
  <c r="E29" i="7" s="1"/>
  <c r="D11" i="9"/>
  <c r="C12" i="7"/>
  <c r="C28" i="7" s="1"/>
  <c r="F2" i="9"/>
  <c r="E3" i="7"/>
  <c r="E19" i="7" s="1"/>
  <c r="E4" i="9"/>
  <c r="D5" i="7"/>
  <c r="D21" i="7" s="1"/>
  <c r="D2" i="9"/>
  <c r="C3" i="7"/>
  <c r="C19" i="7" s="1"/>
  <c r="M9" i="9"/>
  <c r="L10" i="7"/>
  <c r="L26" i="7" s="1"/>
  <c r="D6" i="9"/>
  <c r="C7" i="7"/>
  <c r="C23" i="7" s="1"/>
  <c r="D12" i="9"/>
  <c r="C13" i="7"/>
  <c r="C29" i="7" s="1"/>
  <c r="O16" i="9"/>
  <c r="N17" i="7"/>
  <c r="N33" i="7" s="1"/>
  <c r="H8" i="9"/>
  <c r="G9" i="7"/>
  <c r="G25" i="7" s="1"/>
  <c r="P75" i="7"/>
  <c r="O78" i="7"/>
  <c r="O94" i="7" s="1"/>
  <c r="O6" i="9"/>
  <c r="N7" i="7"/>
  <c r="N23" i="7" s="1"/>
  <c r="L13" i="9"/>
  <c r="K14" i="7"/>
  <c r="K30" i="7" s="1"/>
  <c r="K4" i="9"/>
  <c r="J5" i="7"/>
  <c r="J21" i="7" s="1"/>
  <c r="P13" i="7"/>
  <c r="P29" i="7" s="1"/>
  <c r="O12" i="9"/>
  <c r="N13" i="7"/>
  <c r="N29" i="7" s="1"/>
  <c r="M8" i="9"/>
  <c r="L9" i="7"/>
  <c r="L25" i="7" s="1"/>
  <c r="L5" i="9"/>
  <c r="K6" i="7"/>
  <c r="K22" i="7" s="1"/>
  <c r="K5" i="9"/>
  <c r="J6" i="7"/>
  <c r="J22" i="7" s="1"/>
  <c r="H3" i="9"/>
  <c r="G4" i="7"/>
  <c r="G20" i="7" s="1"/>
  <c r="I5" i="9"/>
  <c r="H6" i="7"/>
  <c r="H22" i="7" s="1"/>
  <c r="F3" i="9"/>
  <c r="E4" i="7"/>
  <c r="E20" i="7" s="1"/>
  <c r="L9" i="9"/>
  <c r="K10" i="7"/>
  <c r="K26" i="7" s="1"/>
  <c r="L3" i="9"/>
  <c r="L21" i="9" s="1"/>
  <c r="K4" i="7"/>
  <c r="K20" i="7" s="1"/>
  <c r="K2" i="9"/>
  <c r="J3" i="7"/>
  <c r="J19" i="7" s="1"/>
  <c r="I4" i="9"/>
  <c r="H5" i="7"/>
  <c r="H21" i="7" s="1"/>
  <c r="G4" i="9"/>
  <c r="F5" i="7"/>
  <c r="F21" i="7" s="1"/>
  <c r="D10" i="9"/>
  <c r="C11" i="7"/>
  <c r="C27" i="7" s="1"/>
  <c r="U55" i="8"/>
  <c r="O82" i="7"/>
  <c r="O98" i="7" s="1"/>
  <c r="M7" i="9"/>
  <c r="L8" i="7"/>
  <c r="L24" i="7" s="1"/>
  <c r="M3" i="9"/>
  <c r="L4" i="7"/>
  <c r="L20" i="7" s="1"/>
  <c r="I34" i="9"/>
  <c r="M4" i="9"/>
  <c r="L5" i="7"/>
  <c r="L21" i="7" s="1"/>
  <c r="O79" i="7"/>
  <c r="O95" i="7" s="1"/>
  <c r="N16" i="9"/>
  <c r="M17" i="7"/>
  <c r="M33" i="7" s="1"/>
  <c r="Q22" i="7"/>
  <c r="U236" i="8"/>
  <c r="P235" i="7"/>
  <c r="P92" i="7"/>
  <c r="O76" i="7"/>
  <c r="O92" i="7" s="1"/>
  <c r="P99" i="7"/>
  <c r="O83" i="7"/>
  <c r="O99" i="7" s="1"/>
  <c r="N8" i="9"/>
  <c r="M9" i="7"/>
  <c r="M25" i="7" s="1"/>
  <c r="O54" i="7"/>
  <c r="O70" i="7" s="1"/>
  <c r="J12" i="9"/>
  <c r="I13" i="7"/>
  <c r="I29" i="7" s="1"/>
  <c r="D14" i="9"/>
  <c r="C15" i="7"/>
  <c r="C31" i="7" s="1"/>
  <c r="I7" i="9"/>
  <c r="H8" i="7"/>
  <c r="H24" i="7" s="1"/>
  <c r="H2" i="9"/>
  <c r="G3" i="7"/>
  <c r="G19" i="7" s="1"/>
  <c r="H13" i="9"/>
  <c r="G14" i="7"/>
  <c r="G30" i="7" s="1"/>
  <c r="L4" i="9"/>
  <c r="K5" i="7"/>
  <c r="K21" i="7" s="1"/>
  <c r="J14" i="9"/>
  <c r="J32" i="9" s="1"/>
  <c r="I15" i="7"/>
  <c r="I31" i="7" s="1"/>
  <c r="N5" i="9"/>
  <c r="M6" i="7"/>
  <c r="M22" i="7" s="1"/>
  <c r="J13" i="9"/>
  <c r="I14" i="7"/>
  <c r="I30" i="7" s="1"/>
  <c r="O86" i="7"/>
  <c r="O102" i="7" s="1"/>
  <c r="R22" i="7"/>
  <c r="P87" i="7"/>
  <c r="O81" i="7"/>
  <c r="O97" i="7" s="1"/>
  <c r="H11" i="9"/>
  <c r="G12" i="7"/>
  <c r="G28" i="7" s="1"/>
  <c r="H4" i="9"/>
  <c r="G5" i="7"/>
  <c r="G21" i="7" s="1"/>
  <c r="O2" i="9"/>
  <c r="N3" i="7"/>
  <c r="N19" i="7" s="1"/>
  <c r="M2" i="9"/>
  <c r="L3" i="7"/>
  <c r="L19" i="7" s="1"/>
  <c r="J10" i="9"/>
  <c r="I11" i="7"/>
  <c r="I27" i="7" s="1"/>
  <c r="G12" i="9"/>
  <c r="H30" i="9" s="1"/>
  <c r="F13" i="7"/>
  <c r="F29" i="7" s="1"/>
  <c r="L7" i="9"/>
  <c r="K8" i="7"/>
  <c r="K24" i="7" s="1"/>
  <c r="M12" i="9"/>
  <c r="L13" i="7"/>
  <c r="L29" i="7" s="1"/>
  <c r="E2" i="9"/>
  <c r="D3" i="7"/>
  <c r="D19" i="7" s="1"/>
  <c r="P10" i="7"/>
  <c r="P26" i="7" s="1"/>
  <c r="O9" i="9"/>
  <c r="N10" i="7"/>
  <c r="N26" i="7" s="1"/>
  <c r="F10" i="9"/>
  <c r="E11" i="7"/>
  <c r="E27" i="7" s="1"/>
  <c r="M10" i="9"/>
  <c r="L11" i="7"/>
  <c r="L27" i="7" s="1"/>
  <c r="J4" i="9"/>
  <c r="I5" i="7"/>
  <c r="I21" i="7" s="1"/>
  <c r="K10" i="9"/>
  <c r="J11" i="7"/>
  <c r="J27" i="7" s="1"/>
  <c r="J9" i="9"/>
  <c r="I10" i="7"/>
  <c r="I26" i="7" s="1"/>
  <c r="I12" i="9"/>
  <c r="I30" i="9" s="1"/>
  <c r="H13" i="7"/>
  <c r="H29" i="7" s="1"/>
  <c r="E14" i="9"/>
  <c r="D15" i="7"/>
  <c r="D31" i="7" s="1"/>
  <c r="D13" i="9"/>
  <c r="C14" i="7"/>
  <c r="C30" i="7" s="1"/>
  <c r="K13" i="9"/>
  <c r="J14" i="7"/>
  <c r="J30" i="7" s="1"/>
  <c r="L8" i="9"/>
  <c r="K9" i="7"/>
  <c r="K25" i="7" s="1"/>
  <c r="K8" i="9"/>
  <c r="J9" i="7"/>
  <c r="J25" i="7" s="1"/>
  <c r="E3" i="9"/>
  <c r="D4" i="7"/>
  <c r="D20" i="7" s="1"/>
  <c r="K7" i="9"/>
  <c r="J8" i="7"/>
  <c r="J24" i="7" s="1"/>
  <c r="N6" i="9"/>
  <c r="M7" i="7"/>
  <c r="M23" i="7" s="1"/>
  <c r="N11" i="9"/>
  <c r="M12" i="7"/>
  <c r="M28" i="7" s="1"/>
  <c r="M6" i="9"/>
  <c r="L7" i="7"/>
  <c r="L23" i="7" s="1"/>
  <c r="G5" i="9"/>
  <c r="F6" i="7"/>
  <c r="F22" i="7" s="1"/>
  <c r="N13" i="9"/>
  <c r="M14" i="7"/>
  <c r="M30" i="7" s="1"/>
  <c r="J11" i="9"/>
  <c r="I12" i="7"/>
  <c r="I28" i="7" s="1"/>
  <c r="P93" i="7"/>
  <c r="O77" i="7"/>
  <c r="O93" i="7" s="1"/>
  <c r="F34" i="9"/>
  <c r="O84" i="7"/>
  <c r="O100" i="7" s="1"/>
  <c r="J33" i="9"/>
  <c r="K21" i="9"/>
  <c r="N33" i="9"/>
  <c r="O6" i="7"/>
  <c r="O22" i="7" s="1"/>
  <c r="T44" i="8"/>
  <c r="T19" i="8"/>
  <c r="Q232" i="7"/>
  <c r="Q224" i="7"/>
  <c r="T11" i="8"/>
  <c r="R223" i="7"/>
  <c r="U10" i="8"/>
  <c r="I48" i="3"/>
  <c r="I80" i="6" s="1"/>
  <c r="I38" i="3"/>
  <c r="I51" i="3"/>
  <c r="I83" i="6" s="1"/>
  <c r="Q103" i="7"/>
  <c r="H49" i="3"/>
  <c r="H81" i="6" s="1"/>
  <c r="H47" i="3"/>
  <c r="H52" i="3"/>
  <c r="H39" i="3"/>
  <c r="H71" i="6" s="1"/>
  <c r="P91" i="7"/>
  <c r="U44" i="3"/>
  <c r="I50" i="3"/>
  <c r="I82" i="6" s="1"/>
  <c r="H41" i="3"/>
  <c r="I46" i="3"/>
  <c r="I78" i="6" s="1"/>
  <c r="I43" i="3"/>
  <c r="I75" i="6" s="1"/>
  <c r="I45" i="3"/>
  <c r="I42" i="3"/>
  <c r="H40" i="3"/>
  <c r="T16" i="8"/>
  <c r="Q229" i="7"/>
  <c r="T15" i="8"/>
  <c r="Q228" i="7"/>
  <c r="G54" i="6"/>
  <c r="S204" i="8"/>
  <c r="Q226" i="7"/>
  <c r="T13" i="8"/>
  <c r="BR318" i="8"/>
  <c r="S72" i="8"/>
  <c r="T48" i="8"/>
  <c r="X302" i="8"/>
  <c r="S299" i="8"/>
  <c r="Q227" i="7"/>
  <c r="T14" i="8"/>
  <c r="Q230" i="7"/>
  <c r="T17" i="8"/>
  <c r="S38" i="8"/>
  <c r="P221" i="7"/>
  <c r="V301" i="8"/>
  <c r="U295" i="8"/>
  <c r="U323" i="8" s="1"/>
  <c r="T45" i="8"/>
  <c r="T47" i="8"/>
  <c r="R231" i="7"/>
  <c r="U18" i="8"/>
  <c r="T9" i="8"/>
  <c r="Q222" i="7"/>
  <c r="BR317" i="8"/>
  <c r="T282" i="8"/>
  <c r="T299" i="8" s="1"/>
  <c r="T277" i="8"/>
  <c r="T276" i="8"/>
  <c r="U294" i="8"/>
  <c r="U322" i="8" s="1"/>
  <c r="T278" i="8"/>
  <c r="O170" i="8"/>
  <c r="L74" i="7"/>
  <c r="L90" i="7" s="1"/>
  <c r="I63" i="6" l="1"/>
  <c r="W63" i="6"/>
  <c r="AE63" i="6"/>
  <c r="AU63" i="6"/>
  <c r="AM63" i="6"/>
  <c r="H63" i="6"/>
  <c r="J63" i="6"/>
  <c r="X63" i="6"/>
  <c r="AJ63" i="6"/>
  <c r="Z63" i="6"/>
  <c r="V63" i="6"/>
  <c r="AL63" i="6"/>
  <c r="AT63" i="6"/>
  <c r="P63" i="6"/>
  <c r="K63" i="6"/>
  <c r="AV63" i="6"/>
  <c r="AF63" i="6"/>
  <c r="AK63" i="6"/>
  <c r="Q63" i="6"/>
  <c r="AD63" i="6"/>
  <c r="O63" i="6"/>
  <c r="N63" i="6"/>
  <c r="M63" i="6"/>
  <c r="L63" i="6"/>
  <c r="AW63" i="6"/>
  <c r="AN63" i="6"/>
  <c r="AO63" i="6"/>
  <c r="AH63" i="6"/>
  <c r="AB63" i="6"/>
  <c r="R63" i="6"/>
  <c r="BA63" i="6"/>
  <c r="AZ63" i="6"/>
  <c r="AY63" i="6"/>
  <c r="AX63" i="6"/>
  <c r="Y63" i="6"/>
  <c r="AA63" i="6"/>
  <c r="T63" i="6"/>
  <c r="AS63" i="6"/>
  <c r="AR63" i="6"/>
  <c r="AQ63" i="6"/>
  <c r="AP63" i="6"/>
  <c r="AG63" i="6"/>
  <c r="AC63" i="6"/>
  <c r="S63" i="6"/>
  <c r="AI63" i="6"/>
  <c r="U63" i="6"/>
  <c r="P101" i="7"/>
  <c r="R233" i="7"/>
  <c r="V20" i="8"/>
  <c r="U12" i="8"/>
  <c r="Q225" i="7"/>
  <c r="U21" i="8"/>
  <c r="Q234" i="7"/>
  <c r="I67" i="6"/>
  <c r="I61" i="6"/>
  <c r="H64" i="6"/>
  <c r="I65" i="6"/>
  <c r="I66" i="6"/>
  <c r="I56" i="6"/>
  <c r="I60" i="6"/>
  <c r="I68" i="6"/>
  <c r="H55" i="6"/>
  <c r="I57" i="6"/>
  <c r="I59" i="6"/>
  <c r="H62" i="6"/>
  <c r="H58" i="6"/>
  <c r="R225" i="7"/>
  <c r="M24" i="9"/>
  <c r="F31" i="9"/>
  <c r="Q10" i="9"/>
  <c r="Q12" i="9"/>
  <c r="N2" i="9"/>
  <c r="O20" i="9" s="1"/>
  <c r="Q13" i="9"/>
  <c r="J29" i="9"/>
  <c r="Q6" i="9"/>
  <c r="E25" i="9"/>
  <c r="Q7" i="9"/>
  <c r="N26" i="9"/>
  <c r="H26" i="9"/>
  <c r="Q8" i="9"/>
  <c r="M30" i="9"/>
  <c r="Q14" i="9"/>
  <c r="Q5" i="9"/>
  <c r="Q4" i="9"/>
  <c r="E51" i="9"/>
  <c r="N23" i="9"/>
  <c r="Q3" i="9"/>
  <c r="Q11" i="9"/>
  <c r="I27" i="9"/>
  <c r="Q9" i="9"/>
  <c r="D51" i="9"/>
  <c r="Q16" i="9"/>
  <c r="N32" i="9"/>
  <c r="L27" i="9"/>
  <c r="H31" i="9"/>
  <c r="N29" i="9"/>
  <c r="K26" i="9"/>
  <c r="J22" i="9"/>
  <c r="N34" i="9"/>
  <c r="F28" i="9"/>
  <c r="F30" i="9"/>
  <c r="J31" i="9"/>
  <c r="P104" i="7"/>
  <c r="J27" i="9"/>
  <c r="E45" i="9" s="1"/>
  <c r="G25" i="9"/>
  <c r="G23" i="9"/>
  <c r="K25" i="9"/>
  <c r="M34" i="9"/>
  <c r="E22" i="9"/>
  <c r="H22" i="9"/>
  <c r="P3" i="7"/>
  <c r="P19" i="7" s="1"/>
  <c r="N31" i="9"/>
  <c r="M28" i="9"/>
  <c r="H29" i="9"/>
  <c r="I25" i="9"/>
  <c r="P6" i="7"/>
  <c r="P22" i="7" s="1"/>
  <c r="H21" i="9"/>
  <c r="U50" i="8"/>
  <c r="U44" i="8"/>
  <c r="L30" i="9"/>
  <c r="U45" i="8"/>
  <c r="T53" i="8"/>
  <c r="U48" i="8"/>
  <c r="K28" i="9"/>
  <c r="L29" i="9"/>
  <c r="U47" i="8"/>
  <c r="T54" i="8"/>
  <c r="U52" i="8"/>
  <c r="K22" i="9"/>
  <c r="N24" i="9"/>
  <c r="O253" i="7"/>
  <c r="E21" i="9"/>
  <c r="K23" i="9"/>
  <c r="H20" i="9"/>
  <c r="G29" i="9"/>
  <c r="J26" i="9"/>
  <c r="J28" i="9"/>
  <c r="R234" i="7"/>
  <c r="K20" i="9"/>
  <c r="G22" i="9"/>
  <c r="L20" i="9"/>
  <c r="L28" i="9"/>
  <c r="E32" i="9"/>
  <c r="E23" i="9"/>
  <c r="K24" i="9"/>
  <c r="P12" i="7"/>
  <c r="P28" i="7" s="1"/>
  <c r="G32" i="9"/>
  <c r="L26" i="9"/>
  <c r="I23" i="9"/>
  <c r="T110" i="8"/>
  <c r="O15" i="7"/>
  <c r="O31" i="7" s="1"/>
  <c r="K31" i="9"/>
  <c r="P81" i="7"/>
  <c r="P97" i="7"/>
  <c r="S22" i="7"/>
  <c r="V236" i="8"/>
  <c r="Q235" i="7"/>
  <c r="M22" i="9"/>
  <c r="L31" i="9"/>
  <c r="Q24" i="7"/>
  <c r="F22" i="9"/>
  <c r="R19" i="7"/>
  <c r="O9" i="7"/>
  <c r="O25" i="7" s="1"/>
  <c r="K32" i="9"/>
  <c r="F23" i="9"/>
  <c r="P21" i="9"/>
  <c r="O21" i="9"/>
  <c r="K30" i="9"/>
  <c r="L24" i="9"/>
  <c r="H25" i="9"/>
  <c r="P31" i="9"/>
  <c r="O31" i="9"/>
  <c r="G21" i="9"/>
  <c r="E30" i="9"/>
  <c r="P29" i="9"/>
  <c r="O29" i="9"/>
  <c r="P79" i="7"/>
  <c r="P95" i="7"/>
  <c r="Q25" i="7"/>
  <c r="Q27" i="7"/>
  <c r="L25" i="9"/>
  <c r="P20" i="9"/>
  <c r="V55" i="8"/>
  <c r="M26" i="9"/>
  <c r="I31" i="9"/>
  <c r="U51" i="8"/>
  <c r="E29" i="9"/>
  <c r="O4" i="7"/>
  <c r="O20" i="7" s="1"/>
  <c r="O14" i="7"/>
  <c r="O30" i="7" s="1"/>
  <c r="O12" i="7"/>
  <c r="O28" i="7" s="1"/>
  <c r="P34" i="9"/>
  <c r="O34" i="9"/>
  <c r="S212" i="8"/>
  <c r="O27" i="9"/>
  <c r="P27" i="9"/>
  <c r="O3" i="7"/>
  <c r="O19" i="7" s="1"/>
  <c r="P86" i="7"/>
  <c r="P102" i="7"/>
  <c r="P82" i="7"/>
  <c r="P98" i="7"/>
  <c r="O24" i="9"/>
  <c r="P24" i="9"/>
  <c r="F20" i="9"/>
  <c r="P22" i="9"/>
  <c r="O22" i="9"/>
  <c r="P23" i="9"/>
  <c r="O23" i="9"/>
  <c r="H23" i="9"/>
  <c r="P80" i="7"/>
  <c r="P96" i="7"/>
  <c r="I29" i="9"/>
  <c r="J25" i="9"/>
  <c r="N30" i="9"/>
  <c r="K29" i="9"/>
  <c r="Q85" i="7"/>
  <c r="P4" i="7"/>
  <c r="P20" i="7" s="1"/>
  <c r="Q20" i="7"/>
  <c r="O10" i="7"/>
  <c r="O26" i="7" s="1"/>
  <c r="G30" i="9"/>
  <c r="R103" i="7"/>
  <c r="Q87" i="7"/>
  <c r="Q30" i="7"/>
  <c r="P30" i="9"/>
  <c r="O30" i="9"/>
  <c r="O7" i="7"/>
  <c r="O23" i="7" s="1"/>
  <c r="T102" i="8"/>
  <c r="O5" i="7"/>
  <c r="O21" i="7" s="1"/>
  <c r="N21" i="9"/>
  <c r="I21" i="9"/>
  <c r="G20" i="9"/>
  <c r="I26" i="9"/>
  <c r="J30" i="9"/>
  <c r="O17" i="7"/>
  <c r="O33" i="7" s="1"/>
  <c r="P84" i="7"/>
  <c r="P100" i="7"/>
  <c r="I20" i="9"/>
  <c r="L22" i="9"/>
  <c r="Q99" i="7"/>
  <c r="P83" i="7"/>
  <c r="O13" i="7"/>
  <c r="O29" i="7" s="1"/>
  <c r="M27" i="9"/>
  <c r="M23" i="9"/>
  <c r="F32" i="9"/>
  <c r="K27" i="9"/>
  <c r="J21" i="9"/>
  <c r="E24" i="9"/>
  <c r="F29" i="9"/>
  <c r="J23" i="9"/>
  <c r="N22" i="9"/>
  <c r="P25" i="9"/>
  <c r="O25" i="9"/>
  <c r="N25" i="9"/>
  <c r="E31" i="9"/>
  <c r="Q21" i="7"/>
  <c r="Q29" i="7"/>
  <c r="E20" i="9"/>
  <c r="D38" i="9" s="1"/>
  <c r="M21" i="9"/>
  <c r="P78" i="7"/>
  <c r="P94" i="7"/>
  <c r="E28" i="9"/>
  <c r="N27" i="9"/>
  <c r="O32" i="9"/>
  <c r="P32" i="9"/>
  <c r="O8" i="7"/>
  <c r="O24" i="7" s="1"/>
  <c r="P28" i="9"/>
  <c r="O28" i="9"/>
  <c r="H24" i="9"/>
  <c r="N28" i="9"/>
  <c r="G31" i="9"/>
  <c r="O11" i="7"/>
  <c r="O27" i="7" s="1"/>
  <c r="M29" i="9"/>
  <c r="M31" i="9"/>
  <c r="Q92" i="7"/>
  <c r="P76" i="7"/>
  <c r="Q75" i="7"/>
  <c r="Q26" i="7"/>
  <c r="Q93" i="7"/>
  <c r="P77" i="7"/>
  <c r="M20" i="9"/>
  <c r="M25" i="9"/>
  <c r="I22" i="9"/>
  <c r="F21" i="9"/>
  <c r="L23" i="9"/>
  <c r="L32" i="9"/>
  <c r="Q19" i="7"/>
  <c r="P88" i="7"/>
  <c r="G28" i="9"/>
  <c r="P26" i="9"/>
  <c r="O26" i="9"/>
  <c r="T43" i="8"/>
  <c r="U43" i="8"/>
  <c r="M32" i="9"/>
  <c r="S223" i="7"/>
  <c r="V10" i="8"/>
  <c r="R224" i="7"/>
  <c r="U11" i="8"/>
  <c r="R232" i="7"/>
  <c r="U19" i="8"/>
  <c r="J43" i="3"/>
  <c r="J75" i="6" s="1"/>
  <c r="V44" i="3"/>
  <c r="I49" i="3"/>
  <c r="I81" i="6" s="1"/>
  <c r="J46" i="3"/>
  <c r="J78" i="6" s="1"/>
  <c r="J42" i="3"/>
  <c r="I41" i="3"/>
  <c r="I52" i="3"/>
  <c r="J38" i="3"/>
  <c r="I40" i="3"/>
  <c r="J51" i="3"/>
  <c r="J83" i="6" s="1"/>
  <c r="I39" i="3"/>
  <c r="I71" i="6" s="1"/>
  <c r="Q91" i="7"/>
  <c r="J45" i="3"/>
  <c r="J50" i="3"/>
  <c r="J82" i="6" s="1"/>
  <c r="I47" i="3"/>
  <c r="J48" i="3"/>
  <c r="J80" i="6" s="1"/>
  <c r="R228" i="7"/>
  <c r="U15" i="8"/>
  <c r="T103" i="8"/>
  <c r="U121" i="8"/>
  <c r="Q8" i="7" s="1"/>
  <c r="U13" i="8"/>
  <c r="R226" i="7"/>
  <c r="U123" i="8"/>
  <c r="T105" i="8"/>
  <c r="S213" i="8"/>
  <c r="R230" i="7"/>
  <c r="U17" i="8"/>
  <c r="S218" i="8"/>
  <c r="T72" i="8"/>
  <c r="T42" i="8"/>
  <c r="U16" i="8"/>
  <c r="R229" i="7"/>
  <c r="T99" i="8"/>
  <c r="T46" i="8"/>
  <c r="U46" i="8"/>
  <c r="S215" i="8"/>
  <c r="S210" i="8"/>
  <c r="T204" i="8"/>
  <c r="H54" i="6"/>
  <c r="T38" i="8"/>
  <c r="T8" i="8"/>
  <c r="Q221" i="7"/>
  <c r="S217" i="8"/>
  <c r="V12" i="8"/>
  <c r="S225" i="7"/>
  <c r="T106" i="8"/>
  <c r="U124" i="8"/>
  <c r="Q11" i="7" s="1"/>
  <c r="U282" i="8"/>
  <c r="U299" i="8" s="1"/>
  <c r="U278" i="8"/>
  <c r="U276" i="8"/>
  <c r="U277" i="8"/>
  <c r="S211" i="8"/>
  <c r="Y302" i="8"/>
  <c r="W301" i="8"/>
  <c r="U118" i="8"/>
  <c r="Q5" i="7" s="1"/>
  <c r="T100" i="8"/>
  <c r="BS317" i="8"/>
  <c r="S216" i="8"/>
  <c r="V21" i="8"/>
  <c r="S234" i="7"/>
  <c r="U126" i="8"/>
  <c r="Q13" i="7" s="1"/>
  <c r="T108" i="8"/>
  <c r="T49" i="8"/>
  <c r="U127" i="8"/>
  <c r="Q14" i="7" s="1"/>
  <c r="T109" i="8"/>
  <c r="P170" i="8"/>
  <c r="M74" i="7"/>
  <c r="M90" i="7" s="1"/>
  <c r="L40" i="7"/>
  <c r="L56" i="7" s="1"/>
  <c r="R222" i="7"/>
  <c r="U9" i="8"/>
  <c r="U122" i="8"/>
  <c r="Q9" i="7" s="1"/>
  <c r="T104" i="8"/>
  <c r="R227" i="7"/>
  <c r="U14" i="8"/>
  <c r="V295" i="8"/>
  <c r="V323" i="8" s="1"/>
  <c r="S209" i="8"/>
  <c r="S231" i="7"/>
  <c r="V18" i="8"/>
  <c r="S214" i="8"/>
  <c r="T101" i="8"/>
  <c r="BS318" i="8"/>
  <c r="R146" i="6"/>
  <c r="R143" i="6" s="1"/>
  <c r="Q146" i="6"/>
  <c r="Q143" i="6" s="1"/>
  <c r="P146" i="6"/>
  <c r="P143" i="6" s="1"/>
  <c r="I146" i="6"/>
  <c r="I143" i="6" s="1"/>
  <c r="J146" i="6"/>
  <c r="J143" i="6" s="1"/>
  <c r="H146" i="6"/>
  <c r="H143" i="6" s="1"/>
  <c r="O146" i="6"/>
  <c r="O143" i="6" s="1"/>
  <c r="G146" i="6"/>
  <c r="G143" i="6" s="1"/>
  <c r="N146" i="6"/>
  <c r="N143" i="6" s="1"/>
  <c r="M146" i="6"/>
  <c r="M143" i="6" s="1"/>
  <c r="L146" i="6"/>
  <c r="L143" i="6" s="1"/>
  <c r="S146" i="6"/>
  <c r="S143" i="6" s="1"/>
  <c r="K146" i="6"/>
  <c r="K143" i="6" s="1"/>
  <c r="Q147" i="6"/>
  <c r="I147" i="6"/>
  <c r="K147" i="6"/>
  <c r="G147" i="6"/>
  <c r="S147" i="6"/>
  <c r="R147" i="6"/>
  <c r="J147" i="6"/>
  <c r="N147" i="6"/>
  <c r="M147" i="6"/>
  <c r="L147" i="6"/>
  <c r="P147" i="6"/>
  <c r="O147" i="6"/>
  <c r="H147" i="6"/>
  <c r="Q101" i="7" l="1"/>
  <c r="Q10" i="7"/>
  <c r="H10" i="6"/>
  <c r="R26" i="7" s="1"/>
  <c r="S233" i="7"/>
  <c r="W20" i="8"/>
  <c r="J59" i="6"/>
  <c r="J60" i="6"/>
  <c r="I64" i="6"/>
  <c r="J57" i="6"/>
  <c r="J56" i="6"/>
  <c r="J61" i="6"/>
  <c r="I58" i="6"/>
  <c r="I55" i="6"/>
  <c r="J66" i="6"/>
  <c r="I62" i="6"/>
  <c r="J68" i="6"/>
  <c r="J65" i="6"/>
  <c r="J67" i="6"/>
  <c r="D49" i="9"/>
  <c r="F51" i="9"/>
  <c r="D52" i="9"/>
  <c r="F52" i="9" s="1"/>
  <c r="T98" i="8"/>
  <c r="Q2" i="9"/>
  <c r="N20" i="9"/>
  <c r="Q20" i="9" s="1"/>
  <c r="S20" i="9" s="1"/>
  <c r="T84" i="8"/>
  <c r="T85" i="8"/>
  <c r="D48" i="9"/>
  <c r="F48" i="9" s="1"/>
  <c r="Q30" i="9"/>
  <c r="AA30" i="9" s="1"/>
  <c r="D50" i="9"/>
  <c r="F50" i="9" s="1"/>
  <c r="Q32" i="9"/>
  <c r="AA32" i="9" s="1"/>
  <c r="D39" i="9"/>
  <c r="F39" i="9" s="1"/>
  <c r="D41" i="9"/>
  <c r="E38" i="9"/>
  <c r="D44" i="9"/>
  <c r="F44" i="9" s="1"/>
  <c r="Q26" i="9"/>
  <c r="V26" i="9" s="1"/>
  <c r="D45" i="9"/>
  <c r="F45" i="9" s="1"/>
  <c r="Q27" i="9"/>
  <c r="V27" i="9" s="1"/>
  <c r="Q3" i="7"/>
  <c r="Q21" i="9"/>
  <c r="S21" i="9" s="1"/>
  <c r="Q25" i="9"/>
  <c r="S25" i="9" s="1"/>
  <c r="Q24" i="9"/>
  <c r="AB24" i="9" s="1"/>
  <c r="Q34" i="9"/>
  <c r="X34" i="9" s="1"/>
  <c r="D47" i="9"/>
  <c r="Q29" i="9"/>
  <c r="T29" i="9" s="1"/>
  <c r="D43" i="9"/>
  <c r="F43" i="9" s="1"/>
  <c r="Q22" i="9"/>
  <c r="Z22" i="9" s="1"/>
  <c r="T83" i="8"/>
  <c r="D46" i="9"/>
  <c r="Q28" i="9"/>
  <c r="Y28" i="9" s="1"/>
  <c r="F49" i="9"/>
  <c r="Q31" i="9"/>
  <c r="S31" i="9" s="1"/>
  <c r="E41" i="9"/>
  <c r="Q23" i="9"/>
  <c r="S23" i="9" s="1"/>
  <c r="Y30" i="9"/>
  <c r="D42" i="9"/>
  <c r="F42" i="9" s="1"/>
  <c r="W34" i="9"/>
  <c r="T34" i="9"/>
  <c r="T94" i="8"/>
  <c r="T88" i="8"/>
  <c r="T93" i="8"/>
  <c r="T89" i="8"/>
  <c r="T92" i="8"/>
  <c r="T90" i="8"/>
  <c r="T87" i="8"/>
  <c r="T86" i="8"/>
  <c r="U125" i="8"/>
  <c r="Q12" i="7" s="1"/>
  <c r="Q6" i="7"/>
  <c r="V47" i="8"/>
  <c r="V44" i="8"/>
  <c r="U49" i="8"/>
  <c r="U53" i="8"/>
  <c r="V45" i="8"/>
  <c r="U42" i="8"/>
  <c r="V48" i="8"/>
  <c r="V50" i="8"/>
  <c r="U54" i="8"/>
  <c r="V52" i="8"/>
  <c r="Q104" i="7"/>
  <c r="D40" i="9"/>
  <c r="F40" i="9" s="1"/>
  <c r="O51" i="7"/>
  <c r="O67" i="7" s="1"/>
  <c r="P253" i="7"/>
  <c r="T107" i="8"/>
  <c r="R25" i="7"/>
  <c r="Q28" i="7"/>
  <c r="E46" i="9"/>
  <c r="Q79" i="7"/>
  <c r="Q95" i="7"/>
  <c r="S220" i="8"/>
  <c r="V43" i="8"/>
  <c r="R24" i="7"/>
  <c r="S19" i="7"/>
  <c r="Q81" i="7"/>
  <c r="O41" i="7"/>
  <c r="O57" i="7" s="1"/>
  <c r="R104" i="7"/>
  <c r="Q88" i="7"/>
  <c r="W156" i="8"/>
  <c r="R75" i="7"/>
  <c r="W236" i="8"/>
  <c r="R235" i="7"/>
  <c r="P15" i="7"/>
  <c r="P31" i="7" s="1"/>
  <c r="U128" i="8"/>
  <c r="U110" i="8" s="1"/>
  <c r="Q31" i="7"/>
  <c r="Q4" i="7"/>
  <c r="R20" i="7"/>
  <c r="O50" i="7"/>
  <c r="O66" i="7" s="1"/>
  <c r="R29" i="7"/>
  <c r="Q84" i="7"/>
  <c r="Q100" i="7"/>
  <c r="R92" i="7"/>
  <c r="Q76" i="7"/>
  <c r="Q78" i="7"/>
  <c r="Q94" i="7"/>
  <c r="F47" i="9"/>
  <c r="O49" i="7"/>
  <c r="O65" i="7" s="1"/>
  <c r="O42" i="7"/>
  <c r="O58" i="7" s="1"/>
  <c r="R99" i="7"/>
  <c r="Q83" i="7"/>
  <c r="Q86" i="7"/>
  <c r="Q102" i="7"/>
  <c r="R93" i="7"/>
  <c r="Q77" i="7"/>
  <c r="P7" i="7"/>
  <c r="P23" i="7" s="1"/>
  <c r="Q23" i="7"/>
  <c r="U120" i="8"/>
  <c r="U102" i="8" s="1"/>
  <c r="U86" i="8" s="1"/>
  <c r="Q82" i="7"/>
  <c r="Q98" i="7"/>
  <c r="W55" i="8"/>
  <c r="T22" i="7"/>
  <c r="O46" i="7"/>
  <c r="O62" i="7" s="1"/>
  <c r="O48" i="7"/>
  <c r="O64" i="7" s="1"/>
  <c r="O47" i="7"/>
  <c r="O63" i="7" s="1"/>
  <c r="O45" i="7"/>
  <c r="O61" i="7" s="1"/>
  <c r="S103" i="7"/>
  <c r="R87" i="7"/>
  <c r="R85" i="7"/>
  <c r="Q80" i="7"/>
  <c r="Q96" i="7"/>
  <c r="O44" i="7"/>
  <c r="O60" i="7" s="1"/>
  <c r="V51" i="8"/>
  <c r="O43" i="7"/>
  <c r="O59" i="7" s="1"/>
  <c r="T220" i="8"/>
  <c r="S232" i="7"/>
  <c r="V19" i="8"/>
  <c r="S224" i="7"/>
  <c r="V11" i="8"/>
  <c r="T223" i="7"/>
  <c r="W10" i="8"/>
  <c r="K45" i="3"/>
  <c r="K38" i="3"/>
  <c r="K46" i="3"/>
  <c r="K78" i="6" s="1"/>
  <c r="J52" i="3"/>
  <c r="J47" i="3"/>
  <c r="K51" i="3"/>
  <c r="K83" i="6" s="1"/>
  <c r="J41" i="3"/>
  <c r="W44" i="3"/>
  <c r="K48" i="3"/>
  <c r="K80" i="6" s="1"/>
  <c r="J49" i="3"/>
  <c r="J81" i="6" s="1"/>
  <c r="R101" i="7"/>
  <c r="J39" i="3"/>
  <c r="J71" i="6" s="1"/>
  <c r="R91" i="7"/>
  <c r="K50" i="3"/>
  <c r="K82" i="6" s="1"/>
  <c r="J40" i="3"/>
  <c r="K42" i="3"/>
  <c r="K43" i="3"/>
  <c r="K75" i="6" s="1"/>
  <c r="V118" i="8"/>
  <c r="R5" i="7" s="1"/>
  <c r="U100" i="8"/>
  <c r="BT317" i="8"/>
  <c r="V46" i="8"/>
  <c r="U103" i="8"/>
  <c r="V121" i="8"/>
  <c r="R8" i="7" s="1"/>
  <c r="V13" i="8"/>
  <c r="S226" i="7"/>
  <c r="W295" i="8"/>
  <c r="W323" i="8" s="1"/>
  <c r="U98" i="8"/>
  <c r="BT318" i="8"/>
  <c r="U72" i="8"/>
  <c r="V126" i="8"/>
  <c r="R13" i="7" s="1"/>
  <c r="U108" i="8"/>
  <c r="U107" i="8"/>
  <c r="V125" i="8"/>
  <c r="R12" i="7" s="1"/>
  <c r="T82" i="8"/>
  <c r="V16" i="8"/>
  <c r="S229" i="7"/>
  <c r="Q170" i="8"/>
  <c r="N74" i="7"/>
  <c r="N90" i="7" s="1"/>
  <c r="M40" i="7"/>
  <c r="M56" i="7" s="1"/>
  <c r="T213" i="8"/>
  <c r="T212" i="8"/>
  <c r="V122" i="8"/>
  <c r="R9" i="7" s="1"/>
  <c r="U104" i="8"/>
  <c r="V124" i="8"/>
  <c r="R11" i="7" s="1"/>
  <c r="U106" i="8"/>
  <c r="S228" i="7"/>
  <c r="V15" i="8"/>
  <c r="U204" i="8"/>
  <c r="I54" i="6"/>
  <c r="Z302" i="8"/>
  <c r="T219" i="8"/>
  <c r="T211" i="8"/>
  <c r="V127" i="8"/>
  <c r="R14" i="7" s="1"/>
  <c r="U109" i="8"/>
  <c r="X301" i="8"/>
  <c r="T216" i="8"/>
  <c r="U99" i="8"/>
  <c r="T215" i="8"/>
  <c r="V278" i="8"/>
  <c r="V276" i="8"/>
  <c r="W294" i="8"/>
  <c r="W322" i="8" s="1"/>
  <c r="V277" i="8"/>
  <c r="V282" i="8"/>
  <c r="S230" i="7"/>
  <c r="V17" i="8"/>
  <c r="S227" i="7"/>
  <c r="V14" i="8"/>
  <c r="T231" i="7"/>
  <c r="W18" i="8"/>
  <c r="T218" i="8"/>
  <c r="U38" i="8"/>
  <c r="U8" i="8"/>
  <c r="T214" i="8"/>
  <c r="S222" i="7"/>
  <c r="V9" i="8"/>
  <c r="T234" i="7"/>
  <c r="W21" i="8"/>
  <c r="T210" i="8"/>
  <c r="V294" i="8"/>
  <c r="V322" i="8" s="1"/>
  <c r="W12" i="8"/>
  <c r="T225" i="7"/>
  <c r="T209" i="8"/>
  <c r="V123" i="8"/>
  <c r="U105" i="8"/>
  <c r="R10" i="7" l="1"/>
  <c r="I10" i="6"/>
  <c r="T233" i="7"/>
  <c r="X20" i="8"/>
  <c r="R221" i="7"/>
  <c r="K68" i="6"/>
  <c r="J55" i="6"/>
  <c r="K57" i="6"/>
  <c r="J62" i="6"/>
  <c r="J58" i="6"/>
  <c r="J64" i="6"/>
  <c r="K67" i="6"/>
  <c r="K61" i="6"/>
  <c r="K60" i="6"/>
  <c r="K65" i="6"/>
  <c r="K66" i="6"/>
  <c r="K56" i="6"/>
  <c r="K59" i="6"/>
  <c r="X32" i="9"/>
  <c r="Z34" i="9"/>
  <c r="AB34" i="9"/>
  <c r="V23" i="9"/>
  <c r="F41" i="9"/>
  <c r="AB30" i="9"/>
  <c r="F38" i="9"/>
  <c r="V34" i="9"/>
  <c r="AC34" i="9"/>
  <c r="Y29" i="9"/>
  <c r="U34" i="9"/>
  <c r="Y34" i="9"/>
  <c r="W21" i="9"/>
  <c r="U21" i="9"/>
  <c r="R24" i="9"/>
  <c r="AC21" i="9"/>
  <c r="T21" i="9"/>
  <c r="W23" i="9"/>
  <c r="AA24" i="9"/>
  <c r="Z21" i="9"/>
  <c r="W28" i="9"/>
  <c r="V21" i="9"/>
  <c r="AA29" i="9"/>
  <c r="AB21" i="9"/>
  <c r="Z26" i="9"/>
  <c r="Z30" i="9"/>
  <c r="S30" i="9"/>
  <c r="AA22" i="9"/>
  <c r="R23" i="9"/>
  <c r="R29" i="9"/>
  <c r="AC28" i="9"/>
  <c r="X26" i="9"/>
  <c r="U22" i="9"/>
  <c r="W22" i="9"/>
  <c r="U26" i="9"/>
  <c r="Y25" i="9"/>
  <c r="AC23" i="9"/>
  <c r="Y23" i="9"/>
  <c r="U23" i="9"/>
  <c r="S22" i="9"/>
  <c r="R31" i="9"/>
  <c r="AB31" i="9"/>
  <c r="X31" i="9"/>
  <c r="U82" i="8"/>
  <c r="AB25" i="9"/>
  <c r="V32" i="9"/>
  <c r="U32" i="9"/>
  <c r="W32" i="9"/>
  <c r="R3" i="7"/>
  <c r="W25" i="9"/>
  <c r="AC31" i="9"/>
  <c r="U83" i="8"/>
  <c r="V25" i="9"/>
  <c r="V24" i="9"/>
  <c r="T24" i="9"/>
  <c r="S24" i="9"/>
  <c r="W24" i="9"/>
  <c r="Z24" i="9"/>
  <c r="U31" i="9"/>
  <c r="U27" i="9"/>
  <c r="T27" i="9"/>
  <c r="S27" i="9"/>
  <c r="R27" i="9"/>
  <c r="AB27" i="9"/>
  <c r="Z31" i="9"/>
  <c r="AA25" i="9"/>
  <c r="V28" i="9"/>
  <c r="U28" i="9"/>
  <c r="Y27" i="9"/>
  <c r="W27" i="9"/>
  <c r="AC32" i="9"/>
  <c r="Z28" i="9"/>
  <c r="X29" i="9"/>
  <c r="AB28" i="9"/>
  <c r="R28" i="9"/>
  <c r="W31" i="9"/>
  <c r="AA28" i="9"/>
  <c r="X28" i="9"/>
  <c r="T30" i="9"/>
  <c r="S34" i="9"/>
  <c r="Z25" i="9"/>
  <c r="AB29" i="9"/>
  <c r="AB22" i="9"/>
  <c r="V22" i="9"/>
  <c r="S26" i="9"/>
  <c r="R26" i="9"/>
  <c r="T26" i="9"/>
  <c r="X22" i="9"/>
  <c r="Y26" i="9"/>
  <c r="R34" i="9"/>
  <c r="X25" i="9"/>
  <c r="X30" i="9"/>
  <c r="AA23" i="9"/>
  <c r="AC22" i="9"/>
  <c r="U24" i="9"/>
  <c r="R22" i="9"/>
  <c r="V29" i="9"/>
  <c r="AC26" i="9"/>
  <c r="R21" i="9"/>
  <c r="T22" i="9"/>
  <c r="AC24" i="9"/>
  <c r="W26" i="9"/>
  <c r="Z32" i="9"/>
  <c r="Y31" i="9"/>
  <c r="S32" i="9"/>
  <c r="W29" i="9"/>
  <c r="X24" i="9"/>
  <c r="AA27" i="9"/>
  <c r="S29" i="9"/>
  <c r="T25" i="9"/>
  <c r="Y24" i="9"/>
  <c r="AB32" i="9"/>
  <c r="U30" i="9"/>
  <c r="V30" i="9"/>
  <c r="W30" i="9"/>
  <c r="AC27" i="9"/>
  <c r="AA31" i="9"/>
  <c r="U84" i="8"/>
  <c r="S28" i="9"/>
  <c r="Y21" i="9"/>
  <c r="X21" i="9"/>
  <c r="T31" i="9"/>
  <c r="X23" i="9"/>
  <c r="T23" i="9"/>
  <c r="V31" i="9"/>
  <c r="R30" i="9"/>
  <c r="Z29" i="9"/>
  <c r="AB23" i="9"/>
  <c r="Y22" i="9"/>
  <c r="U101" i="8"/>
  <c r="R6" i="7"/>
  <c r="AA34" i="9"/>
  <c r="U29" i="9"/>
  <c r="AC29" i="9"/>
  <c r="AA21" i="9"/>
  <c r="T28" i="9"/>
  <c r="U25" i="9"/>
  <c r="AC30" i="9"/>
  <c r="R25" i="9"/>
  <c r="T32" i="9"/>
  <c r="AB26" i="9"/>
  <c r="Z27" i="9"/>
  <c r="X27" i="9"/>
  <c r="R32" i="9"/>
  <c r="AA26" i="9"/>
  <c r="Y32" i="9"/>
  <c r="Z23" i="9"/>
  <c r="AC25" i="9"/>
  <c r="Z20" i="9"/>
  <c r="R20" i="9"/>
  <c r="W20" i="9"/>
  <c r="AA20" i="9"/>
  <c r="T20" i="9"/>
  <c r="AB20" i="9"/>
  <c r="U20" i="9"/>
  <c r="V20" i="9"/>
  <c r="X20" i="9"/>
  <c r="Y20" i="9"/>
  <c r="AC20" i="9"/>
  <c r="U90" i="8"/>
  <c r="U91" i="8"/>
  <c r="U88" i="8"/>
  <c r="U92" i="8"/>
  <c r="U94" i="8"/>
  <c r="U93" i="8"/>
  <c r="U89" i="8"/>
  <c r="U87" i="8"/>
  <c r="T91" i="8"/>
  <c r="R28" i="7"/>
  <c r="T217" i="8"/>
  <c r="V49" i="8"/>
  <c r="V53" i="8"/>
  <c r="W47" i="8"/>
  <c r="W45" i="8"/>
  <c r="V42" i="8"/>
  <c r="W44" i="8"/>
  <c r="W48" i="8"/>
  <c r="W50" i="8"/>
  <c r="V54" i="8"/>
  <c r="W52" i="8"/>
  <c r="S29" i="7"/>
  <c r="Q253" i="7"/>
  <c r="U212" i="8"/>
  <c r="R4" i="7"/>
  <c r="S20" i="7"/>
  <c r="W43" i="8"/>
  <c r="G21" i="6"/>
  <c r="G38" i="6" s="1"/>
  <c r="P128" i="7" s="1"/>
  <c r="P41" i="7"/>
  <c r="G31" i="6"/>
  <c r="P51" i="7"/>
  <c r="U22" i="7"/>
  <c r="S93" i="7"/>
  <c r="R77" i="7"/>
  <c r="R83" i="7"/>
  <c r="S24" i="7"/>
  <c r="T19" i="7"/>
  <c r="T103" i="7"/>
  <c r="S87" i="7"/>
  <c r="X236" i="8"/>
  <c r="S235" i="7"/>
  <c r="R88" i="7"/>
  <c r="G24" i="6"/>
  <c r="G41" i="6" s="1"/>
  <c r="P131" i="7" s="1"/>
  <c r="P44" i="7"/>
  <c r="R82" i="7"/>
  <c r="R98" i="7"/>
  <c r="S28" i="7"/>
  <c r="R79" i="7"/>
  <c r="R95" i="7"/>
  <c r="S26" i="7"/>
  <c r="R86" i="7"/>
  <c r="R102" i="7"/>
  <c r="R78" i="7"/>
  <c r="R94" i="7"/>
  <c r="R84" i="7"/>
  <c r="R100" i="7"/>
  <c r="F46" i="9"/>
  <c r="G26" i="6"/>
  <c r="G43" i="6" s="1"/>
  <c r="P133" i="7" s="1"/>
  <c r="P46" i="7"/>
  <c r="G25" i="6"/>
  <c r="G42" i="6" s="1"/>
  <c r="P132" i="7" s="1"/>
  <c r="P45" i="7"/>
  <c r="R80" i="7"/>
  <c r="R96" i="7"/>
  <c r="O52" i="7"/>
  <c r="O68" i="7" s="1"/>
  <c r="G22" i="6"/>
  <c r="G39" i="6" s="1"/>
  <c r="P129" i="7" s="1"/>
  <c r="P42" i="7"/>
  <c r="G28" i="6"/>
  <c r="G45" i="6" s="1"/>
  <c r="P135" i="7" s="1"/>
  <c r="P48" i="7"/>
  <c r="G32" i="6"/>
  <c r="P52" i="7"/>
  <c r="Q7" i="7"/>
  <c r="R23" i="7"/>
  <c r="V120" i="8"/>
  <c r="G27" i="6"/>
  <c r="G44" i="6" s="1"/>
  <c r="P134" i="7" s="1"/>
  <c r="P47" i="7"/>
  <c r="G30" i="6"/>
  <c r="P50" i="7"/>
  <c r="S25" i="7"/>
  <c r="W51" i="8"/>
  <c r="S85" i="7"/>
  <c r="X55" i="8"/>
  <c r="S92" i="7"/>
  <c r="R76" i="7"/>
  <c r="Q15" i="7"/>
  <c r="V128" i="8"/>
  <c r="V110" i="8" s="1"/>
  <c r="X156" i="8"/>
  <c r="S75" i="7"/>
  <c r="R81" i="7"/>
  <c r="P43" i="7"/>
  <c r="U220" i="8"/>
  <c r="U223" i="7"/>
  <c r="X10" i="8"/>
  <c r="W11" i="8"/>
  <c r="X27" i="8"/>
  <c r="T224" i="7" s="1"/>
  <c r="T232" i="7"/>
  <c r="W19" i="8"/>
  <c r="L50" i="3"/>
  <c r="L82" i="6" s="1"/>
  <c r="X44" i="3"/>
  <c r="K52" i="3"/>
  <c r="K39" i="3"/>
  <c r="K71" i="6" s="1"/>
  <c r="S91" i="7"/>
  <c r="L42" i="3"/>
  <c r="K49" i="3"/>
  <c r="K81" i="6" s="1"/>
  <c r="S101" i="7"/>
  <c r="L51" i="3"/>
  <c r="L83" i="6" s="1"/>
  <c r="L38" i="3"/>
  <c r="L46" i="3"/>
  <c r="L78" i="6" s="1"/>
  <c r="L43" i="3"/>
  <c r="L75" i="6" s="1"/>
  <c r="K41" i="3"/>
  <c r="K40" i="3"/>
  <c r="L48" i="3"/>
  <c r="L80" i="6" s="1"/>
  <c r="K47" i="3"/>
  <c r="S99" i="7"/>
  <c r="L45" i="3"/>
  <c r="W123" i="8"/>
  <c r="V105" i="8"/>
  <c r="W122" i="8"/>
  <c r="S9" i="7" s="1"/>
  <c r="V104" i="8"/>
  <c r="X295" i="8"/>
  <c r="X323" i="8" s="1"/>
  <c r="T227" i="7"/>
  <c r="W14" i="8"/>
  <c r="U219" i="8"/>
  <c r="R170" i="8"/>
  <c r="N40" i="7"/>
  <c r="N56" i="7" s="1"/>
  <c r="T226" i="7"/>
  <c r="W13" i="8"/>
  <c r="U214" i="8"/>
  <c r="V108" i="8"/>
  <c r="W126" i="8"/>
  <c r="S13" i="7" s="1"/>
  <c r="T228" i="7"/>
  <c r="W15" i="8"/>
  <c r="W17" i="8"/>
  <c r="T230" i="7"/>
  <c r="V204" i="8"/>
  <c r="J54" i="6"/>
  <c r="BU318" i="8"/>
  <c r="W121" i="8"/>
  <c r="S8" i="7" s="1"/>
  <c r="V103" i="8"/>
  <c r="V72" i="8"/>
  <c r="W58" i="8"/>
  <c r="AA302" i="8"/>
  <c r="W125" i="8"/>
  <c r="S12" i="7" s="1"/>
  <c r="V107" i="8"/>
  <c r="U213" i="8"/>
  <c r="W127" i="8"/>
  <c r="S14" i="7" s="1"/>
  <c r="V109" i="8"/>
  <c r="V299" i="8"/>
  <c r="X61" i="8"/>
  <c r="U216" i="8"/>
  <c r="T229" i="7"/>
  <c r="W16" i="8"/>
  <c r="U217" i="8"/>
  <c r="U210" i="8"/>
  <c r="U231" i="7"/>
  <c r="X18" i="8"/>
  <c r="V38" i="8"/>
  <c r="V8" i="8"/>
  <c r="BU317" i="8"/>
  <c r="U234" i="7"/>
  <c r="X21" i="8"/>
  <c r="U209" i="8"/>
  <c r="U215" i="8"/>
  <c r="X12" i="8"/>
  <c r="U225" i="7"/>
  <c r="T222" i="7"/>
  <c r="W9" i="8"/>
  <c r="W276" i="8"/>
  <c r="W278" i="8"/>
  <c r="W282" i="8"/>
  <c r="W299" i="8" s="1"/>
  <c r="W277" i="8"/>
  <c r="X294" i="8"/>
  <c r="X322" i="8" s="1"/>
  <c r="V99" i="8"/>
  <c r="Y301" i="8"/>
  <c r="V106" i="8"/>
  <c r="W124" i="8"/>
  <c r="S11" i="7" s="1"/>
  <c r="U218" i="8"/>
  <c r="W46" i="8"/>
  <c r="V100" i="8"/>
  <c r="W118" i="8"/>
  <c r="S5" i="7" s="1"/>
  <c r="P68" i="7" l="1"/>
  <c r="G49" i="6"/>
  <c r="P139" i="7" s="1"/>
  <c r="P67" i="7"/>
  <c r="G48" i="6"/>
  <c r="P138" i="7" s="1"/>
  <c r="P66" i="7"/>
  <c r="G47" i="6"/>
  <c r="P137" i="7" s="1"/>
  <c r="P63" i="7"/>
  <c r="P61" i="7"/>
  <c r="P62" i="7"/>
  <c r="P60" i="7"/>
  <c r="P58" i="7"/>
  <c r="P57" i="7"/>
  <c r="P64" i="7"/>
  <c r="S10" i="7"/>
  <c r="J10" i="6"/>
  <c r="T26" i="7" s="1"/>
  <c r="S221" i="7"/>
  <c r="U233" i="7"/>
  <c r="Y20" i="8"/>
  <c r="L66" i="6"/>
  <c r="K62" i="6"/>
  <c r="L65" i="6"/>
  <c r="L67" i="6"/>
  <c r="L57" i="6"/>
  <c r="L59" i="6"/>
  <c r="L60" i="6"/>
  <c r="K64" i="6"/>
  <c r="K55" i="6"/>
  <c r="L56" i="6"/>
  <c r="L61" i="6"/>
  <c r="K58" i="6"/>
  <c r="L68" i="6"/>
  <c r="AD34" i="9"/>
  <c r="AE34" i="9" s="1"/>
  <c r="AD26" i="9"/>
  <c r="AE26" i="9" s="1"/>
  <c r="AG26" i="9" s="1"/>
  <c r="AD29" i="9"/>
  <c r="AE29" i="9" s="1"/>
  <c r="AD27" i="9"/>
  <c r="AE27" i="9" s="1"/>
  <c r="AD25" i="9"/>
  <c r="AE25" i="9" s="1"/>
  <c r="AD23" i="9"/>
  <c r="AE23" i="9" s="1"/>
  <c r="AD24" i="9"/>
  <c r="AE24" i="9" s="1"/>
  <c r="AG24" i="9" s="1"/>
  <c r="AD31" i="9"/>
  <c r="AE31" i="9" s="1"/>
  <c r="AF31" i="9" s="1"/>
  <c r="V98" i="8"/>
  <c r="U85" i="8"/>
  <c r="S3" i="7"/>
  <c r="V83" i="8"/>
  <c r="U211" i="8"/>
  <c r="Q43" i="7" s="1"/>
  <c r="AD21" i="9"/>
  <c r="AE21" i="9" s="1"/>
  <c r="V101" i="8"/>
  <c r="V211" i="8" s="1"/>
  <c r="AD32" i="9"/>
  <c r="AE32" i="9" s="1"/>
  <c r="AD28" i="9"/>
  <c r="AE28" i="9" s="1"/>
  <c r="S6" i="7"/>
  <c r="AD30" i="9"/>
  <c r="AE30" i="9" s="1"/>
  <c r="AF30" i="9" s="1"/>
  <c r="AD22" i="9"/>
  <c r="AE22" i="9" s="1"/>
  <c r="V84" i="8"/>
  <c r="AD20" i="9"/>
  <c r="V90" i="8"/>
  <c r="V87" i="8"/>
  <c r="V92" i="8"/>
  <c r="V91" i="8"/>
  <c r="V94" i="8"/>
  <c r="V93" i="8"/>
  <c r="V88" i="8"/>
  <c r="V89" i="8"/>
  <c r="P49" i="7"/>
  <c r="S104" i="7"/>
  <c r="X47" i="8"/>
  <c r="W42" i="8"/>
  <c r="X48" i="8"/>
  <c r="W53" i="8"/>
  <c r="X44" i="8"/>
  <c r="X50" i="8"/>
  <c r="X45" i="8"/>
  <c r="W49" i="8"/>
  <c r="W54" i="8"/>
  <c r="X52" i="8"/>
  <c r="R253" i="7"/>
  <c r="H25" i="6"/>
  <c r="H42" i="6" s="1"/>
  <c r="Q132" i="7" s="1"/>
  <c r="Q45" i="7"/>
  <c r="H26" i="6"/>
  <c r="H43" i="6" s="1"/>
  <c r="Q133" i="7" s="1"/>
  <c r="Q46" i="7"/>
  <c r="T85" i="7"/>
  <c r="S84" i="7"/>
  <c r="S100" i="7"/>
  <c r="U19" i="7"/>
  <c r="H22" i="6"/>
  <c r="H39" i="6" s="1"/>
  <c r="Q129" i="7" s="1"/>
  <c r="Q42" i="7"/>
  <c r="H31" i="6"/>
  <c r="H48" i="6" s="1"/>
  <c r="Q138" i="7" s="1"/>
  <c r="Q51" i="7"/>
  <c r="S86" i="7"/>
  <c r="S102" i="7"/>
  <c r="Y236" i="8"/>
  <c r="T235" i="7"/>
  <c r="U103" i="7"/>
  <c r="T87" i="7"/>
  <c r="V22" i="7"/>
  <c r="H27" i="6"/>
  <c r="Q47" i="7"/>
  <c r="H28" i="6"/>
  <c r="H45" i="6" s="1"/>
  <c r="Q135" i="7" s="1"/>
  <c r="Q48" i="7"/>
  <c r="H32" i="6"/>
  <c r="H49" i="6" s="1"/>
  <c r="Q139" i="7" s="1"/>
  <c r="Q52" i="7"/>
  <c r="R15" i="7"/>
  <c r="W128" i="8"/>
  <c r="W110" i="8" s="1"/>
  <c r="X51" i="8"/>
  <c r="R7" i="7"/>
  <c r="S23" i="7"/>
  <c r="W120" i="8"/>
  <c r="W102" i="8" s="1"/>
  <c r="V102" i="8"/>
  <c r="V86" i="8" s="1"/>
  <c r="S79" i="7"/>
  <c r="S95" i="7"/>
  <c r="H30" i="6"/>
  <c r="H47" i="6" s="1"/>
  <c r="Q137" i="7" s="1"/>
  <c r="Q50" i="7"/>
  <c r="O74" i="7"/>
  <c r="O90" i="7" s="1"/>
  <c r="S80" i="7"/>
  <c r="S96" i="7"/>
  <c r="S78" i="7"/>
  <c r="S94" i="7"/>
  <c r="S82" i="7"/>
  <c r="S98" i="7"/>
  <c r="T99" i="7"/>
  <c r="S83" i="7"/>
  <c r="X43" i="8"/>
  <c r="T25" i="7"/>
  <c r="S81" i="7"/>
  <c r="S88" i="7"/>
  <c r="S4" i="7"/>
  <c r="T20" i="7"/>
  <c r="H21" i="6"/>
  <c r="H38" i="6" s="1"/>
  <c r="Q128" i="7" s="1"/>
  <c r="Q41" i="7"/>
  <c r="T28" i="7"/>
  <c r="X158" i="8"/>
  <c r="T93" i="7" s="1"/>
  <c r="S77" i="7"/>
  <c r="H24" i="6"/>
  <c r="H41" i="6" s="1"/>
  <c r="Q131" i="7" s="1"/>
  <c r="Q44" i="7"/>
  <c r="Q49" i="7"/>
  <c r="T29" i="7"/>
  <c r="Y156" i="8"/>
  <c r="T75" i="7"/>
  <c r="T92" i="7"/>
  <c r="S76" i="7"/>
  <c r="Y55" i="8"/>
  <c r="T24" i="7"/>
  <c r="V220" i="8"/>
  <c r="X19" i="8"/>
  <c r="U232" i="7"/>
  <c r="Y27" i="8"/>
  <c r="U224" i="7" s="1"/>
  <c r="X11" i="8"/>
  <c r="V223" i="7"/>
  <c r="Y10" i="8"/>
  <c r="L39" i="3"/>
  <c r="L71" i="6" s="1"/>
  <c r="T91" i="7"/>
  <c r="L41" i="3"/>
  <c r="L40" i="3"/>
  <c r="M45" i="3"/>
  <c r="L47" i="3"/>
  <c r="M43" i="3"/>
  <c r="M75" i="6" s="1"/>
  <c r="L49" i="3"/>
  <c r="L81" i="6" s="1"/>
  <c r="T101" i="7"/>
  <c r="Y44" i="3"/>
  <c r="M51" i="3"/>
  <c r="M83" i="6" s="1"/>
  <c r="M38" i="3"/>
  <c r="L52" i="3"/>
  <c r="M48" i="3"/>
  <c r="M80" i="6" s="1"/>
  <c r="M46" i="3"/>
  <c r="M78" i="6" s="1"/>
  <c r="M42" i="3"/>
  <c r="M50" i="3"/>
  <c r="M82" i="6" s="1"/>
  <c r="BV318" i="8"/>
  <c r="V214" i="8"/>
  <c r="X118" i="8"/>
  <c r="T5" i="7" s="1"/>
  <c r="W100" i="8"/>
  <c r="X124" i="8"/>
  <c r="T11" i="7" s="1"/>
  <c r="W106" i="8"/>
  <c r="V209" i="8"/>
  <c r="U222" i="7"/>
  <c r="X9" i="8"/>
  <c r="Y18" i="8"/>
  <c r="V231" i="7"/>
  <c r="X122" i="8"/>
  <c r="T9" i="7" s="1"/>
  <c r="W104" i="8"/>
  <c r="Z301" i="8"/>
  <c r="V210" i="8"/>
  <c r="V216" i="8"/>
  <c r="W99" i="8"/>
  <c r="V225" i="7"/>
  <c r="Y12" i="8"/>
  <c r="V217" i="8"/>
  <c r="U228" i="7"/>
  <c r="X15" i="8"/>
  <c r="X13" i="8"/>
  <c r="U226" i="7"/>
  <c r="K54" i="6"/>
  <c r="W204" i="8"/>
  <c r="X14" i="8"/>
  <c r="U227" i="7"/>
  <c r="V219" i="8"/>
  <c r="AB302" i="8"/>
  <c r="W109" i="8"/>
  <c r="X127" i="8"/>
  <c r="T14" i="7" s="1"/>
  <c r="V213" i="8"/>
  <c r="W108" i="8"/>
  <c r="X126" i="8"/>
  <c r="T13" i="7" s="1"/>
  <c r="W105" i="8"/>
  <c r="X123" i="8"/>
  <c r="X276" i="8"/>
  <c r="X278" i="8"/>
  <c r="X282" i="8"/>
  <c r="X299" i="8" s="1"/>
  <c r="X277" i="8"/>
  <c r="Y294" i="8"/>
  <c r="Y322" i="8" s="1"/>
  <c r="X125" i="8"/>
  <c r="T12" i="7" s="1"/>
  <c r="W107" i="8"/>
  <c r="W38" i="8"/>
  <c r="W8" i="8"/>
  <c r="U229" i="7"/>
  <c r="X16" i="8"/>
  <c r="S170" i="8"/>
  <c r="T155" i="8"/>
  <c r="S208" i="8"/>
  <c r="V215" i="8"/>
  <c r="V234" i="7"/>
  <c r="Y21" i="8"/>
  <c r="X121" i="8"/>
  <c r="T8" i="7" s="1"/>
  <c r="W103" i="8"/>
  <c r="V218" i="8"/>
  <c r="Y61" i="8"/>
  <c r="X58" i="8"/>
  <c r="W72" i="8"/>
  <c r="U230" i="7"/>
  <c r="X17" i="8"/>
  <c r="Y295" i="8"/>
  <c r="Y323" i="8" s="1"/>
  <c r="Q63" i="7" l="1"/>
  <c r="H44" i="6"/>
  <c r="Q134" i="7" s="1"/>
  <c r="Q66" i="7"/>
  <c r="Q58" i="7"/>
  <c r="Q62" i="7"/>
  <c r="Q61" i="7"/>
  <c r="Q60" i="7"/>
  <c r="Q57" i="7"/>
  <c r="Q68" i="7"/>
  <c r="Q67" i="7"/>
  <c r="Q64" i="7"/>
  <c r="T10" i="7"/>
  <c r="K10" i="6"/>
  <c r="V233" i="7"/>
  <c r="Z20" i="8"/>
  <c r="T221" i="7"/>
  <c r="Y24" i="8"/>
  <c r="M61" i="6"/>
  <c r="M60" i="6"/>
  <c r="M65" i="6"/>
  <c r="M56" i="6"/>
  <c r="M59" i="6"/>
  <c r="L62" i="6"/>
  <c r="M68" i="6"/>
  <c r="L55" i="6"/>
  <c r="M57" i="6"/>
  <c r="L58" i="6"/>
  <c r="L64" i="6"/>
  <c r="M67" i="6"/>
  <c r="M66" i="6"/>
  <c r="W101" i="8"/>
  <c r="T6" i="7"/>
  <c r="AE20" i="9"/>
  <c r="AG20" i="9" s="1"/>
  <c r="V85" i="8"/>
  <c r="V82" i="8"/>
  <c r="W83" i="8"/>
  <c r="W98" i="8"/>
  <c r="T3" i="7"/>
  <c r="W84" i="8"/>
  <c r="W89" i="8"/>
  <c r="W92" i="8"/>
  <c r="W86" i="8"/>
  <c r="W88" i="8"/>
  <c r="W87" i="8"/>
  <c r="W91" i="8"/>
  <c r="W93" i="8"/>
  <c r="W90" i="8"/>
  <c r="W94" i="8"/>
  <c r="Y50" i="8"/>
  <c r="Y47" i="8"/>
  <c r="AG30" i="9"/>
  <c r="Y45" i="8"/>
  <c r="AG31" i="9"/>
  <c r="AF24" i="9"/>
  <c r="Y48" i="8"/>
  <c r="X53" i="8"/>
  <c r="X49" i="8"/>
  <c r="Y44" i="8"/>
  <c r="X42" i="8"/>
  <c r="X46" i="8"/>
  <c r="X54" i="8"/>
  <c r="Y52" i="8"/>
  <c r="AF26" i="9"/>
  <c r="S253" i="7"/>
  <c r="U28" i="7"/>
  <c r="T104" i="7"/>
  <c r="T79" i="7"/>
  <c r="T95" i="7"/>
  <c r="V19" i="7"/>
  <c r="I31" i="6"/>
  <c r="I48" i="6" s="1"/>
  <c r="R138" i="7" s="1"/>
  <c r="R51" i="7"/>
  <c r="I30" i="6"/>
  <c r="I47" i="6" s="1"/>
  <c r="R137" i="7" s="1"/>
  <c r="R50" i="7"/>
  <c r="I26" i="6"/>
  <c r="I43" i="6" s="1"/>
  <c r="R133" i="7" s="1"/>
  <c r="R46" i="7"/>
  <c r="U29" i="7"/>
  <c r="Z156" i="8"/>
  <c r="U75" i="7"/>
  <c r="T82" i="7"/>
  <c r="T98" i="7"/>
  <c r="Y51" i="8"/>
  <c r="Z236" i="8"/>
  <c r="U235" i="7"/>
  <c r="U24" i="7"/>
  <c r="O40" i="7"/>
  <c r="O56" i="7" s="1"/>
  <c r="I22" i="6"/>
  <c r="I39" i="6" s="1"/>
  <c r="R129" i="7" s="1"/>
  <c r="R42" i="7"/>
  <c r="G70" i="6"/>
  <c r="P90" i="7" s="1"/>
  <c r="P74" i="7"/>
  <c r="AF34" i="9"/>
  <c r="AG34" i="9"/>
  <c r="AF32" i="9"/>
  <c r="AG32" i="9"/>
  <c r="T81" i="7"/>
  <c r="I21" i="6"/>
  <c r="I38" i="6" s="1"/>
  <c r="R128" i="7" s="1"/>
  <c r="R41" i="7"/>
  <c r="AF23" i="9"/>
  <c r="AG23" i="9"/>
  <c r="Z55" i="8"/>
  <c r="V212" i="8"/>
  <c r="W22" i="7"/>
  <c r="U85" i="7"/>
  <c r="I25" i="6"/>
  <c r="I42" i="6" s="1"/>
  <c r="R132" i="7" s="1"/>
  <c r="R45" i="7"/>
  <c r="T4" i="7"/>
  <c r="U20" i="7"/>
  <c r="Y158" i="8"/>
  <c r="U93" i="7" s="1"/>
  <c r="T77" i="7"/>
  <c r="T78" i="7"/>
  <c r="T94" i="7"/>
  <c r="S7" i="7"/>
  <c r="T23" i="7"/>
  <c r="X120" i="8"/>
  <c r="X102" i="8" s="1"/>
  <c r="T86" i="7"/>
  <c r="T102" i="7"/>
  <c r="AF21" i="9"/>
  <c r="AG21" i="9"/>
  <c r="I28" i="6"/>
  <c r="I45" i="6" s="1"/>
  <c r="R135" i="7" s="1"/>
  <c r="R48" i="7"/>
  <c r="R49" i="7"/>
  <c r="AF28" i="9"/>
  <c r="AG28" i="9"/>
  <c r="U99" i="7"/>
  <c r="T83" i="7"/>
  <c r="S15" i="7"/>
  <c r="X128" i="8"/>
  <c r="X110" i="8" s="1"/>
  <c r="U26" i="7"/>
  <c r="AF27" i="9"/>
  <c r="AG27" i="9"/>
  <c r="AF25" i="9"/>
  <c r="AG25" i="9"/>
  <c r="I32" i="6"/>
  <c r="I49" i="6" s="1"/>
  <c r="R139" i="7" s="1"/>
  <c r="R52" i="7"/>
  <c r="T88" i="7"/>
  <c r="AG22" i="9"/>
  <c r="AF22" i="9"/>
  <c r="I27" i="6"/>
  <c r="R47" i="7"/>
  <c r="W212" i="8"/>
  <c r="U25" i="7"/>
  <c r="T76" i="7"/>
  <c r="AF29" i="9"/>
  <c r="AG29" i="9"/>
  <c r="Y43" i="8"/>
  <c r="T80" i="7"/>
  <c r="T96" i="7"/>
  <c r="U87" i="7"/>
  <c r="T84" i="7"/>
  <c r="T100" i="7"/>
  <c r="R43" i="7"/>
  <c r="W220" i="8"/>
  <c r="Z27" i="8"/>
  <c r="V224" i="7" s="1"/>
  <c r="Y11" i="8"/>
  <c r="V232" i="7"/>
  <c r="Y19" i="8"/>
  <c r="Z10" i="8"/>
  <c r="W223" i="7"/>
  <c r="N48" i="3"/>
  <c r="N80" i="6" s="1"/>
  <c r="Z44" i="3"/>
  <c r="N45" i="3"/>
  <c r="M49" i="3"/>
  <c r="M81" i="6" s="1"/>
  <c r="U101" i="7"/>
  <c r="N42" i="3"/>
  <c r="N38" i="3"/>
  <c r="N43" i="3"/>
  <c r="N75" i="6" s="1"/>
  <c r="M41" i="3"/>
  <c r="N50" i="3"/>
  <c r="N82" i="6" s="1"/>
  <c r="M40" i="3"/>
  <c r="M52" i="3"/>
  <c r="N46" i="3"/>
  <c r="N78" i="6" s="1"/>
  <c r="N51" i="3"/>
  <c r="N83" i="6" s="1"/>
  <c r="M47" i="3"/>
  <c r="M39" i="3"/>
  <c r="M71" i="6" s="1"/>
  <c r="U91" i="7"/>
  <c r="W234" i="7"/>
  <c r="Z21" i="8"/>
  <c r="Y123" i="8"/>
  <c r="X105" i="8"/>
  <c r="Y127" i="8"/>
  <c r="U14" i="7" s="1"/>
  <c r="X109" i="8"/>
  <c r="W225" i="7"/>
  <c r="Z12" i="8"/>
  <c r="W214" i="8"/>
  <c r="W213" i="8"/>
  <c r="T170" i="8"/>
  <c r="U155" i="8"/>
  <c r="T208" i="8"/>
  <c r="X107" i="8"/>
  <c r="Y125" i="8"/>
  <c r="U12" i="7" s="1"/>
  <c r="W218" i="8"/>
  <c r="X99" i="8"/>
  <c r="Y122" i="8"/>
  <c r="U9" i="7" s="1"/>
  <c r="X104" i="8"/>
  <c r="V230" i="7"/>
  <c r="Y17" i="8"/>
  <c r="AA301" i="8"/>
  <c r="X108" i="8"/>
  <c r="Y126" i="8"/>
  <c r="U13" i="7" s="1"/>
  <c r="W209" i="8"/>
  <c r="Y14" i="8"/>
  <c r="V227" i="7"/>
  <c r="W216" i="8"/>
  <c r="BW318" i="8"/>
  <c r="W215" i="8"/>
  <c r="Z61" i="8"/>
  <c r="W217" i="8"/>
  <c r="U6" i="7"/>
  <c r="X101" i="8"/>
  <c r="Z295" i="8"/>
  <c r="Z323" i="8" s="1"/>
  <c r="AC302" i="8"/>
  <c r="Y15" i="8"/>
  <c r="V228" i="7"/>
  <c r="Y124" i="8"/>
  <c r="U11" i="7" s="1"/>
  <c r="X106" i="8"/>
  <c r="V226" i="7"/>
  <c r="Y13" i="8"/>
  <c r="X103" i="8"/>
  <c r="Y121" i="8"/>
  <c r="U8" i="7" s="1"/>
  <c r="X8" i="8"/>
  <c r="X38" i="8"/>
  <c r="Y282" i="8"/>
  <c r="Y299" i="8" s="1"/>
  <c r="Y277" i="8"/>
  <c r="Z294" i="8"/>
  <c r="Z322" i="8" s="1"/>
  <c r="Y278" i="8"/>
  <c r="Y276" i="8"/>
  <c r="Z18" i="8"/>
  <c r="W231" i="7"/>
  <c r="W210" i="8"/>
  <c r="W219" i="8"/>
  <c r="V222" i="7"/>
  <c r="Y9" i="8"/>
  <c r="V229" i="7"/>
  <c r="Y16" i="8"/>
  <c r="X72" i="8"/>
  <c r="Y58" i="8"/>
  <c r="L54" i="6"/>
  <c r="X204" i="8"/>
  <c r="Y118" i="8"/>
  <c r="U5" i="7" s="1"/>
  <c r="X100" i="8"/>
  <c r="R63" i="7" l="1"/>
  <c r="I44" i="6"/>
  <c r="R134" i="7" s="1"/>
  <c r="R61" i="7"/>
  <c r="R62" i="7"/>
  <c r="R66" i="7"/>
  <c r="R57" i="7"/>
  <c r="R68" i="7"/>
  <c r="R58" i="7"/>
  <c r="R64" i="7"/>
  <c r="R67" i="7"/>
  <c r="U10" i="7"/>
  <c r="L10" i="6"/>
  <c r="W233" i="7"/>
  <c r="AA20" i="8"/>
  <c r="Z24" i="8"/>
  <c r="U221" i="7"/>
  <c r="M64" i="6"/>
  <c r="M55" i="6"/>
  <c r="N56" i="6"/>
  <c r="M58" i="6"/>
  <c r="N68" i="6"/>
  <c r="N65" i="6"/>
  <c r="N66" i="6"/>
  <c r="M62" i="6"/>
  <c r="N60" i="6"/>
  <c r="N61" i="6"/>
  <c r="N67" i="6"/>
  <c r="N57" i="6"/>
  <c r="N59" i="6"/>
  <c r="W211" i="8"/>
  <c r="S43" i="7" s="1"/>
  <c r="W85" i="8"/>
  <c r="V103" i="7"/>
  <c r="AF20" i="9"/>
  <c r="X83" i="8"/>
  <c r="W82" i="8"/>
  <c r="X98" i="8"/>
  <c r="X84" i="8"/>
  <c r="U3" i="7"/>
  <c r="X85" i="8"/>
  <c r="X86" i="8"/>
  <c r="X94" i="8"/>
  <c r="X93" i="8"/>
  <c r="X92" i="8"/>
  <c r="X91" i="8"/>
  <c r="X87" i="8"/>
  <c r="X89" i="8"/>
  <c r="X88" i="8"/>
  <c r="X90" i="8"/>
  <c r="Z44" i="8"/>
  <c r="Z48" i="8"/>
  <c r="Y53" i="8"/>
  <c r="Z50" i="8"/>
  <c r="Y46" i="8"/>
  <c r="Z47" i="8"/>
  <c r="Y42" i="8"/>
  <c r="Z45" i="8"/>
  <c r="Y49" i="8"/>
  <c r="Y54" i="8"/>
  <c r="Z52" i="8"/>
  <c r="T253" i="7"/>
  <c r="J30" i="6"/>
  <c r="J47" i="6" s="1"/>
  <c r="S137" i="7" s="1"/>
  <c r="S50" i="7"/>
  <c r="U84" i="7"/>
  <c r="U100" i="7"/>
  <c r="J27" i="6"/>
  <c r="S47" i="7"/>
  <c r="J21" i="6"/>
  <c r="J38" i="6" s="1"/>
  <c r="S128" i="7" s="1"/>
  <c r="S41" i="7"/>
  <c r="J32" i="6"/>
  <c r="J49" i="6" s="1"/>
  <c r="S139" i="7" s="1"/>
  <c r="S52" i="7"/>
  <c r="U78" i="7"/>
  <c r="U94" i="7"/>
  <c r="AA236" i="8"/>
  <c r="V235" i="7"/>
  <c r="U82" i="7"/>
  <c r="U98" i="7"/>
  <c r="U79" i="7"/>
  <c r="U95" i="7"/>
  <c r="J25" i="6"/>
  <c r="J42" i="6" s="1"/>
  <c r="S132" i="7" s="1"/>
  <c r="S45" i="7"/>
  <c r="U80" i="7"/>
  <c r="U96" i="7"/>
  <c r="T15" i="7"/>
  <c r="Y128" i="8"/>
  <c r="Y110" i="8" s="1"/>
  <c r="I24" i="6"/>
  <c r="I41" i="6" s="1"/>
  <c r="R131" i="7" s="1"/>
  <c r="R44" i="7"/>
  <c r="V28" i="7"/>
  <c r="J24" i="6"/>
  <c r="J41" i="6" s="1"/>
  <c r="S131" i="7" s="1"/>
  <c r="S44" i="7"/>
  <c r="V104" i="7"/>
  <c r="U88" i="7"/>
  <c r="T7" i="7"/>
  <c r="U23" i="7"/>
  <c r="Y120" i="8"/>
  <c r="Y102" i="8" s="1"/>
  <c r="Z51" i="8"/>
  <c r="U86" i="7"/>
  <c r="U102" i="7"/>
  <c r="S49" i="7"/>
  <c r="J28" i="6"/>
  <c r="J45" i="6" s="1"/>
  <c r="S135" i="7" s="1"/>
  <c r="S48" i="7"/>
  <c r="J26" i="6"/>
  <c r="J43" i="6" s="1"/>
  <c r="S133" i="7" s="1"/>
  <c r="S46" i="7"/>
  <c r="V25" i="7"/>
  <c r="Z43" i="8"/>
  <c r="Z158" i="8"/>
  <c r="V93" i="7" s="1"/>
  <c r="U77" i="7"/>
  <c r="V85" i="7"/>
  <c r="AA156" i="8"/>
  <c r="V75" i="7"/>
  <c r="J22" i="6"/>
  <c r="J39" i="6" s="1"/>
  <c r="S129" i="7" s="1"/>
  <c r="S42" i="7"/>
  <c r="U104" i="7"/>
  <c r="V87" i="7"/>
  <c r="U81" i="7"/>
  <c r="W19" i="7"/>
  <c r="V92" i="7"/>
  <c r="U76" i="7"/>
  <c r="U4" i="7"/>
  <c r="V20" i="7"/>
  <c r="G20" i="6"/>
  <c r="P40" i="7"/>
  <c r="V29" i="7"/>
  <c r="V26" i="7"/>
  <c r="X22" i="7"/>
  <c r="AA55" i="8"/>
  <c r="J31" i="6"/>
  <c r="J48" i="6" s="1"/>
  <c r="S138" i="7" s="1"/>
  <c r="S51" i="7"/>
  <c r="Q90" i="7"/>
  <c r="Q74" i="7"/>
  <c r="U92" i="7"/>
  <c r="V99" i="7"/>
  <c r="U83" i="7"/>
  <c r="V24" i="7"/>
  <c r="X220" i="8"/>
  <c r="X223" i="7"/>
  <c r="AA10" i="8"/>
  <c r="Z19" i="8"/>
  <c r="W232" i="7"/>
  <c r="AA27" i="8"/>
  <c r="W224" i="7" s="1"/>
  <c r="Z11" i="8"/>
  <c r="O46" i="3"/>
  <c r="O78" i="6" s="1"/>
  <c r="N41" i="3"/>
  <c r="N49" i="3"/>
  <c r="N81" i="6" s="1"/>
  <c r="V101" i="7"/>
  <c r="N52" i="3"/>
  <c r="O43" i="3"/>
  <c r="O75" i="6" s="1"/>
  <c r="O38" i="3"/>
  <c r="AA44" i="3"/>
  <c r="N39" i="3"/>
  <c r="N71" i="6" s="1"/>
  <c r="V91" i="7"/>
  <c r="N40" i="3"/>
  <c r="O45" i="3"/>
  <c r="N47" i="3"/>
  <c r="O51" i="3"/>
  <c r="O83" i="6" s="1"/>
  <c r="O50" i="3"/>
  <c r="O82" i="6" s="1"/>
  <c r="O42" i="3"/>
  <c r="O48" i="3"/>
  <c r="O80" i="6" s="1"/>
  <c r="X214" i="8"/>
  <c r="X225" i="7"/>
  <c r="AA12" i="8"/>
  <c r="Z123" i="8"/>
  <c r="Y105" i="8"/>
  <c r="U170" i="8"/>
  <c r="V155" i="8"/>
  <c r="U208" i="8"/>
  <c r="Y204" i="8"/>
  <c r="M54" i="6"/>
  <c r="Z9" i="8"/>
  <c r="W222" i="7"/>
  <c r="Z121" i="8"/>
  <c r="V8" i="7" s="1"/>
  <c r="Y103" i="8"/>
  <c r="Y104" i="8"/>
  <c r="Z122" i="8"/>
  <c r="V9" i="7" s="1"/>
  <c r="X218" i="8"/>
  <c r="X234" i="7"/>
  <c r="AA21" i="8"/>
  <c r="AD302" i="8"/>
  <c r="X209" i="8"/>
  <c r="AA295" i="8"/>
  <c r="AA323" i="8" s="1"/>
  <c r="AB301" i="8"/>
  <c r="Y99" i="8"/>
  <c r="X216" i="8"/>
  <c r="Y106" i="8"/>
  <c r="Z124" i="8"/>
  <c r="V11" i="7" s="1"/>
  <c r="X211" i="8"/>
  <c r="BX318" i="8"/>
  <c r="Z125" i="8"/>
  <c r="V12" i="7" s="1"/>
  <c r="Y107" i="8"/>
  <c r="Z15" i="8"/>
  <c r="W228" i="7"/>
  <c r="X215" i="8"/>
  <c r="Y8" i="8"/>
  <c r="Y38" i="8"/>
  <c r="AA61" i="8"/>
  <c r="W227" i="7"/>
  <c r="Z14" i="8"/>
  <c r="Z118" i="8"/>
  <c r="V5" i="7" s="1"/>
  <c r="Y100" i="8"/>
  <c r="X212" i="8"/>
  <c r="V6" i="7"/>
  <c r="Y101" i="8"/>
  <c r="Z17" i="8"/>
  <c r="W230" i="7"/>
  <c r="X217" i="8"/>
  <c r="X219" i="8"/>
  <c r="W229" i="7"/>
  <c r="Z16" i="8"/>
  <c r="Z58" i="8"/>
  <c r="Y72" i="8"/>
  <c r="X213" i="8"/>
  <c r="X210" i="8"/>
  <c r="AA18" i="8"/>
  <c r="X231" i="7"/>
  <c r="Z277" i="8"/>
  <c r="Z282" i="8"/>
  <c r="Z299" i="8" s="1"/>
  <c r="AA294" i="8"/>
  <c r="AA322" i="8" s="1"/>
  <c r="Z278" i="8"/>
  <c r="Z276" i="8"/>
  <c r="W226" i="7"/>
  <c r="Z13" i="8"/>
  <c r="Z126" i="8"/>
  <c r="V13" i="7" s="1"/>
  <c r="Y108" i="8"/>
  <c r="Y109" i="8"/>
  <c r="Z127" i="8"/>
  <c r="V14" i="7" s="1"/>
  <c r="P56" i="7" l="1"/>
  <c r="G37" i="6"/>
  <c r="P127" i="7" s="1"/>
  <c r="S63" i="7"/>
  <c r="J44" i="6"/>
  <c r="S134" i="7" s="1"/>
  <c r="S62" i="7"/>
  <c r="R60" i="7"/>
  <c r="S64" i="7"/>
  <c r="S57" i="7"/>
  <c r="S68" i="7"/>
  <c r="S60" i="7"/>
  <c r="S66" i="7"/>
  <c r="S67" i="7"/>
  <c r="S58" i="7"/>
  <c r="S61" i="7"/>
  <c r="V10" i="7"/>
  <c r="M10" i="6"/>
  <c r="AA24" i="8"/>
  <c r="V221" i="7"/>
  <c r="X233" i="7"/>
  <c r="AB20" i="8"/>
  <c r="W103" i="7"/>
  <c r="O67" i="6"/>
  <c r="N58" i="6"/>
  <c r="O61" i="6"/>
  <c r="O66" i="6"/>
  <c r="O56" i="6"/>
  <c r="O59" i="6"/>
  <c r="O60" i="6"/>
  <c r="O65" i="6"/>
  <c r="N55" i="6"/>
  <c r="O57" i="6"/>
  <c r="N62" i="6"/>
  <c r="O68" i="6"/>
  <c r="N64" i="6"/>
  <c r="Y98" i="8"/>
  <c r="Y82" i="8" s="1"/>
  <c r="V3" i="7"/>
  <c r="Y83" i="8"/>
  <c r="Y84" i="8"/>
  <c r="X82" i="8"/>
  <c r="Y85" i="8"/>
  <c r="Y94" i="8"/>
  <c r="Y89" i="8"/>
  <c r="Y87" i="8"/>
  <c r="Y92" i="8"/>
  <c r="Y86" i="8"/>
  <c r="Y90" i="8"/>
  <c r="Y93" i="8"/>
  <c r="Y88" i="8"/>
  <c r="Y91" i="8"/>
  <c r="AA47" i="8"/>
  <c r="Z53" i="8"/>
  <c r="Z42" i="8"/>
  <c r="Z49" i="8"/>
  <c r="AA44" i="8"/>
  <c r="AA50" i="8"/>
  <c r="Z46" i="8"/>
  <c r="AA48" i="8"/>
  <c r="AA45" i="8"/>
  <c r="Z54" i="8"/>
  <c r="AA52" i="8"/>
  <c r="U253" i="7"/>
  <c r="K30" i="6"/>
  <c r="K47" i="6" s="1"/>
  <c r="T137" i="7" s="1"/>
  <c r="T50" i="7"/>
  <c r="R90" i="7"/>
  <c r="R74" i="7"/>
  <c r="K32" i="6"/>
  <c r="K49" i="6" s="1"/>
  <c r="T139" i="7" s="1"/>
  <c r="T52" i="7"/>
  <c r="W29" i="7"/>
  <c r="W92" i="7"/>
  <c r="V76" i="7"/>
  <c r="W85" i="7"/>
  <c r="V88" i="7"/>
  <c r="V82" i="7"/>
  <c r="V98" i="7"/>
  <c r="K21" i="6"/>
  <c r="K38" i="6" s="1"/>
  <c r="T128" i="7" s="1"/>
  <c r="T41" i="7"/>
  <c r="AB55" i="8"/>
  <c r="T49" i="7"/>
  <c r="X19" i="7"/>
  <c r="AA158" i="8"/>
  <c r="V77" i="7"/>
  <c r="V86" i="7"/>
  <c r="V102" i="7"/>
  <c r="W28" i="7"/>
  <c r="AB236" i="8"/>
  <c r="W235" i="7"/>
  <c r="V83" i="7"/>
  <c r="U15" i="7"/>
  <c r="Z128" i="8"/>
  <c r="Z110" i="8" s="1"/>
  <c r="W24" i="7"/>
  <c r="K28" i="6"/>
  <c r="K45" i="6" s="1"/>
  <c r="T135" i="7" s="1"/>
  <c r="T48" i="7"/>
  <c r="V4" i="7"/>
  <c r="W20" i="7"/>
  <c r="Y22" i="7"/>
  <c r="U7" i="7"/>
  <c r="V23" i="7"/>
  <c r="Z120" i="8"/>
  <c r="V81" i="7"/>
  <c r="AA51" i="8"/>
  <c r="V79" i="7"/>
  <c r="V95" i="7"/>
  <c r="V84" i="7"/>
  <c r="V100" i="7"/>
  <c r="K31" i="6"/>
  <c r="K48" i="6" s="1"/>
  <c r="T138" i="7" s="1"/>
  <c r="T51" i="7"/>
  <c r="K27" i="6"/>
  <c r="T47" i="7"/>
  <c r="W25" i="7"/>
  <c r="AB156" i="8"/>
  <c r="W75" i="7"/>
  <c r="K22" i="6"/>
  <c r="K39" i="6" s="1"/>
  <c r="T129" i="7" s="1"/>
  <c r="T42" i="7"/>
  <c r="K25" i="6"/>
  <c r="K42" i="6" s="1"/>
  <c r="T132" i="7" s="1"/>
  <c r="T45" i="7"/>
  <c r="K24" i="6"/>
  <c r="K41" i="6" s="1"/>
  <c r="T131" i="7" s="1"/>
  <c r="T44" i="7"/>
  <c r="H20" i="6"/>
  <c r="H37" i="6" s="1"/>
  <c r="Q127" i="7" s="1"/>
  <c r="Q40" i="7"/>
  <c r="K26" i="6"/>
  <c r="K43" i="6" s="1"/>
  <c r="T133" i="7" s="1"/>
  <c r="T46" i="7"/>
  <c r="W26" i="7"/>
  <c r="X103" i="7"/>
  <c r="W87" i="7"/>
  <c r="AA43" i="8"/>
  <c r="V80" i="7"/>
  <c r="V96" i="7"/>
  <c r="V78" i="7"/>
  <c r="V94" i="7"/>
  <c r="T43" i="7"/>
  <c r="Y220" i="8"/>
  <c r="AB27" i="8"/>
  <c r="X224" i="7" s="1"/>
  <c r="AA11" i="8"/>
  <c r="AA19" i="8"/>
  <c r="X232" i="7"/>
  <c r="AB10" i="8"/>
  <c r="Y223" i="7"/>
  <c r="P51" i="3"/>
  <c r="P83" i="6" s="1"/>
  <c r="O39" i="3"/>
  <c r="O71" i="6" s="1"/>
  <c r="W91" i="7"/>
  <c r="O52" i="3"/>
  <c r="W104" i="7"/>
  <c r="P48" i="3"/>
  <c r="P80" i="6" s="1"/>
  <c r="O49" i="3"/>
  <c r="O81" i="6" s="1"/>
  <c r="W101" i="7"/>
  <c r="P42" i="3"/>
  <c r="P45" i="3"/>
  <c r="P38" i="3"/>
  <c r="O41" i="3"/>
  <c r="W93" i="7"/>
  <c r="AB44" i="3"/>
  <c r="O47" i="3"/>
  <c r="W99" i="7"/>
  <c r="P50" i="3"/>
  <c r="P82" i="6" s="1"/>
  <c r="O40" i="3"/>
  <c r="P43" i="3"/>
  <c r="P75" i="6" s="1"/>
  <c r="P46" i="3"/>
  <c r="P78" i="6" s="1"/>
  <c r="AA121" i="8"/>
  <c r="W8" i="7" s="1"/>
  <c r="Z103" i="8"/>
  <c r="X226" i="7"/>
  <c r="AA13" i="8"/>
  <c r="Z72" i="8"/>
  <c r="AA58" i="8"/>
  <c r="X222" i="7"/>
  <c r="AA9" i="8"/>
  <c r="AA123" i="8"/>
  <c r="Z105" i="8"/>
  <c r="Y219" i="8"/>
  <c r="AA125" i="8"/>
  <c r="W12" i="7" s="1"/>
  <c r="Z107" i="8"/>
  <c r="Z98" i="8"/>
  <c r="V170" i="8"/>
  <c r="W155" i="8"/>
  <c r="V208" i="8"/>
  <c r="AA15" i="8"/>
  <c r="X228" i="7"/>
  <c r="Y209" i="8"/>
  <c r="BY318" i="8"/>
  <c r="Y234" i="7"/>
  <c r="AB21" i="8"/>
  <c r="Y215" i="8"/>
  <c r="Y218" i="8"/>
  <c r="Z8" i="8"/>
  <c r="Z38" i="8"/>
  <c r="AC301" i="8"/>
  <c r="AE302" i="8"/>
  <c r="Y214" i="8"/>
  <c r="AB61" i="8"/>
  <c r="Z99" i="8"/>
  <c r="AA16" i="8"/>
  <c r="X229" i="7"/>
  <c r="Z108" i="8"/>
  <c r="AA126" i="8"/>
  <c r="W13" i="7" s="1"/>
  <c r="X230" i="7"/>
  <c r="AA17" i="8"/>
  <c r="Y212" i="8"/>
  <c r="AA118" i="8"/>
  <c r="W5" i="7" s="1"/>
  <c r="Z100" i="8"/>
  <c r="AA124" i="8"/>
  <c r="W11" i="7" s="1"/>
  <c r="Z106" i="8"/>
  <c r="Z204" i="8"/>
  <c r="N54" i="6"/>
  <c r="Y225" i="7"/>
  <c r="AB12" i="8"/>
  <c r="Y211" i="8"/>
  <c r="Y216" i="8"/>
  <c r="AB295" i="8"/>
  <c r="AB323" i="8" s="1"/>
  <c r="AA277" i="8"/>
  <c r="AA282" i="8"/>
  <c r="AA299" i="8" s="1"/>
  <c r="AA278" i="8"/>
  <c r="AA276" i="8"/>
  <c r="Y210" i="8"/>
  <c r="Z109" i="8"/>
  <c r="AA127" i="8"/>
  <c r="W14" i="7" s="1"/>
  <c r="Y231" i="7"/>
  <c r="AB18" i="8"/>
  <c r="W6" i="7"/>
  <c r="Z101" i="8"/>
  <c r="AA14" i="8"/>
  <c r="X227" i="7"/>
  <c r="Y217" i="8"/>
  <c r="Z104" i="8"/>
  <c r="AA122" i="8"/>
  <c r="W9" i="7" s="1"/>
  <c r="Y213" i="8"/>
  <c r="T63" i="7" l="1"/>
  <c r="K44" i="6"/>
  <c r="T134" i="7" s="1"/>
  <c r="T66" i="7"/>
  <c r="T64" i="7"/>
  <c r="T57" i="7"/>
  <c r="T68" i="7"/>
  <c r="T62" i="7"/>
  <c r="T58" i="7"/>
  <c r="T60" i="7"/>
  <c r="T61" i="7"/>
  <c r="T67" i="7"/>
  <c r="Q56" i="7"/>
  <c r="W10" i="7"/>
  <c r="N10" i="6"/>
  <c r="X26" i="7" s="1"/>
  <c r="Y233" i="7"/>
  <c r="AC20" i="8"/>
  <c r="AB24" i="8"/>
  <c r="W221" i="7"/>
  <c r="O62" i="6"/>
  <c r="P60" i="6"/>
  <c r="P61" i="6"/>
  <c r="P57" i="6"/>
  <c r="P59" i="6"/>
  <c r="O58" i="6"/>
  <c r="O64" i="6"/>
  <c r="O55" i="6"/>
  <c r="P56" i="6"/>
  <c r="P67" i="6"/>
  <c r="P68" i="6"/>
  <c r="P65" i="6"/>
  <c r="P66" i="6"/>
  <c r="W3" i="7"/>
  <c r="Z85" i="8"/>
  <c r="Z84" i="8"/>
  <c r="Z83" i="8"/>
  <c r="Z82" i="8"/>
  <c r="Z90" i="8"/>
  <c r="Z87" i="8"/>
  <c r="Z94" i="8"/>
  <c r="Z93" i="8"/>
  <c r="Z92" i="8"/>
  <c r="Z89" i="8"/>
  <c r="Z88" i="8"/>
  <c r="Z91" i="8"/>
  <c r="AA46" i="8"/>
  <c r="AA42" i="8"/>
  <c r="AB50" i="8"/>
  <c r="AA53" i="8"/>
  <c r="AB45" i="8"/>
  <c r="AB44" i="8"/>
  <c r="AB47" i="8"/>
  <c r="AB48" i="8"/>
  <c r="AA49" i="8"/>
  <c r="AA54" i="8"/>
  <c r="AB52" i="8"/>
  <c r="V253" i="7"/>
  <c r="L27" i="6"/>
  <c r="U47" i="7"/>
  <c r="L21" i="6"/>
  <c r="L38" i="6" s="1"/>
  <c r="U128" i="7" s="1"/>
  <c r="U41" i="7"/>
  <c r="X28" i="7"/>
  <c r="W86" i="7"/>
  <c r="W102" i="7"/>
  <c r="AC55" i="8"/>
  <c r="W82" i="7"/>
  <c r="W98" i="7"/>
  <c r="X29" i="7"/>
  <c r="W81" i="7"/>
  <c r="X99" i="7"/>
  <c r="W83" i="7"/>
  <c r="AC156" i="8"/>
  <c r="X75" i="7"/>
  <c r="AB158" i="8"/>
  <c r="X93" i="7" s="1"/>
  <c r="W77" i="7"/>
  <c r="X104" i="7"/>
  <c r="W88" i="7"/>
  <c r="L26" i="6"/>
  <c r="L43" i="6" s="1"/>
  <c r="U133" i="7" s="1"/>
  <c r="U46" i="7"/>
  <c r="I20" i="6"/>
  <c r="I37" i="6" s="1"/>
  <c r="R127" i="7" s="1"/>
  <c r="R40" i="7"/>
  <c r="L31" i="6"/>
  <c r="L48" i="6" s="1"/>
  <c r="U138" i="7" s="1"/>
  <c r="U51" i="7"/>
  <c r="AB43" i="8"/>
  <c r="AB51" i="8"/>
  <c r="L25" i="6"/>
  <c r="L42" i="6" s="1"/>
  <c r="U132" i="7" s="1"/>
  <c r="U45" i="7"/>
  <c r="S90" i="7"/>
  <c r="S74" i="7"/>
  <c r="W78" i="7"/>
  <c r="W94" i="7"/>
  <c r="W84" i="7"/>
  <c r="W100" i="7"/>
  <c r="X24" i="7"/>
  <c r="Z22" i="7"/>
  <c r="X85" i="7"/>
  <c r="U49" i="7"/>
  <c r="Y19" i="7"/>
  <c r="L22" i="6"/>
  <c r="L39" i="6" s="1"/>
  <c r="U129" i="7" s="1"/>
  <c r="U42" i="7"/>
  <c r="L30" i="6"/>
  <c r="L47" i="6" s="1"/>
  <c r="U137" i="7" s="1"/>
  <c r="U50" i="7"/>
  <c r="L32" i="6"/>
  <c r="L49" i="6" s="1"/>
  <c r="U139" i="7" s="1"/>
  <c r="U52" i="7"/>
  <c r="Y103" i="7"/>
  <c r="X87" i="7"/>
  <c r="V7" i="7"/>
  <c r="W23" i="7"/>
  <c r="Z102" i="8"/>
  <c r="AA120" i="8"/>
  <c r="AA102" i="8" s="1"/>
  <c r="V15" i="7"/>
  <c r="AA128" i="8"/>
  <c r="AA110" i="8" s="1"/>
  <c r="AC236" i="8"/>
  <c r="X235" i="7"/>
  <c r="W76" i="7"/>
  <c r="L28" i="6"/>
  <c r="L45" i="6" s="1"/>
  <c r="U135" i="7" s="1"/>
  <c r="U48" i="7"/>
  <c r="L24" i="6"/>
  <c r="L41" i="6" s="1"/>
  <c r="U131" i="7" s="1"/>
  <c r="U44" i="7"/>
  <c r="W4" i="7"/>
  <c r="X20" i="7"/>
  <c r="X25" i="7"/>
  <c r="W80" i="7"/>
  <c r="W96" i="7"/>
  <c r="W79" i="7"/>
  <c r="W95" i="7"/>
  <c r="U43" i="7"/>
  <c r="Z220" i="8"/>
  <c r="Z223" i="7"/>
  <c r="AC10" i="8"/>
  <c r="Y232" i="7"/>
  <c r="AB19" i="8"/>
  <c r="AB11" i="8"/>
  <c r="AC27" i="8"/>
  <c r="Y224" i="7" s="1"/>
  <c r="Q50" i="3"/>
  <c r="Q82" i="6" s="1"/>
  <c r="Q38" i="3"/>
  <c r="Q48" i="3"/>
  <c r="Q80" i="6" s="1"/>
  <c r="Q46" i="3"/>
  <c r="Q78" i="6" s="1"/>
  <c r="Q45" i="3"/>
  <c r="AC44" i="3"/>
  <c r="P47" i="3"/>
  <c r="P52" i="3"/>
  <c r="Q43" i="3"/>
  <c r="Q75" i="6" s="1"/>
  <c r="Q42" i="3"/>
  <c r="P39" i="3"/>
  <c r="P71" i="6" s="1"/>
  <c r="X91" i="7"/>
  <c r="P40" i="3"/>
  <c r="P41" i="3"/>
  <c r="P49" i="3"/>
  <c r="P81" i="6" s="1"/>
  <c r="X101" i="7"/>
  <c r="Q51" i="3"/>
  <c r="Q83" i="6" s="1"/>
  <c r="Z231" i="7"/>
  <c r="AC18" i="8"/>
  <c r="AB118" i="8"/>
  <c r="X5" i="7" s="1"/>
  <c r="AA100" i="8"/>
  <c r="AD301" i="8"/>
  <c r="AB58" i="8"/>
  <c r="AA72" i="8"/>
  <c r="AB123" i="8"/>
  <c r="AA105" i="8"/>
  <c r="AA104" i="8"/>
  <c r="AB122" i="8"/>
  <c r="X9" i="7" s="1"/>
  <c r="AB46" i="8"/>
  <c r="AB16" i="8"/>
  <c r="Y229" i="7"/>
  <c r="Z215" i="8"/>
  <c r="Z211" i="8"/>
  <c r="AB127" i="8"/>
  <c r="X14" i="7" s="1"/>
  <c r="AA109" i="8"/>
  <c r="AA38" i="8"/>
  <c r="AA8" i="8"/>
  <c r="Z217" i="8"/>
  <c r="AB13" i="8"/>
  <c r="Y226" i="7"/>
  <c r="Z214" i="8"/>
  <c r="AA204" i="8"/>
  <c r="O54" i="6"/>
  <c r="Z219" i="8"/>
  <c r="AB15" i="8"/>
  <c r="Y228" i="7"/>
  <c r="AA107" i="8"/>
  <c r="AB125" i="8"/>
  <c r="X12" i="7" s="1"/>
  <c r="AB9" i="8"/>
  <c r="Y222" i="7"/>
  <c r="Z213" i="8"/>
  <c r="Z225" i="7"/>
  <c r="AC12" i="8"/>
  <c r="Z234" i="7"/>
  <c r="AC21" i="8"/>
  <c r="AA103" i="8"/>
  <c r="AB121" i="8"/>
  <c r="X8" i="7" s="1"/>
  <c r="Z218" i="8"/>
  <c r="AB14" i="8"/>
  <c r="Y227" i="7"/>
  <c r="AB282" i="8"/>
  <c r="AB278" i="8"/>
  <c r="AB277" i="8"/>
  <c r="AB276" i="8"/>
  <c r="AC294" i="8"/>
  <c r="AC322" i="8" s="1"/>
  <c r="AC295" i="8"/>
  <c r="AC323" i="8" s="1"/>
  <c r="AB124" i="8"/>
  <c r="X11" i="7" s="1"/>
  <c r="AA106" i="8"/>
  <c r="Y230" i="7"/>
  <c r="AB17" i="8"/>
  <c r="AA99" i="8"/>
  <c r="AF302" i="8"/>
  <c r="BZ318" i="8"/>
  <c r="AA101" i="8"/>
  <c r="X6" i="7"/>
  <c r="Z216" i="8"/>
  <c r="Z209" i="8"/>
  <c r="Z210" i="8"/>
  <c r="AB126" i="8"/>
  <c r="X13" i="7" s="1"/>
  <c r="AA108" i="8"/>
  <c r="AC61" i="8"/>
  <c r="AB294" i="8"/>
  <c r="AB322" i="8" s="1"/>
  <c r="W170" i="8"/>
  <c r="X155" i="8"/>
  <c r="W208" i="8"/>
  <c r="U63" i="7" l="1"/>
  <c r="L44" i="6"/>
  <c r="U134" i="7" s="1"/>
  <c r="U66" i="7"/>
  <c r="U58" i="7"/>
  <c r="U67" i="7"/>
  <c r="U64" i="7"/>
  <c r="U57" i="7"/>
  <c r="R56" i="7"/>
  <c r="U68" i="7"/>
  <c r="U60" i="7"/>
  <c r="U61" i="7"/>
  <c r="U62" i="7"/>
  <c r="X10" i="7"/>
  <c r="O10" i="6"/>
  <c r="AC24" i="8"/>
  <c r="X221" i="7"/>
  <c r="Z233" i="7"/>
  <c r="AD20" i="8"/>
  <c r="Q68" i="6"/>
  <c r="P55" i="6"/>
  <c r="Q57" i="6"/>
  <c r="P64" i="6"/>
  <c r="Q61" i="6"/>
  <c r="Q66" i="6"/>
  <c r="Q67" i="6"/>
  <c r="P58" i="6"/>
  <c r="Q60" i="6"/>
  <c r="Q65" i="6"/>
  <c r="Q56" i="6"/>
  <c r="Q59" i="6"/>
  <c r="P62" i="6"/>
  <c r="AA98" i="8"/>
  <c r="X3" i="7"/>
  <c r="AA83" i="8"/>
  <c r="AA85" i="8"/>
  <c r="W253" i="7"/>
  <c r="AA84" i="8"/>
  <c r="AA92" i="8"/>
  <c r="AA90" i="8"/>
  <c r="AA89" i="8"/>
  <c r="Z86" i="8"/>
  <c r="AA93" i="8"/>
  <c r="AA94" i="8"/>
  <c r="AA86" i="8"/>
  <c r="AA87" i="8"/>
  <c r="AA91" i="8"/>
  <c r="AA88" i="8"/>
  <c r="Y25" i="7"/>
  <c r="AC50" i="8"/>
  <c r="AB42" i="8"/>
  <c r="AC45" i="8"/>
  <c r="AC47" i="8"/>
  <c r="AC48" i="8"/>
  <c r="AC44" i="8"/>
  <c r="AB49" i="8"/>
  <c r="AB53" i="8"/>
  <c r="AB54" i="8"/>
  <c r="AC52" i="8"/>
  <c r="M27" i="6"/>
  <c r="V47" i="7"/>
  <c r="X79" i="7"/>
  <c r="X95" i="7"/>
  <c r="Y92" i="7"/>
  <c r="X76" i="7"/>
  <c r="Z103" i="7"/>
  <c r="Y87" i="7"/>
  <c r="X78" i="7"/>
  <c r="X94" i="7"/>
  <c r="AD55" i="8"/>
  <c r="W7" i="7"/>
  <c r="X23" i="7"/>
  <c r="AB120" i="8"/>
  <c r="AB102" i="8" s="1"/>
  <c r="AB86" i="8" s="1"/>
  <c r="M32" i="6"/>
  <c r="M49" i="6" s="1"/>
  <c r="V139" i="7" s="1"/>
  <c r="V52" i="7"/>
  <c r="Y29" i="7"/>
  <c r="Z212" i="8"/>
  <c r="Z19" i="7"/>
  <c r="AC43" i="8"/>
  <c r="AD156" i="8"/>
  <c r="Y75" i="7"/>
  <c r="Y26" i="7"/>
  <c r="M31" i="6"/>
  <c r="M48" i="6" s="1"/>
  <c r="V138" i="7" s="1"/>
  <c r="V51" i="7"/>
  <c r="Y24" i="7"/>
  <c r="Y85" i="7"/>
  <c r="X84" i="7"/>
  <c r="X100" i="7"/>
  <c r="J20" i="6"/>
  <c r="J37" i="6" s="1"/>
  <c r="S127" i="7" s="1"/>
  <c r="S40" i="7"/>
  <c r="M21" i="6"/>
  <c r="M38" i="6" s="1"/>
  <c r="V128" i="7" s="1"/>
  <c r="V41" i="7"/>
  <c r="AD236" i="8"/>
  <c r="Y235" i="7"/>
  <c r="AC51" i="8"/>
  <c r="X81" i="7"/>
  <c r="X4" i="7"/>
  <c r="Y20" i="7"/>
  <c r="M25" i="6"/>
  <c r="M42" i="6" s="1"/>
  <c r="V132" i="7" s="1"/>
  <c r="V45" i="7"/>
  <c r="M26" i="6"/>
  <c r="M43" i="6" s="1"/>
  <c r="V133" i="7" s="1"/>
  <c r="V46" i="7"/>
  <c r="X88" i="7"/>
  <c r="Y99" i="7"/>
  <c r="X83" i="7"/>
  <c r="M30" i="6"/>
  <c r="M47" i="6" s="1"/>
  <c r="V137" i="7" s="1"/>
  <c r="V50" i="7"/>
  <c r="V49" i="7"/>
  <c r="M22" i="6"/>
  <c r="M39" i="6" s="1"/>
  <c r="V129" i="7" s="1"/>
  <c r="V42" i="7"/>
  <c r="Y28" i="7"/>
  <c r="X82" i="7"/>
  <c r="X98" i="7"/>
  <c r="X86" i="7"/>
  <c r="X102" i="7"/>
  <c r="T90" i="7"/>
  <c r="T74" i="7"/>
  <c r="M28" i="6"/>
  <c r="M45" i="6" s="1"/>
  <c r="V135" i="7" s="1"/>
  <c r="V48" i="7"/>
  <c r="X92" i="7"/>
  <c r="X80" i="7"/>
  <c r="X96" i="7"/>
  <c r="W15" i="7"/>
  <c r="AB128" i="8"/>
  <c r="AA22" i="7"/>
  <c r="AC158" i="8"/>
  <c r="Y93" i="7" s="1"/>
  <c r="X77" i="7"/>
  <c r="V43" i="7"/>
  <c r="AB299" i="8"/>
  <c r="AA220" i="8"/>
  <c r="AC11" i="8"/>
  <c r="AD27" i="8"/>
  <c r="Z224" i="7" s="1"/>
  <c r="AC19" i="8"/>
  <c r="Z232" i="7"/>
  <c r="AA223" i="7"/>
  <c r="AD10" i="8"/>
  <c r="Q40" i="3"/>
  <c r="Q52" i="3"/>
  <c r="R46" i="3"/>
  <c r="R78" i="6" s="1"/>
  <c r="Q47" i="3"/>
  <c r="R42" i="3"/>
  <c r="R38" i="3"/>
  <c r="R51" i="3"/>
  <c r="R83" i="6" s="1"/>
  <c r="R48" i="3"/>
  <c r="R80" i="6" s="1"/>
  <c r="Q49" i="3"/>
  <c r="Q81" i="6" s="1"/>
  <c r="Y101" i="7"/>
  <c r="Q39" i="3"/>
  <c r="Q71" i="6" s="1"/>
  <c r="Y91" i="7"/>
  <c r="AD44" i="3"/>
  <c r="Q41" i="3"/>
  <c r="R43" i="3"/>
  <c r="R75" i="6" s="1"/>
  <c r="R45" i="3"/>
  <c r="R50" i="3"/>
  <c r="R82" i="6" s="1"/>
  <c r="AC126" i="8"/>
  <c r="Y13" i="7" s="1"/>
  <c r="AB108" i="8"/>
  <c r="AC17" i="8"/>
  <c r="Z230" i="7"/>
  <c r="AA213" i="8"/>
  <c r="AC122" i="8"/>
  <c r="Y9" i="7" s="1"/>
  <c r="AB104" i="8"/>
  <c r="AD12" i="8"/>
  <c r="AA225" i="7"/>
  <c r="AC14" i="8"/>
  <c r="Z227" i="7"/>
  <c r="AB204" i="8"/>
  <c r="P54" i="6"/>
  <c r="AB38" i="8"/>
  <c r="AB8" i="8"/>
  <c r="Y3" i="7"/>
  <c r="AB98" i="8"/>
  <c r="AA214" i="8"/>
  <c r="AE301" i="8"/>
  <c r="X170" i="8"/>
  <c r="Y155" i="8"/>
  <c r="X208" i="8"/>
  <c r="AC121" i="8"/>
  <c r="Y8" i="7" s="1"/>
  <c r="AB103" i="8"/>
  <c r="AB72" i="8"/>
  <c r="AC58" i="8"/>
  <c r="AA212" i="8"/>
  <c r="CA318" i="8"/>
  <c r="AC124" i="8"/>
  <c r="Y11" i="7" s="1"/>
  <c r="AB106" i="8"/>
  <c r="AC282" i="8"/>
  <c r="AC299" i="8" s="1"/>
  <c r="AC278" i="8"/>
  <c r="AC277" i="8"/>
  <c r="AC276" i="8"/>
  <c r="AC16" i="8"/>
  <c r="Z229" i="7"/>
  <c r="AA215" i="8"/>
  <c r="AA210" i="8"/>
  <c r="AB107" i="8"/>
  <c r="AC125" i="8"/>
  <c r="Y12" i="7" s="1"/>
  <c r="AC123" i="8"/>
  <c r="AB105" i="8"/>
  <c r="AB100" i="8"/>
  <c r="AC118" i="8"/>
  <c r="Y5" i="7" s="1"/>
  <c r="AA218" i="8"/>
  <c r="AB99" i="8"/>
  <c r="AC46" i="8"/>
  <c r="AC9" i="8"/>
  <c r="Z222" i="7"/>
  <c r="Y6" i="7"/>
  <c r="AB101" i="8"/>
  <c r="AG302" i="8"/>
  <c r="AD21" i="8"/>
  <c r="AA234" i="7"/>
  <c r="AA217" i="8"/>
  <c r="AA219" i="8"/>
  <c r="AA216" i="8"/>
  <c r="AA211" i="8"/>
  <c r="AD295" i="8"/>
  <c r="AD323" i="8" s="1"/>
  <c r="AD61" i="8"/>
  <c r="AA209" i="8"/>
  <c r="Z228" i="7"/>
  <c r="AC15" i="8"/>
  <c r="Z226" i="7"/>
  <c r="AC13" i="8"/>
  <c r="AC127" i="8"/>
  <c r="Y14" i="7" s="1"/>
  <c r="AB109" i="8"/>
  <c r="AA231" i="7"/>
  <c r="AD18" i="8"/>
  <c r="V63" i="7" l="1"/>
  <c r="M44" i="6"/>
  <c r="V134" i="7" s="1"/>
  <c r="V58" i="7"/>
  <c r="V62" i="7"/>
  <c r="V61" i="7"/>
  <c r="V57" i="7"/>
  <c r="V67" i="7"/>
  <c r="V66" i="7"/>
  <c r="S56" i="7"/>
  <c r="V68" i="7"/>
  <c r="V64" i="7"/>
  <c r="Y10" i="7"/>
  <c r="P10" i="6"/>
  <c r="Z26" i="7" s="1"/>
  <c r="AA233" i="7"/>
  <c r="AE20" i="8"/>
  <c r="AA82" i="8"/>
  <c r="AD24" i="8"/>
  <c r="Y221" i="7"/>
  <c r="R56" i="6"/>
  <c r="R67" i="6"/>
  <c r="R65" i="6"/>
  <c r="R66" i="6"/>
  <c r="R57" i="6"/>
  <c r="Q62" i="6"/>
  <c r="R60" i="6"/>
  <c r="R61" i="6"/>
  <c r="Q55" i="6"/>
  <c r="R59" i="6"/>
  <c r="Q58" i="6"/>
  <c r="Q64" i="6"/>
  <c r="R68" i="6"/>
  <c r="AB83" i="8"/>
  <c r="AB84" i="8"/>
  <c r="AB82" i="8"/>
  <c r="AB85" i="8"/>
  <c r="AB91" i="8"/>
  <c r="AB93" i="8"/>
  <c r="AB90" i="8"/>
  <c r="AB89" i="8"/>
  <c r="AB88" i="8"/>
  <c r="AB87" i="8"/>
  <c r="AB92" i="8"/>
  <c r="Y104" i="7"/>
  <c r="AD45" i="8"/>
  <c r="AC53" i="8"/>
  <c r="AD44" i="8"/>
  <c r="AD48" i="8"/>
  <c r="AC42" i="8"/>
  <c r="AD50" i="8"/>
  <c r="AD47" i="8"/>
  <c r="AC49" i="8"/>
  <c r="AC54" i="8"/>
  <c r="AD52" i="8"/>
  <c r="AB212" i="8"/>
  <c r="X44" i="7" s="1"/>
  <c r="X253" i="7"/>
  <c r="Z29" i="7"/>
  <c r="AB22" i="7"/>
  <c r="AE236" i="8"/>
  <c r="Z235" i="7"/>
  <c r="AA19" i="7"/>
  <c r="X7" i="7"/>
  <c r="Y23" i="7"/>
  <c r="AC120" i="8"/>
  <c r="Z92" i="7"/>
  <c r="Y76" i="7"/>
  <c r="N26" i="6"/>
  <c r="N43" i="6" s="1"/>
  <c r="W133" i="7" s="1"/>
  <c r="W46" i="7"/>
  <c r="N32" i="6"/>
  <c r="N49" i="6" s="1"/>
  <c r="W139" i="7" s="1"/>
  <c r="W52" i="7"/>
  <c r="Z28" i="7"/>
  <c r="Y84" i="7"/>
  <c r="Y100" i="7"/>
  <c r="AE156" i="8"/>
  <c r="Z75" i="7"/>
  <c r="N31" i="6"/>
  <c r="N48" i="6" s="1"/>
  <c r="W138" i="7" s="1"/>
  <c r="W51" i="7"/>
  <c r="X15" i="7"/>
  <c r="AC128" i="8"/>
  <c r="AC110" i="8" s="1"/>
  <c r="Y82" i="7"/>
  <c r="Y98" i="7"/>
  <c r="Y83" i="7"/>
  <c r="AD43" i="8"/>
  <c r="Y78" i="7"/>
  <c r="Y94" i="7"/>
  <c r="N22" i="6"/>
  <c r="N39" i="6" s="1"/>
  <c r="W129" i="7" s="1"/>
  <c r="W42" i="7"/>
  <c r="Z24" i="7"/>
  <c r="Z85" i="7"/>
  <c r="Y79" i="7"/>
  <c r="Y95" i="7"/>
  <c r="Y86" i="7"/>
  <c r="Y102" i="7"/>
  <c r="N28" i="6"/>
  <c r="N45" i="6" s="1"/>
  <c r="W135" i="7" s="1"/>
  <c r="W48" i="7"/>
  <c r="W49" i="7"/>
  <c r="N24" i="6"/>
  <c r="N41" i="6" s="1"/>
  <c r="W131" i="7" s="1"/>
  <c r="W44" i="7"/>
  <c r="K20" i="6"/>
  <c r="K37" i="6" s="1"/>
  <c r="T127" i="7" s="1"/>
  <c r="T40" i="7"/>
  <c r="AD158" i="8"/>
  <c r="Z93" i="7" s="1"/>
  <c r="Y77" i="7"/>
  <c r="Y88" i="7"/>
  <c r="M24" i="6"/>
  <c r="M41" i="6" s="1"/>
  <c r="V131" i="7" s="1"/>
  <c r="V44" i="7"/>
  <c r="N30" i="6"/>
  <c r="N47" i="6" s="1"/>
  <c r="W137" i="7" s="1"/>
  <c r="W50" i="7"/>
  <c r="N27" i="6"/>
  <c r="W47" i="7"/>
  <c r="U90" i="7"/>
  <c r="U74" i="7"/>
  <c r="N25" i="6"/>
  <c r="N42" i="6" s="1"/>
  <c r="W132" i="7" s="1"/>
  <c r="W45" i="7"/>
  <c r="AB110" i="8"/>
  <c r="Y81" i="7"/>
  <c r="N21" i="6"/>
  <c r="N38" i="6" s="1"/>
  <c r="W128" i="7" s="1"/>
  <c r="W41" i="7"/>
  <c r="Y4" i="7"/>
  <c r="Z20" i="7"/>
  <c r="Z25" i="7"/>
  <c r="Y80" i="7"/>
  <c r="Y96" i="7"/>
  <c r="AE55" i="8"/>
  <c r="Z87" i="7"/>
  <c r="AD51" i="8"/>
  <c r="W43" i="7"/>
  <c r="AE10" i="8"/>
  <c r="AB223" i="7"/>
  <c r="AD19" i="8"/>
  <c r="AA232" i="7"/>
  <c r="AE27" i="8"/>
  <c r="AA224" i="7" s="1"/>
  <c r="AD11" i="8"/>
  <c r="R41" i="3"/>
  <c r="S48" i="3"/>
  <c r="S80" i="6" s="1"/>
  <c r="R47" i="3"/>
  <c r="S50" i="3"/>
  <c r="S82" i="6" s="1"/>
  <c r="R39" i="3"/>
  <c r="R71" i="6" s="1"/>
  <c r="Z91" i="7"/>
  <c r="R52" i="3"/>
  <c r="AE44" i="3"/>
  <c r="S46" i="3"/>
  <c r="S78" i="6" s="1"/>
  <c r="S38" i="3"/>
  <c r="S51" i="3"/>
  <c r="S83" i="6" s="1"/>
  <c r="S45" i="3"/>
  <c r="S43" i="3"/>
  <c r="S75" i="6" s="1"/>
  <c r="R49" i="3"/>
  <c r="R81" i="6" s="1"/>
  <c r="Z101" i="7"/>
  <c r="S42" i="3"/>
  <c r="R40" i="3"/>
  <c r="Y170" i="8"/>
  <c r="Z155" i="8"/>
  <c r="Y208" i="8"/>
  <c r="AE295" i="8"/>
  <c r="AE323" i="8" s="1"/>
  <c r="AC72" i="8"/>
  <c r="AD58" i="8"/>
  <c r="AA222" i="7"/>
  <c r="AD9" i="8"/>
  <c r="AB216" i="8"/>
  <c r="AB209" i="8"/>
  <c r="AD124" i="8"/>
  <c r="Z11" i="7" s="1"/>
  <c r="AC106" i="8"/>
  <c r="AB219" i="8"/>
  <c r="AC99" i="8"/>
  <c r="AD127" i="8"/>
  <c r="Z14" i="7" s="1"/>
  <c r="AC109" i="8"/>
  <c r="AD125" i="8"/>
  <c r="Z12" i="7" s="1"/>
  <c r="AC107" i="8"/>
  <c r="AD278" i="8"/>
  <c r="AD282" i="8"/>
  <c r="AD277" i="8"/>
  <c r="AD276" i="8"/>
  <c r="CB318" i="8"/>
  <c r="Z3" i="7"/>
  <c r="AC98" i="8"/>
  <c r="AD14" i="8"/>
  <c r="AA227" i="7"/>
  <c r="AB217" i="8"/>
  <c r="AF301" i="8"/>
  <c r="AC38" i="8"/>
  <c r="AC8" i="8"/>
  <c r="AB218" i="8"/>
  <c r="AD123" i="8"/>
  <c r="AC105" i="8"/>
  <c r="AC104" i="8"/>
  <c r="AD122" i="8"/>
  <c r="Z9" i="7" s="1"/>
  <c r="AH302" i="8"/>
  <c r="AD16" i="8"/>
  <c r="AA229" i="7"/>
  <c r="AB213" i="8"/>
  <c r="AD294" i="8"/>
  <c r="AD322" i="8" s="1"/>
  <c r="AE12" i="8"/>
  <c r="AB225" i="7"/>
  <c r="AC108" i="8"/>
  <c r="AD126" i="8"/>
  <c r="Z13" i="7" s="1"/>
  <c r="AD17" i="8"/>
  <c r="AA230" i="7"/>
  <c r="AC100" i="8"/>
  <c r="AD118" i="8"/>
  <c r="Z5" i="7" s="1"/>
  <c r="AE61" i="8"/>
  <c r="AB211" i="8"/>
  <c r="AB210" i="8"/>
  <c r="AD121" i="8"/>
  <c r="Z8" i="7" s="1"/>
  <c r="AC103" i="8"/>
  <c r="AB234" i="7"/>
  <c r="AE21" i="8"/>
  <c r="AD13" i="8"/>
  <c r="AA226" i="7"/>
  <c r="AB231" i="7"/>
  <c r="AE18" i="8"/>
  <c r="AA228" i="7"/>
  <c r="AD15" i="8"/>
  <c r="Z6" i="7"/>
  <c r="AC101" i="8"/>
  <c r="AB215" i="8"/>
  <c r="AC204" i="8"/>
  <c r="Q54" i="6"/>
  <c r="AB214" i="8"/>
  <c r="W63" i="7" l="1"/>
  <c r="N44" i="6"/>
  <c r="W134" i="7" s="1"/>
  <c r="W64" i="7"/>
  <c r="W57" i="7"/>
  <c r="W68" i="7"/>
  <c r="T56" i="7"/>
  <c r="W67" i="7"/>
  <c r="W66" i="7"/>
  <c r="W62" i="7"/>
  <c r="W60" i="7"/>
  <c r="W58" i="7"/>
  <c r="W61" i="7"/>
  <c r="V60" i="7"/>
  <c r="Z10" i="7"/>
  <c r="Q10" i="6"/>
  <c r="AA26" i="7" s="1"/>
  <c r="AE24" i="8"/>
  <c r="Z221" i="7"/>
  <c r="AB233" i="7"/>
  <c r="AF20" i="8"/>
  <c r="R58" i="6"/>
  <c r="S60" i="6"/>
  <c r="S65" i="6"/>
  <c r="S59" i="6"/>
  <c r="R62" i="6"/>
  <c r="S68" i="6"/>
  <c r="R55" i="6"/>
  <c r="S57" i="6"/>
  <c r="S67" i="6"/>
  <c r="R64" i="6"/>
  <c r="S61" i="6"/>
  <c r="S66" i="6"/>
  <c r="S56" i="6"/>
  <c r="AC82" i="8"/>
  <c r="AC85" i="8"/>
  <c r="AC84" i="8"/>
  <c r="AC83" i="8"/>
  <c r="AC94" i="8"/>
  <c r="AC91" i="8"/>
  <c r="AC87" i="8"/>
  <c r="AB94" i="8"/>
  <c r="AC89" i="8"/>
  <c r="AC93" i="8"/>
  <c r="AC88" i="8"/>
  <c r="AC92" i="8"/>
  <c r="AC90" i="8"/>
  <c r="O24" i="6"/>
  <c r="O41" i="6" s="1"/>
  <c r="X131" i="7" s="1"/>
  <c r="AE44" i="8"/>
  <c r="AE45" i="8"/>
  <c r="AE50" i="8"/>
  <c r="AE47" i="8"/>
  <c r="AD49" i="8"/>
  <c r="AD53" i="8"/>
  <c r="AD46" i="8"/>
  <c r="AE48" i="8"/>
  <c r="AD42" i="8"/>
  <c r="AD54" i="8"/>
  <c r="AE52" i="8"/>
  <c r="AA25" i="7"/>
  <c r="Z104" i="7"/>
  <c r="AB220" i="8"/>
  <c r="X52" i="7" s="1"/>
  <c r="Y253" i="7"/>
  <c r="AA99" i="7"/>
  <c r="Z83" i="7"/>
  <c r="O26" i="6"/>
  <c r="O43" i="6" s="1"/>
  <c r="X133" i="7" s="1"/>
  <c r="X46" i="7"/>
  <c r="O22" i="6"/>
  <c r="O39" i="6" s="1"/>
  <c r="X129" i="7" s="1"/>
  <c r="X42" i="7"/>
  <c r="Z4" i="7"/>
  <c r="AA20" i="7"/>
  <c r="Z78" i="7"/>
  <c r="Z94" i="7"/>
  <c r="Y15" i="7"/>
  <c r="AD128" i="8"/>
  <c r="AD110" i="8" s="1"/>
  <c r="Y7" i="7"/>
  <c r="Z23" i="7"/>
  <c r="AD120" i="8"/>
  <c r="AD102" i="8" s="1"/>
  <c r="AF236" i="8"/>
  <c r="AA235" i="7"/>
  <c r="O21" i="6"/>
  <c r="O38" i="6" s="1"/>
  <c r="X128" i="7" s="1"/>
  <c r="X41" i="7"/>
  <c r="O25" i="6"/>
  <c r="O42" i="6" s="1"/>
  <c r="X132" i="7" s="1"/>
  <c r="X45" i="7"/>
  <c r="Z81" i="7"/>
  <c r="AA28" i="7"/>
  <c r="AF156" i="8"/>
  <c r="AA75" i="7"/>
  <c r="AE51" i="8"/>
  <c r="O31" i="6"/>
  <c r="O48" i="6" s="1"/>
  <c r="X138" i="7" s="1"/>
  <c r="X51" i="7"/>
  <c r="O28" i="6"/>
  <c r="O45" i="6" s="1"/>
  <c r="X135" i="7" s="1"/>
  <c r="X48" i="7"/>
  <c r="AA104" i="7"/>
  <c r="Z88" i="7"/>
  <c r="Z86" i="7"/>
  <c r="Z102" i="7"/>
  <c r="AE43" i="8"/>
  <c r="AA85" i="7"/>
  <c r="Z99" i="7"/>
  <c r="AB19" i="7"/>
  <c r="AC22" i="7"/>
  <c r="X49" i="7"/>
  <c r="AB103" i="7"/>
  <c r="AA87" i="7"/>
  <c r="Z84" i="7"/>
  <c r="Z100" i="7"/>
  <c r="O27" i="6"/>
  <c r="X47" i="7"/>
  <c r="L20" i="6"/>
  <c r="L37" i="6" s="1"/>
  <c r="U127" i="7" s="1"/>
  <c r="U40" i="7"/>
  <c r="AA29" i="7"/>
  <c r="AA24" i="7"/>
  <c r="Z82" i="7"/>
  <c r="Z98" i="7"/>
  <c r="AF55" i="8"/>
  <c r="O30" i="6"/>
  <c r="O47" i="6" s="1"/>
  <c r="X137" i="7" s="1"/>
  <c r="X50" i="7"/>
  <c r="V90" i="7"/>
  <c r="V74" i="7"/>
  <c r="AA103" i="7"/>
  <c r="Z80" i="7"/>
  <c r="Z96" i="7"/>
  <c r="AC102" i="8"/>
  <c r="AE158" i="8"/>
  <c r="AA93" i="7" s="1"/>
  <c r="Z77" i="7"/>
  <c r="Z79" i="7"/>
  <c r="Z95" i="7"/>
  <c r="Z76" i="7"/>
  <c r="X43" i="7"/>
  <c r="AC220" i="8"/>
  <c r="AB232" i="7"/>
  <c r="AE19" i="8"/>
  <c r="AF10" i="8"/>
  <c r="AC223" i="7"/>
  <c r="AE11" i="8"/>
  <c r="AF27" i="8"/>
  <c r="AB224" i="7" s="1"/>
  <c r="T43" i="3"/>
  <c r="T75" i="6" s="1"/>
  <c r="T46" i="3"/>
  <c r="T78" i="6" s="1"/>
  <c r="T50" i="3"/>
  <c r="T82" i="6" s="1"/>
  <c r="AF44" i="3"/>
  <c r="T42" i="3"/>
  <c r="S52" i="3"/>
  <c r="T48" i="3"/>
  <c r="T80" i="6" s="1"/>
  <c r="S40" i="3"/>
  <c r="T45" i="3"/>
  <c r="S47" i="3"/>
  <c r="T51" i="3"/>
  <c r="T83" i="6" s="1"/>
  <c r="S49" i="3"/>
  <c r="S81" i="6" s="1"/>
  <c r="AA101" i="7"/>
  <c r="T38" i="3"/>
  <c r="S39" i="3"/>
  <c r="S71" i="6" s="1"/>
  <c r="AA91" i="7"/>
  <c r="S41" i="3"/>
  <c r="AF18" i="8"/>
  <c r="AC231" i="7"/>
  <c r="AD108" i="8"/>
  <c r="AE126" i="8"/>
  <c r="AA13" i="7" s="1"/>
  <c r="AB227" i="7"/>
  <c r="AE14" i="8"/>
  <c r="AC213" i="8"/>
  <c r="AC218" i="8"/>
  <c r="AE16" i="8"/>
  <c r="AB229" i="7"/>
  <c r="AE122" i="8"/>
  <c r="AA9" i="7" s="1"/>
  <c r="AD104" i="8"/>
  <c r="AD38" i="8"/>
  <c r="AD8" i="8"/>
  <c r="AC219" i="8"/>
  <c r="AC216" i="8"/>
  <c r="AD72" i="8"/>
  <c r="AE58" i="8"/>
  <c r="AC234" i="7"/>
  <c r="AF21" i="8"/>
  <c r="AE125" i="8"/>
  <c r="AA12" i="7" s="1"/>
  <c r="AD107" i="8"/>
  <c r="AC214" i="8"/>
  <c r="AE127" i="8"/>
  <c r="AA14" i="7" s="1"/>
  <c r="AD109" i="8"/>
  <c r="AE9" i="8"/>
  <c r="AB222" i="7"/>
  <c r="AC211" i="8"/>
  <c r="AC215" i="8"/>
  <c r="AD299" i="8"/>
  <c r="AD99" i="8"/>
  <c r="AB228" i="7"/>
  <c r="AE15" i="8"/>
  <c r="Z170" i="8"/>
  <c r="AA155" i="8"/>
  <c r="Z208" i="8"/>
  <c r="AB226" i="7"/>
  <c r="AE13" i="8"/>
  <c r="AG301" i="8"/>
  <c r="AA3" i="7"/>
  <c r="AD98" i="8"/>
  <c r="AA6" i="7"/>
  <c r="AD101" i="8"/>
  <c r="AF61" i="8"/>
  <c r="AB230" i="7"/>
  <c r="AE17" i="8"/>
  <c r="AF12" i="8"/>
  <c r="AC225" i="7"/>
  <c r="AI302" i="8"/>
  <c r="AE123" i="8"/>
  <c r="AD105" i="8"/>
  <c r="AC209" i="8"/>
  <c r="AF295" i="8"/>
  <c r="AF323" i="8" s="1"/>
  <c r="AD100" i="8"/>
  <c r="AE118" i="8"/>
  <c r="AA5" i="7" s="1"/>
  <c r="CC318" i="8"/>
  <c r="AD204" i="8"/>
  <c r="R54" i="6"/>
  <c r="AC210" i="8"/>
  <c r="AE276" i="8"/>
  <c r="AE278" i="8"/>
  <c r="AE277" i="8"/>
  <c r="AE282" i="8"/>
  <c r="AE121" i="8"/>
  <c r="AA8" i="7" s="1"/>
  <c r="AD103" i="8"/>
  <c r="AE124" i="8"/>
  <c r="AA11" i="7" s="1"/>
  <c r="AD106" i="8"/>
  <c r="AE294" i="8"/>
  <c r="AE322" i="8" s="1"/>
  <c r="AC217" i="8"/>
  <c r="X63" i="7" l="1"/>
  <c r="O44" i="6"/>
  <c r="X134" i="7" s="1"/>
  <c r="X64" i="7"/>
  <c r="X58" i="7"/>
  <c r="X67" i="7"/>
  <c r="X62" i="7"/>
  <c r="X57" i="7"/>
  <c r="X61" i="7"/>
  <c r="X60" i="7"/>
  <c r="U56" i="7"/>
  <c r="X66" i="7"/>
  <c r="AA10" i="7"/>
  <c r="R10" i="6"/>
  <c r="AB26" i="7" s="1"/>
  <c r="AC233" i="7"/>
  <c r="AG20" i="8"/>
  <c r="AF24" i="8"/>
  <c r="AA221" i="7"/>
  <c r="T61" i="6"/>
  <c r="S55" i="6"/>
  <c r="T59" i="6"/>
  <c r="S64" i="6"/>
  <c r="T68" i="6"/>
  <c r="T65" i="6"/>
  <c r="T56" i="6"/>
  <c r="T67" i="6"/>
  <c r="T60" i="6"/>
  <c r="T66" i="6"/>
  <c r="T57" i="6"/>
  <c r="S62" i="6"/>
  <c r="S58" i="6"/>
  <c r="AD85" i="8"/>
  <c r="AD83" i="8"/>
  <c r="AD84" i="8"/>
  <c r="AD82" i="8"/>
  <c r="AD91" i="8"/>
  <c r="AD90" i="8"/>
  <c r="AD94" i="8"/>
  <c r="AD89" i="8"/>
  <c r="AD86" i="8"/>
  <c r="AD87" i="8"/>
  <c r="AD92" i="8"/>
  <c r="AD88" i="8"/>
  <c r="AC86" i="8"/>
  <c r="AD93" i="8"/>
  <c r="O32" i="6"/>
  <c r="O49" i="6" s="1"/>
  <c r="X139" i="7" s="1"/>
  <c r="AF48" i="8"/>
  <c r="AF45" i="8"/>
  <c r="AF50" i="8"/>
  <c r="AE42" i="8"/>
  <c r="AE46" i="8"/>
  <c r="AF47" i="8"/>
  <c r="AF44" i="8"/>
  <c r="AE53" i="8"/>
  <c r="AE49" i="8"/>
  <c r="AE54" i="8"/>
  <c r="AF52" i="8"/>
  <c r="Z253" i="7"/>
  <c r="AB25" i="7"/>
  <c r="AG55" i="8"/>
  <c r="AA82" i="7"/>
  <c r="AA98" i="7"/>
  <c r="AB87" i="7"/>
  <c r="AC19" i="7"/>
  <c r="AB28" i="7"/>
  <c r="AA81" i="7"/>
  <c r="AG236" i="8"/>
  <c r="AB235" i="7"/>
  <c r="AA4" i="7"/>
  <c r="AB20" i="7"/>
  <c r="AF158" i="8"/>
  <c r="AB93" i="7" s="1"/>
  <c r="AA77" i="7"/>
  <c r="AA80" i="7"/>
  <c r="AA96" i="7"/>
  <c r="AB104" i="7"/>
  <c r="AA88" i="7"/>
  <c r="Z7" i="7"/>
  <c r="AA23" i="7"/>
  <c r="AE120" i="8"/>
  <c r="AE102" i="8" s="1"/>
  <c r="P22" i="6"/>
  <c r="P39" i="6" s="1"/>
  <c r="Y129" i="7" s="1"/>
  <c r="Y42" i="7"/>
  <c r="AB29" i="7"/>
  <c r="AB92" i="7"/>
  <c r="AA76" i="7"/>
  <c r="AB24" i="7"/>
  <c r="AF43" i="8"/>
  <c r="AB75" i="7"/>
  <c r="P25" i="6"/>
  <c r="P42" i="6" s="1"/>
  <c r="Y132" i="7" s="1"/>
  <c r="Y45" i="7"/>
  <c r="AA78" i="7"/>
  <c r="AA94" i="7"/>
  <c r="W90" i="7"/>
  <c r="W74" i="7"/>
  <c r="P27" i="6"/>
  <c r="Y47" i="7"/>
  <c r="P26" i="6"/>
  <c r="P43" i="6" s="1"/>
  <c r="Y133" i="7" s="1"/>
  <c r="Y46" i="7"/>
  <c r="P28" i="6"/>
  <c r="P45" i="6" s="1"/>
  <c r="Y135" i="7" s="1"/>
  <c r="Y48" i="7"/>
  <c r="P32" i="6"/>
  <c r="P49" i="6" s="1"/>
  <c r="Y139" i="7" s="1"/>
  <c r="Y52" i="7"/>
  <c r="AC212" i="8"/>
  <c r="AB85" i="7"/>
  <c r="AF51" i="8"/>
  <c r="P31" i="6"/>
  <c r="P48" i="6" s="1"/>
  <c r="Y138" i="7" s="1"/>
  <c r="Y51" i="7"/>
  <c r="AA92" i="7"/>
  <c r="AA84" i="7"/>
  <c r="AA100" i="7"/>
  <c r="AD22" i="7"/>
  <c r="P21" i="6"/>
  <c r="P38" i="6" s="1"/>
  <c r="Y128" i="7" s="1"/>
  <c r="Y41" i="7"/>
  <c r="M20" i="6"/>
  <c r="M37" i="6" s="1"/>
  <c r="V127" i="7" s="1"/>
  <c r="V40" i="7"/>
  <c r="Y49" i="7"/>
  <c r="P30" i="6"/>
  <c r="P47" i="6" s="1"/>
  <c r="Y137" i="7" s="1"/>
  <c r="Y50" i="7"/>
  <c r="AA79" i="7"/>
  <c r="AA95" i="7"/>
  <c r="AA86" i="7"/>
  <c r="AA102" i="7"/>
  <c r="Z15" i="7"/>
  <c r="AE128" i="8"/>
  <c r="AE110" i="8" s="1"/>
  <c r="AA83" i="7"/>
  <c r="Y43" i="7"/>
  <c r="AD220" i="8"/>
  <c r="AG27" i="8"/>
  <c r="AC224" i="7" s="1"/>
  <c r="AF11" i="8"/>
  <c r="AG10" i="8"/>
  <c r="AD223" i="7"/>
  <c r="AC232" i="7"/>
  <c r="AF19" i="8"/>
  <c r="T40" i="3"/>
  <c r="AG44" i="3"/>
  <c r="U48" i="3"/>
  <c r="U80" i="6" s="1"/>
  <c r="T39" i="3"/>
  <c r="T71" i="6" s="1"/>
  <c r="AB91" i="7"/>
  <c r="T47" i="3"/>
  <c r="T52" i="3"/>
  <c r="U46" i="3"/>
  <c r="U78" i="6" s="1"/>
  <c r="T49" i="3"/>
  <c r="T81" i="6" s="1"/>
  <c r="AB101" i="7"/>
  <c r="U51" i="3"/>
  <c r="U83" i="6" s="1"/>
  <c r="AC103" i="7"/>
  <c r="T41" i="3"/>
  <c r="U50" i="3"/>
  <c r="U82" i="6" s="1"/>
  <c r="U38" i="3"/>
  <c r="U45" i="3"/>
  <c r="U42" i="3"/>
  <c r="U43" i="3"/>
  <c r="U75" i="6" s="1"/>
  <c r="AF17" i="8"/>
  <c r="AC230" i="7"/>
  <c r="AG61" i="8"/>
  <c r="AC229" i="7"/>
  <c r="AF16" i="8"/>
  <c r="AE108" i="8"/>
  <c r="AF126" i="8"/>
  <c r="AB13" i="7" s="1"/>
  <c r="AC226" i="7"/>
  <c r="AF13" i="8"/>
  <c r="AF122" i="8"/>
  <c r="AB9" i="7" s="1"/>
  <c r="AE104" i="8"/>
  <c r="AD212" i="8"/>
  <c r="AF276" i="8"/>
  <c r="AF282" i="8"/>
  <c r="AG294" i="8"/>
  <c r="AG322" i="8" s="1"/>
  <c r="AF277" i="8"/>
  <c r="AF278" i="8"/>
  <c r="AD210" i="8"/>
  <c r="AF123" i="8"/>
  <c r="AE105" i="8"/>
  <c r="AF46" i="8"/>
  <c r="AC222" i="7"/>
  <c r="AF9" i="8"/>
  <c r="AD218" i="8"/>
  <c r="AC227" i="7"/>
  <c r="AF14" i="8"/>
  <c r="AE103" i="8"/>
  <c r="AF121" i="8"/>
  <c r="AB8" i="7" s="1"/>
  <c r="AG18" i="8"/>
  <c r="AD231" i="7"/>
  <c r="AD214" i="8"/>
  <c r="AC228" i="7"/>
  <c r="AF15" i="8"/>
  <c r="AD215" i="8"/>
  <c r="AD216" i="8"/>
  <c r="AD209" i="8"/>
  <c r="AF124" i="8"/>
  <c r="AB11" i="7" s="1"/>
  <c r="AE106" i="8"/>
  <c r="AG295" i="8"/>
  <c r="AG323" i="8" s="1"/>
  <c r="AE99" i="8"/>
  <c r="AD219" i="8"/>
  <c r="AG21" i="8"/>
  <c r="AD234" i="7"/>
  <c r="AD213" i="8"/>
  <c r="AB3" i="7"/>
  <c r="AE98" i="8"/>
  <c r="AF118" i="8"/>
  <c r="AB5" i="7" s="1"/>
  <c r="AE100" i="8"/>
  <c r="AF125" i="8"/>
  <c r="AB12" i="7" s="1"/>
  <c r="AE107" i="8"/>
  <c r="AE299" i="8"/>
  <c r="AJ302" i="8"/>
  <c r="AE204" i="8"/>
  <c r="S54" i="6"/>
  <c r="AD225" i="7"/>
  <c r="AG12" i="8"/>
  <c r="AD211" i="8"/>
  <c r="AH301" i="8"/>
  <c r="AA170" i="8"/>
  <c r="AB155" i="8"/>
  <c r="AA208" i="8"/>
  <c r="AE109" i="8"/>
  <c r="AF127" i="8"/>
  <c r="AB14" i="7" s="1"/>
  <c r="AD217" i="8"/>
  <c r="AB6" i="7"/>
  <c r="AE101" i="8"/>
  <c r="AF294" i="8"/>
  <c r="AF322" i="8" s="1"/>
  <c r="AF58" i="8"/>
  <c r="AE72" i="8"/>
  <c r="AE38" i="8"/>
  <c r="AE8" i="8"/>
  <c r="Y63" i="7" l="1"/>
  <c r="P44" i="6"/>
  <c r="Y134" i="7" s="1"/>
  <c r="Y66" i="7"/>
  <c r="X68" i="7"/>
  <c r="Y68" i="7"/>
  <c r="Y64" i="7"/>
  <c r="V56" i="7"/>
  <c r="Y57" i="7"/>
  <c r="Y62" i="7"/>
  <c r="Y61" i="7"/>
  <c r="Y58" i="7"/>
  <c r="Y67" i="7"/>
  <c r="AB10" i="7"/>
  <c r="S10" i="6"/>
  <c r="AC26" i="7" s="1"/>
  <c r="AG24" i="8"/>
  <c r="AB221" i="7"/>
  <c r="AD233" i="7"/>
  <c r="AH20" i="8"/>
  <c r="U57" i="6"/>
  <c r="U67" i="6"/>
  <c r="T64" i="6"/>
  <c r="U66" i="6"/>
  <c r="U56" i="6"/>
  <c r="U59" i="6"/>
  <c r="T58" i="6"/>
  <c r="U60" i="6"/>
  <c r="U65" i="6"/>
  <c r="T55" i="6"/>
  <c r="T62" i="6"/>
  <c r="U68" i="6"/>
  <c r="U61" i="6"/>
  <c r="AE84" i="8"/>
  <c r="AE83" i="8"/>
  <c r="AE82" i="8"/>
  <c r="AE85" i="8"/>
  <c r="AE91" i="8"/>
  <c r="AE92" i="8"/>
  <c r="AE93" i="8"/>
  <c r="AE87" i="8"/>
  <c r="AE90" i="8"/>
  <c r="AE94" i="8"/>
  <c r="AE86" i="8"/>
  <c r="AE89" i="8"/>
  <c r="AE88" i="8"/>
  <c r="AG50" i="8"/>
  <c r="AG44" i="8"/>
  <c r="AG48" i="8"/>
  <c r="AF49" i="8"/>
  <c r="AF53" i="8"/>
  <c r="AF42" i="8"/>
  <c r="AG45" i="8"/>
  <c r="AG47" i="8"/>
  <c r="AF54" i="8"/>
  <c r="AG52" i="8"/>
  <c r="AC25" i="7"/>
  <c r="AA253" i="7"/>
  <c r="Q31" i="6"/>
  <c r="Q48" i="6" s="1"/>
  <c r="Z138" i="7" s="1"/>
  <c r="Z51" i="7"/>
  <c r="AE22" i="7"/>
  <c r="AC28" i="7"/>
  <c r="AD103" i="7"/>
  <c r="AC87" i="7"/>
  <c r="AC24" i="7"/>
  <c r="AC75" i="7"/>
  <c r="AG158" i="8"/>
  <c r="AC93" i="7" s="1"/>
  <c r="AB77" i="7"/>
  <c r="AB81" i="7"/>
  <c r="AB4" i="7"/>
  <c r="AC20" i="7"/>
  <c r="Q21" i="6"/>
  <c r="Q38" i="6" s="1"/>
  <c r="Z128" i="7" s="1"/>
  <c r="Z41" i="7"/>
  <c r="Q26" i="6"/>
  <c r="Q43" i="6" s="1"/>
  <c r="Z133" i="7" s="1"/>
  <c r="Z46" i="7"/>
  <c r="Q30" i="6"/>
  <c r="Q47" i="6" s="1"/>
  <c r="Z137" i="7" s="1"/>
  <c r="Z50" i="7"/>
  <c r="AC85" i="7"/>
  <c r="P24" i="6"/>
  <c r="P41" i="6" s="1"/>
  <c r="Y131" i="7" s="1"/>
  <c r="Y44" i="7"/>
  <c r="AG43" i="8"/>
  <c r="Q24" i="6"/>
  <c r="Q41" i="6" s="1"/>
  <c r="Z131" i="7" s="1"/>
  <c r="Z44" i="7"/>
  <c r="AC29" i="7"/>
  <c r="AB83" i="7"/>
  <c r="AB84" i="7"/>
  <c r="AB100" i="7"/>
  <c r="AC92" i="7"/>
  <c r="AB76" i="7"/>
  <c r="AB82" i="7"/>
  <c r="AB98" i="7"/>
  <c r="Q28" i="6"/>
  <c r="Q45" i="6" s="1"/>
  <c r="Z135" i="7" s="1"/>
  <c r="Z48" i="7"/>
  <c r="Q22" i="6"/>
  <c r="Q39" i="6" s="1"/>
  <c r="Z129" i="7" s="1"/>
  <c r="Z42" i="7"/>
  <c r="AB79" i="7"/>
  <c r="AB95" i="7"/>
  <c r="Q25" i="6"/>
  <c r="Q42" i="6" s="1"/>
  <c r="Z132" i="7" s="1"/>
  <c r="Z45" i="7"/>
  <c r="X90" i="7"/>
  <c r="X74" i="7"/>
  <c r="AB99" i="7"/>
  <c r="Q32" i="6"/>
  <c r="Q49" i="6" s="1"/>
  <c r="Z139" i="7" s="1"/>
  <c r="Z52" i="7"/>
  <c r="AD19" i="7"/>
  <c r="AH55" i="8"/>
  <c r="Z49" i="7"/>
  <c r="Q27" i="6"/>
  <c r="Z47" i="7"/>
  <c r="AH236" i="8"/>
  <c r="AC235" i="7"/>
  <c r="N20" i="6"/>
  <c r="N37" i="6" s="1"/>
  <c r="W127" i="7" s="1"/>
  <c r="W40" i="7"/>
  <c r="AA15" i="7"/>
  <c r="AF128" i="8"/>
  <c r="AB86" i="7"/>
  <c r="AB102" i="7"/>
  <c r="AG51" i="8"/>
  <c r="AB78" i="7"/>
  <c r="AB94" i="7"/>
  <c r="AA7" i="7"/>
  <c r="AB23" i="7"/>
  <c r="AF120" i="8"/>
  <c r="AB88" i="7"/>
  <c r="AB80" i="7"/>
  <c r="AB96" i="7"/>
  <c r="Z43" i="7"/>
  <c r="AE220" i="8"/>
  <c r="AG19" i="8"/>
  <c r="AD232" i="7"/>
  <c r="AH10" i="8"/>
  <c r="AE223" i="7"/>
  <c r="AG11" i="8"/>
  <c r="AH27" i="8"/>
  <c r="AD224" i="7" s="1"/>
  <c r="V38" i="3"/>
  <c r="U39" i="3"/>
  <c r="U71" i="6" s="1"/>
  <c r="AC91" i="7"/>
  <c r="V50" i="3"/>
  <c r="V82" i="6" s="1"/>
  <c r="V42" i="3"/>
  <c r="U41" i="3"/>
  <c r="U52" i="3"/>
  <c r="AH44" i="3"/>
  <c r="U49" i="3"/>
  <c r="U81" i="6" s="1"/>
  <c r="AC101" i="7"/>
  <c r="V48" i="3"/>
  <c r="V80" i="6" s="1"/>
  <c r="V43" i="3"/>
  <c r="V75" i="6" s="1"/>
  <c r="V46" i="3"/>
  <c r="V78" i="6" s="1"/>
  <c r="V45" i="3"/>
  <c r="V51" i="3"/>
  <c r="V83" i="6" s="1"/>
  <c r="U47" i="3"/>
  <c r="AC99" i="7"/>
  <c r="U40" i="3"/>
  <c r="AF204" i="8"/>
  <c r="T54" i="6"/>
  <c r="AF105" i="8"/>
  <c r="AG123" i="8"/>
  <c r="AI301" i="8"/>
  <c r="AK302" i="8"/>
  <c r="AE234" i="7"/>
  <c r="AH21" i="8"/>
  <c r="AD222" i="7"/>
  <c r="AG9" i="8"/>
  <c r="AE214" i="8"/>
  <c r="AE212" i="8"/>
  <c r="AH295" i="8"/>
  <c r="AH323" i="8" s="1"/>
  <c r="AD228" i="7"/>
  <c r="AG15" i="8"/>
  <c r="AF103" i="8"/>
  <c r="AG121" i="8"/>
  <c r="AC8" i="7" s="1"/>
  <c r="AG122" i="8"/>
  <c r="AC9" i="7" s="1"/>
  <c r="AF104" i="8"/>
  <c r="AG276" i="8"/>
  <c r="AH294" i="8"/>
  <c r="AH322" i="8" s="1"/>
  <c r="AG278" i="8"/>
  <c r="AG277" i="8"/>
  <c r="AG282" i="8"/>
  <c r="AG299" i="8" s="1"/>
  <c r="AH61" i="8"/>
  <c r="AD229" i="7"/>
  <c r="AG16" i="8"/>
  <c r="AE211" i="8"/>
  <c r="AE219" i="8"/>
  <c r="AE213" i="8"/>
  <c r="AG46" i="8"/>
  <c r="AF38" i="8"/>
  <c r="AF8" i="8"/>
  <c r="AE225" i="7"/>
  <c r="AH12" i="8"/>
  <c r="AE217" i="8"/>
  <c r="AC3" i="7"/>
  <c r="AF98" i="8"/>
  <c r="AG13" i="8"/>
  <c r="AD226" i="7"/>
  <c r="AB170" i="8"/>
  <c r="AC155" i="8"/>
  <c r="AB208" i="8"/>
  <c r="AG125" i="8"/>
  <c r="AC12" i="7" s="1"/>
  <c r="AF107" i="8"/>
  <c r="AE209" i="8"/>
  <c r="AE216" i="8"/>
  <c r="AD227" i="7"/>
  <c r="AG14" i="8"/>
  <c r="AF299" i="8"/>
  <c r="AG126" i="8"/>
  <c r="AC13" i="7" s="1"/>
  <c r="AF108" i="8"/>
  <c r="AD230" i="7"/>
  <c r="AG17" i="8"/>
  <c r="AF72" i="8"/>
  <c r="AG58" i="8"/>
  <c r="AG118" i="8"/>
  <c r="AC5" i="7" s="1"/>
  <c r="AF100" i="8"/>
  <c r="AF109" i="8"/>
  <c r="AG127" i="8"/>
  <c r="AC14" i="7" s="1"/>
  <c r="AE231" i="7"/>
  <c r="AH18" i="8"/>
  <c r="AC6" i="7"/>
  <c r="AF101" i="8"/>
  <c r="AE210" i="8"/>
  <c r="AF99" i="8"/>
  <c r="AG124" i="8"/>
  <c r="AC11" i="7" s="1"/>
  <c r="AF106" i="8"/>
  <c r="AE215" i="8"/>
  <c r="AE218" i="8"/>
  <c r="Z63" i="7" l="1"/>
  <c r="Q44" i="6"/>
  <c r="Z134" i="7" s="1"/>
  <c r="Z58" i="7"/>
  <c r="Z64" i="7"/>
  <c r="Z66" i="7"/>
  <c r="Z67" i="7"/>
  <c r="Z61" i="7"/>
  <c r="Z60" i="7"/>
  <c r="Z62" i="7"/>
  <c r="W56" i="7"/>
  <c r="Z57" i="7"/>
  <c r="Z68" i="7"/>
  <c r="Y60" i="7"/>
  <c r="AC10" i="7"/>
  <c r="T10" i="6"/>
  <c r="AD26" i="7" s="1"/>
  <c r="AE233" i="7"/>
  <c r="AI20" i="8"/>
  <c r="AH24" i="8"/>
  <c r="AC221" i="7"/>
  <c r="V60" i="6"/>
  <c r="V66" i="6"/>
  <c r="U62" i="6"/>
  <c r="U58" i="6"/>
  <c r="U64" i="6"/>
  <c r="V61" i="6"/>
  <c r="U55" i="6"/>
  <c r="V59" i="6"/>
  <c r="V67" i="6"/>
  <c r="V68" i="6"/>
  <c r="V65" i="6"/>
  <c r="V56" i="6"/>
  <c r="V57" i="6"/>
  <c r="AF83" i="8"/>
  <c r="AF85" i="8"/>
  <c r="AF84" i="8"/>
  <c r="AF82" i="8"/>
  <c r="AF93" i="8"/>
  <c r="AF87" i="8"/>
  <c r="AF90" i="8"/>
  <c r="AF89" i="8"/>
  <c r="AF91" i="8"/>
  <c r="AF92" i="8"/>
  <c r="AF88" i="8"/>
  <c r="AC104" i="7"/>
  <c r="AH50" i="8"/>
  <c r="AG49" i="8"/>
  <c r="AG53" i="8"/>
  <c r="AH45" i="8"/>
  <c r="AH48" i="8"/>
  <c r="AH47" i="8"/>
  <c r="AG42" i="8"/>
  <c r="AH44" i="8"/>
  <c r="AG54" i="8"/>
  <c r="AH52" i="8"/>
  <c r="AB253" i="7"/>
  <c r="AD29" i="7"/>
  <c r="AA49" i="7"/>
  <c r="AE19" i="7"/>
  <c r="AC84" i="7"/>
  <c r="AC100" i="7"/>
  <c r="AD85" i="7"/>
  <c r="AD28" i="7"/>
  <c r="AE103" i="7"/>
  <c r="AD87" i="7"/>
  <c r="AD24" i="7"/>
  <c r="O20" i="6"/>
  <c r="O37" i="6" s="1"/>
  <c r="X127" i="7" s="1"/>
  <c r="X40" i="7"/>
  <c r="AC80" i="7"/>
  <c r="AC96" i="7"/>
  <c r="AD99" i="7"/>
  <c r="AC83" i="7"/>
  <c r="R25" i="6"/>
  <c r="R42" i="6" s="1"/>
  <c r="AA132" i="7" s="1"/>
  <c r="AA45" i="7"/>
  <c r="AC86" i="7"/>
  <c r="AC102" i="7"/>
  <c r="AD92" i="7"/>
  <c r="AC76" i="7"/>
  <c r="AD75" i="7"/>
  <c r="AF22" i="7"/>
  <c r="R30" i="6"/>
  <c r="R47" i="6" s="1"/>
  <c r="AA137" i="7" s="1"/>
  <c r="AA50" i="7"/>
  <c r="R24" i="6"/>
  <c r="R41" i="6" s="1"/>
  <c r="AA131" i="7" s="1"/>
  <c r="AA44" i="7"/>
  <c r="AD104" i="7"/>
  <c r="AC88" i="7"/>
  <c r="AI236" i="8"/>
  <c r="AD235" i="7"/>
  <c r="R22" i="6"/>
  <c r="R39" i="6" s="1"/>
  <c r="AA129" i="7" s="1"/>
  <c r="AA42" i="7"/>
  <c r="R28" i="6"/>
  <c r="R45" i="6" s="1"/>
  <c r="AA135" i="7" s="1"/>
  <c r="AA48" i="7"/>
  <c r="AB7" i="7"/>
  <c r="AC23" i="7"/>
  <c r="AG120" i="8"/>
  <c r="AG102" i="8" s="1"/>
  <c r="AC78" i="7"/>
  <c r="AC94" i="7"/>
  <c r="AB15" i="7"/>
  <c r="AG128" i="8"/>
  <c r="AG110" i="8" s="1"/>
  <c r="AI55" i="8"/>
  <c r="AC81" i="7"/>
  <c r="AC4" i="7"/>
  <c r="AD20" i="7"/>
  <c r="Y90" i="7"/>
  <c r="Y74" i="7"/>
  <c r="R27" i="6"/>
  <c r="AA47" i="7"/>
  <c r="R26" i="6"/>
  <c r="R43" i="6" s="1"/>
  <c r="AA133" i="7" s="1"/>
  <c r="AA46" i="7"/>
  <c r="R32" i="6"/>
  <c r="R49" i="6" s="1"/>
  <c r="AA139" i="7" s="1"/>
  <c r="AA52" i="7"/>
  <c r="AF102" i="8"/>
  <c r="AF86" i="8" s="1"/>
  <c r="AC79" i="7"/>
  <c r="AC95" i="7"/>
  <c r="AH43" i="8"/>
  <c r="R21" i="6"/>
  <c r="R38" i="6" s="1"/>
  <c r="AA128" i="7" s="1"/>
  <c r="AA41" i="7"/>
  <c r="R31" i="6"/>
  <c r="R48" i="6" s="1"/>
  <c r="AA138" i="7" s="1"/>
  <c r="AA51" i="7"/>
  <c r="AF110" i="8"/>
  <c r="AD25" i="7"/>
  <c r="AH51" i="8"/>
  <c r="AC82" i="7"/>
  <c r="AC98" i="7"/>
  <c r="AH158" i="8"/>
  <c r="AC77" i="7"/>
  <c r="AA43" i="7"/>
  <c r="AF223" i="7"/>
  <c r="AI10" i="8"/>
  <c r="AE232" i="7"/>
  <c r="AH19" i="8"/>
  <c r="AI27" i="8"/>
  <c r="AE224" i="7" s="1"/>
  <c r="AH11" i="8"/>
  <c r="V49" i="3"/>
  <c r="V81" i="6" s="1"/>
  <c r="AD101" i="7"/>
  <c r="V40" i="3"/>
  <c r="AI44" i="3"/>
  <c r="V52" i="3"/>
  <c r="V39" i="3"/>
  <c r="V71" i="6" s="1"/>
  <c r="AD91" i="7"/>
  <c r="W45" i="3"/>
  <c r="W50" i="3"/>
  <c r="W82" i="6" s="1"/>
  <c r="W43" i="3"/>
  <c r="W75" i="6" s="1"/>
  <c r="W42" i="3"/>
  <c r="W46" i="3"/>
  <c r="W78" i="6" s="1"/>
  <c r="V47" i="3"/>
  <c r="W51" i="3"/>
  <c r="W83" i="6" s="1"/>
  <c r="W48" i="3"/>
  <c r="W80" i="6" s="1"/>
  <c r="V41" i="3"/>
  <c r="W38" i="3"/>
  <c r="AI61" i="8"/>
  <c r="AH121" i="8"/>
  <c r="AD8" i="7" s="1"/>
  <c r="AG103" i="8"/>
  <c r="AG99" i="8"/>
  <c r="AD6" i="7"/>
  <c r="AG101" i="8"/>
  <c r="AG72" i="8"/>
  <c r="AH58" i="8"/>
  <c r="AE227" i="7"/>
  <c r="AH14" i="8"/>
  <c r="AH125" i="8"/>
  <c r="AD12" i="7" s="1"/>
  <c r="AG107" i="8"/>
  <c r="AE226" i="7"/>
  <c r="AH13" i="8"/>
  <c r="AH122" i="8"/>
  <c r="AD9" i="7" s="1"/>
  <c r="AG104" i="8"/>
  <c r="AF231" i="7"/>
  <c r="AI18" i="8"/>
  <c r="AC170" i="8"/>
  <c r="AD155" i="8"/>
  <c r="AC208" i="8"/>
  <c r="AG38" i="8"/>
  <c r="AG8" i="8"/>
  <c r="AF213" i="8"/>
  <c r="AL302" i="8"/>
  <c r="AH123" i="8"/>
  <c r="AG105" i="8"/>
  <c r="AD3" i="7"/>
  <c r="AG98" i="8"/>
  <c r="AJ301" i="8"/>
  <c r="AF219" i="8"/>
  <c r="AE222" i="7"/>
  <c r="AH9" i="8"/>
  <c r="AF225" i="7"/>
  <c r="AI12" i="8"/>
  <c r="AH277" i="8"/>
  <c r="AH276" i="8"/>
  <c r="AI294" i="8"/>
  <c r="AI322" i="8" s="1"/>
  <c r="AH278" i="8"/>
  <c r="AH282" i="8"/>
  <c r="AH299" i="8" s="1"/>
  <c r="AH17" i="8"/>
  <c r="AE230" i="7"/>
  <c r="AF215" i="8"/>
  <c r="AH15" i="8"/>
  <c r="AE228" i="7"/>
  <c r="AG204" i="8"/>
  <c r="U54" i="6"/>
  <c r="AF210" i="8"/>
  <c r="AG106" i="8"/>
  <c r="AH124" i="8"/>
  <c r="AD11" i="7" s="1"/>
  <c r="AH118" i="8"/>
  <c r="AD5" i="7" s="1"/>
  <c r="AG100" i="8"/>
  <c r="AI295" i="8"/>
  <c r="AI323" i="8" s="1"/>
  <c r="AF234" i="7"/>
  <c r="AI21" i="8"/>
  <c r="AG109" i="8"/>
  <c r="AH127" i="8"/>
  <c r="AD14" i="7" s="1"/>
  <c r="AF218" i="8"/>
  <c r="AF216" i="8"/>
  <c r="AH126" i="8"/>
  <c r="AD13" i="7" s="1"/>
  <c r="AG108" i="8"/>
  <c r="AF209" i="8"/>
  <c r="AF211" i="8"/>
  <c r="AF217" i="8"/>
  <c r="AE229" i="7"/>
  <c r="AH16" i="8"/>
  <c r="AF214" i="8"/>
  <c r="AA63" i="7" l="1"/>
  <c r="R44" i="6"/>
  <c r="AA134" i="7" s="1"/>
  <c r="AA64" i="7"/>
  <c r="AA60" i="7"/>
  <c r="AA62" i="7"/>
  <c r="X56" i="7"/>
  <c r="AA57" i="7"/>
  <c r="AA58" i="7"/>
  <c r="AA61" i="7"/>
  <c r="AA66" i="7"/>
  <c r="AA67" i="7"/>
  <c r="AA68" i="7"/>
  <c r="AD10" i="7"/>
  <c r="U10" i="6"/>
  <c r="AI24" i="8"/>
  <c r="AD221" i="7"/>
  <c r="AF233" i="7"/>
  <c r="AJ20" i="8"/>
  <c r="W65" i="6"/>
  <c r="V55" i="6"/>
  <c r="V62" i="6"/>
  <c r="W68" i="6"/>
  <c r="W61" i="6"/>
  <c r="W66" i="6"/>
  <c r="W57" i="6"/>
  <c r="W67" i="6"/>
  <c r="V64" i="6"/>
  <c r="W60" i="6"/>
  <c r="W56" i="6"/>
  <c r="W59" i="6"/>
  <c r="V58" i="6"/>
  <c r="AG83" i="8"/>
  <c r="AG82" i="8"/>
  <c r="AG84" i="8"/>
  <c r="AG85" i="8"/>
  <c r="AG92" i="8"/>
  <c r="AG89" i="8"/>
  <c r="AG88" i="8"/>
  <c r="AG90" i="8"/>
  <c r="AG93" i="8"/>
  <c r="AF94" i="8"/>
  <c r="AG86" i="8"/>
  <c r="AG94" i="8"/>
  <c r="AG91" i="8"/>
  <c r="AG87" i="8"/>
  <c r="AI50" i="8"/>
  <c r="AI47" i="8"/>
  <c r="AI44" i="8"/>
  <c r="AI48" i="8"/>
  <c r="AH42" i="8"/>
  <c r="AH53" i="8"/>
  <c r="AH49" i="8"/>
  <c r="AH46" i="8"/>
  <c r="AI45" i="8"/>
  <c r="AH54" i="8"/>
  <c r="AI52" i="8"/>
  <c r="AG212" i="8"/>
  <c r="T24" i="6" s="1"/>
  <c r="T41" i="6" s="1"/>
  <c r="AC131" i="7" s="1"/>
  <c r="AC253" i="7"/>
  <c r="AF220" i="8"/>
  <c r="AB52" i="7" s="1"/>
  <c r="S31" i="6"/>
  <c r="S48" i="6" s="1"/>
  <c r="AB138" i="7" s="1"/>
  <c r="AB51" i="7"/>
  <c r="P20" i="6"/>
  <c r="P37" i="6" s="1"/>
  <c r="Y127" i="7" s="1"/>
  <c r="Y40" i="7"/>
  <c r="AI158" i="8"/>
  <c r="AE93" i="7" s="1"/>
  <c r="AD77" i="7"/>
  <c r="AE75" i="7"/>
  <c r="AE85" i="7"/>
  <c r="AB49" i="7"/>
  <c r="Z90" i="7"/>
  <c r="Z74" i="7"/>
  <c r="AI43" i="8"/>
  <c r="AE99" i="7"/>
  <c r="AD83" i="7"/>
  <c r="AJ236" i="8"/>
  <c r="AE235" i="7"/>
  <c r="AE92" i="7"/>
  <c r="AD76" i="7"/>
  <c r="AE28" i="7"/>
  <c r="S28" i="6"/>
  <c r="S45" i="6" s="1"/>
  <c r="AB135" i="7" s="1"/>
  <c r="AB48" i="7"/>
  <c r="S22" i="6"/>
  <c r="S39" i="6" s="1"/>
  <c r="AB129" i="7" s="1"/>
  <c r="AB42" i="7"/>
  <c r="S27" i="6"/>
  <c r="AB47" i="7"/>
  <c r="AD82" i="7"/>
  <c r="AD98" i="7"/>
  <c r="AD78" i="7"/>
  <c r="AD94" i="7"/>
  <c r="AF103" i="7"/>
  <c r="AE87" i="7"/>
  <c r="AD84" i="7"/>
  <c r="AD100" i="7"/>
  <c r="W3" i="6"/>
  <c r="AF19" i="7"/>
  <c r="S25" i="6"/>
  <c r="S42" i="6" s="1"/>
  <c r="AB132" i="7" s="1"/>
  <c r="AB45" i="7"/>
  <c r="AD4" i="7"/>
  <c r="AE20" i="7"/>
  <c r="AE25" i="7"/>
  <c r="AI51" i="8"/>
  <c r="AJ55" i="8"/>
  <c r="AC7" i="7"/>
  <c r="AD23" i="7"/>
  <c r="AH120" i="8"/>
  <c r="AH102" i="8" s="1"/>
  <c r="AE104" i="7"/>
  <c r="AD88" i="7"/>
  <c r="AG22" i="7"/>
  <c r="AD80" i="7"/>
  <c r="AD96" i="7"/>
  <c r="S21" i="6"/>
  <c r="S38" i="6" s="1"/>
  <c r="AB128" i="7" s="1"/>
  <c r="AB41" i="7"/>
  <c r="AE26" i="7"/>
  <c r="S30" i="6"/>
  <c r="S47" i="6" s="1"/>
  <c r="AB137" i="7" s="1"/>
  <c r="AB50" i="7"/>
  <c r="S26" i="6"/>
  <c r="S43" i="6" s="1"/>
  <c r="AB133" i="7" s="1"/>
  <c r="AB46" i="7"/>
  <c r="AD93" i="7"/>
  <c r="AE29" i="7"/>
  <c r="AD79" i="7"/>
  <c r="AD95" i="7"/>
  <c r="AD81" i="7"/>
  <c r="AE24" i="7"/>
  <c r="AF212" i="8"/>
  <c r="AC15" i="7"/>
  <c r="AH128" i="8"/>
  <c r="AH110" i="8" s="1"/>
  <c r="AD86" i="7"/>
  <c r="AD102" i="7"/>
  <c r="AB43" i="7"/>
  <c r="AG220" i="8"/>
  <c r="AJ27" i="8"/>
  <c r="AF224" i="7" s="1"/>
  <c r="AI11" i="8"/>
  <c r="AI19" i="8"/>
  <c r="AF232" i="7"/>
  <c r="AJ10" i="8"/>
  <c r="AG223" i="7"/>
  <c r="W52" i="3"/>
  <c r="X43" i="3"/>
  <c r="X75" i="6" s="1"/>
  <c r="X50" i="3"/>
  <c r="X82" i="6" s="1"/>
  <c r="X45" i="3"/>
  <c r="X51" i="3"/>
  <c r="X83" i="6" s="1"/>
  <c r="X38" i="3"/>
  <c r="AJ44" i="3"/>
  <c r="W47" i="3"/>
  <c r="W41" i="3"/>
  <c r="X46" i="3"/>
  <c r="X78" i="6" s="1"/>
  <c r="W40" i="3"/>
  <c r="X48" i="3"/>
  <c r="X80" i="6" s="1"/>
  <c r="X42" i="3"/>
  <c r="W39" i="3"/>
  <c r="W71" i="6" s="1"/>
  <c r="AE91" i="7"/>
  <c r="W49" i="3"/>
  <c r="W81" i="6" s="1"/>
  <c r="AE101" i="7"/>
  <c r="AI123" i="8"/>
  <c r="AH105" i="8"/>
  <c r="AI14" i="8"/>
  <c r="AF227" i="7"/>
  <c r="AG213" i="8"/>
  <c r="AG218" i="8"/>
  <c r="AH72" i="8"/>
  <c r="AI58" i="8"/>
  <c r="AH103" i="8"/>
  <c r="AI121" i="8"/>
  <c r="AE8" i="7" s="1"/>
  <c r="AJ61" i="8"/>
  <c r="AI126" i="8"/>
  <c r="AE13" i="7" s="1"/>
  <c r="AH108" i="8"/>
  <c r="AG210" i="8"/>
  <c r="AM302" i="8"/>
  <c r="AF222" i="7"/>
  <c r="AI9" i="8"/>
  <c r="AI13" i="8"/>
  <c r="AF226" i="7"/>
  <c r="AG211" i="8"/>
  <c r="AI46" i="8"/>
  <c r="AE155" i="8"/>
  <c r="AD170" i="8"/>
  <c r="AD208" i="8"/>
  <c r="AG225" i="7"/>
  <c r="AJ12" i="8"/>
  <c r="AI118" i="8"/>
  <c r="AE5" i="7" s="1"/>
  <c r="AH100" i="8"/>
  <c r="AH109" i="8"/>
  <c r="AI127" i="8"/>
  <c r="AE14" i="7" s="1"/>
  <c r="AH204" i="8"/>
  <c r="V54" i="6"/>
  <c r="AG219" i="8"/>
  <c r="AE6" i="7"/>
  <c r="AH101" i="8"/>
  <c r="AH106" i="8"/>
  <c r="AI124" i="8"/>
  <c r="AE11" i="7" s="1"/>
  <c r="AI15" i="8"/>
  <c r="AF228" i="7"/>
  <c r="AF230" i="7"/>
  <c r="AI17" i="8"/>
  <c r="AI277" i="8"/>
  <c r="AI282" i="8"/>
  <c r="AI299" i="8" s="1"/>
  <c r="AI276" i="8"/>
  <c r="AI278" i="8"/>
  <c r="AE3" i="7"/>
  <c r="AH98" i="8"/>
  <c r="AH8" i="8"/>
  <c r="AH38" i="8"/>
  <c r="AG231" i="7"/>
  <c r="AJ18" i="8"/>
  <c r="AG214" i="8"/>
  <c r="AI125" i="8"/>
  <c r="AE12" i="7" s="1"/>
  <c r="AH107" i="8"/>
  <c r="AG209" i="8"/>
  <c r="AG234" i="7"/>
  <c r="AJ21" i="8"/>
  <c r="AG217" i="8"/>
  <c r="AI16" i="8"/>
  <c r="AF229" i="7"/>
  <c r="AJ295" i="8"/>
  <c r="AJ323" i="8" s="1"/>
  <c r="AG216" i="8"/>
  <c r="AK301" i="8"/>
  <c r="AG215" i="8"/>
  <c r="AI122" i="8"/>
  <c r="AE9" i="7" s="1"/>
  <c r="AH104" i="8"/>
  <c r="AH99" i="8"/>
  <c r="AB63" i="7" l="1"/>
  <c r="S44" i="6"/>
  <c r="AB134" i="7" s="1"/>
  <c r="AB62" i="7"/>
  <c r="AB58" i="7"/>
  <c r="AC60" i="7"/>
  <c r="AB66" i="7"/>
  <c r="AB61" i="7"/>
  <c r="AB64" i="7"/>
  <c r="AB57" i="7"/>
  <c r="Y56" i="7"/>
  <c r="AB67" i="7"/>
  <c r="AE10" i="7"/>
  <c r="V10" i="6"/>
  <c r="AF26" i="7" s="1"/>
  <c r="AG233" i="7"/>
  <c r="AK20" i="8"/>
  <c r="AJ24" i="8"/>
  <c r="AE221" i="7"/>
  <c r="X59" i="6"/>
  <c r="X67" i="6"/>
  <c r="X68" i="6"/>
  <c r="X56" i="6"/>
  <c r="X57" i="6"/>
  <c r="W62" i="6"/>
  <c r="X60" i="6"/>
  <c r="X66" i="6"/>
  <c r="W55" i="6"/>
  <c r="W58" i="6"/>
  <c r="W64" i="6"/>
  <c r="X61" i="6"/>
  <c r="X65" i="6"/>
  <c r="AH84" i="8"/>
  <c r="AH85" i="8"/>
  <c r="AH83" i="8"/>
  <c r="AH82" i="8"/>
  <c r="AH90" i="8"/>
  <c r="AH87" i="8"/>
  <c r="AH89" i="8"/>
  <c r="AH88" i="8"/>
  <c r="AH93" i="8"/>
  <c r="AH86" i="8"/>
  <c r="AH91" i="8"/>
  <c r="AH92" i="8"/>
  <c r="AH94" i="8"/>
  <c r="AC44" i="7"/>
  <c r="AI53" i="8"/>
  <c r="AJ44" i="8"/>
  <c r="AJ50" i="8"/>
  <c r="AJ45" i="8"/>
  <c r="AI49" i="8"/>
  <c r="AI42" i="8"/>
  <c r="AJ48" i="8"/>
  <c r="AJ47" i="8"/>
  <c r="AI54" i="8"/>
  <c r="AJ52" i="8"/>
  <c r="AD253" i="7"/>
  <c r="S32" i="6"/>
  <c r="S49" i="6" s="1"/>
  <c r="AB139" i="7" s="1"/>
  <c r="AF24" i="7"/>
  <c r="Q20" i="6"/>
  <c r="Q37" i="6" s="1"/>
  <c r="Z127" i="7" s="1"/>
  <c r="Z40" i="7"/>
  <c r="T26" i="6"/>
  <c r="T43" i="6" s="1"/>
  <c r="AC133" i="7" s="1"/>
  <c r="AC46" i="7"/>
  <c r="AF104" i="7"/>
  <c r="AE88" i="7"/>
  <c r="AF92" i="7"/>
  <c r="AE76" i="7"/>
  <c r="AJ158" i="8"/>
  <c r="AF93" i="7" s="1"/>
  <c r="AE77" i="7"/>
  <c r="T27" i="6"/>
  <c r="AC47" i="7"/>
  <c r="AA90" i="7"/>
  <c r="AA74" i="7"/>
  <c r="T22" i="6"/>
  <c r="T39" i="6" s="1"/>
  <c r="AC129" i="7" s="1"/>
  <c r="AC42" i="7"/>
  <c r="AE81" i="7"/>
  <c r="AD7" i="7"/>
  <c r="AE23" i="7"/>
  <c r="AI120" i="8"/>
  <c r="AI102" i="8" s="1"/>
  <c r="AI86" i="8" s="1"/>
  <c r="AE84" i="7"/>
  <c r="AE100" i="7"/>
  <c r="AJ43" i="8"/>
  <c r="AF85" i="7"/>
  <c r="AF25" i="7"/>
  <c r="AE80" i="7"/>
  <c r="AE96" i="7"/>
  <c r="AJ51" i="8"/>
  <c r="AE78" i="7"/>
  <c r="AE94" i="7"/>
  <c r="T30" i="6"/>
  <c r="T47" i="6" s="1"/>
  <c r="AC137" i="7" s="1"/>
  <c r="AC50" i="7"/>
  <c r="T28" i="6"/>
  <c r="T45" i="6" s="1"/>
  <c r="AC135" i="7" s="1"/>
  <c r="AC48" i="7"/>
  <c r="AE86" i="7"/>
  <c r="AE102" i="7"/>
  <c r="AG103" i="7"/>
  <c r="AF87" i="7"/>
  <c r="AF99" i="7"/>
  <c r="AE83" i="7"/>
  <c r="AF75" i="7"/>
  <c r="S24" i="6"/>
  <c r="S41" i="6" s="1"/>
  <c r="AB131" i="7" s="1"/>
  <c r="AB44" i="7"/>
  <c r="AE82" i="7"/>
  <c r="AE98" i="7"/>
  <c r="AE4" i="7"/>
  <c r="AF20" i="7"/>
  <c r="T21" i="6"/>
  <c r="T38" i="6" s="1"/>
  <c r="AC128" i="7" s="1"/>
  <c r="AC41" i="7"/>
  <c r="T31" i="6"/>
  <c r="T48" i="6" s="1"/>
  <c r="AC138" i="7" s="1"/>
  <c r="AC51" i="7"/>
  <c r="T25" i="6"/>
  <c r="T42" i="6" s="1"/>
  <c r="AC132" i="7" s="1"/>
  <c r="AC45" i="7"/>
  <c r="T32" i="6"/>
  <c r="T49" i="6" s="1"/>
  <c r="AC139" i="7" s="1"/>
  <c r="AC52" i="7"/>
  <c r="AF29" i="7"/>
  <c r="AE79" i="7"/>
  <c r="AE95" i="7"/>
  <c r="AF28" i="7"/>
  <c r="AK236" i="8"/>
  <c r="AF235" i="7"/>
  <c r="AC49" i="7"/>
  <c r="AD15" i="7"/>
  <c r="AI128" i="8"/>
  <c r="AI110" i="8" s="1"/>
  <c r="AK55" i="8"/>
  <c r="AH22" i="7"/>
  <c r="X3" i="6"/>
  <c r="AG19" i="7"/>
  <c r="AC43" i="7"/>
  <c r="AH220" i="8"/>
  <c r="AK10" i="8"/>
  <c r="AH223" i="7"/>
  <c r="AJ19" i="8"/>
  <c r="AG232" i="7"/>
  <c r="AJ11" i="8"/>
  <c r="AK27" i="8"/>
  <c r="AG224" i="7" s="1"/>
  <c r="AK44" i="3"/>
  <c r="Y48" i="3"/>
  <c r="Y80" i="6" s="1"/>
  <c r="Y38" i="3"/>
  <c r="Y45" i="3"/>
  <c r="X40" i="3"/>
  <c r="Y46" i="3"/>
  <c r="Y78" i="6" s="1"/>
  <c r="X47" i="3"/>
  <c r="X49" i="3"/>
  <c r="X81" i="6" s="1"/>
  <c r="AF101" i="7"/>
  <c r="Y50" i="3"/>
  <c r="Y82" i="6" s="1"/>
  <c r="X39" i="3"/>
  <c r="X71" i="6" s="1"/>
  <c r="AF91" i="7"/>
  <c r="Y43" i="3"/>
  <c r="Y75" i="6" s="1"/>
  <c r="Y42" i="3"/>
  <c r="X41" i="3"/>
  <c r="Y51" i="3"/>
  <c r="Y83" i="6" s="1"/>
  <c r="X52" i="3"/>
  <c r="AJ124" i="8"/>
  <c r="AF11" i="7" s="1"/>
  <c r="AI106" i="8"/>
  <c r="AH219" i="8"/>
  <c r="AJ13" i="8"/>
  <c r="AG226" i="7"/>
  <c r="AI103" i="8"/>
  <c r="AJ121" i="8"/>
  <c r="AF8" i="7" s="1"/>
  <c r="AJ282" i="8"/>
  <c r="AJ276" i="8"/>
  <c r="AK294" i="8"/>
  <c r="AK322" i="8" s="1"/>
  <c r="AJ278" i="8"/>
  <c r="AJ277" i="8"/>
  <c r="AH216" i="8"/>
  <c r="AH211" i="8"/>
  <c r="AH210" i="8"/>
  <c r="AF155" i="8"/>
  <c r="AE170" i="8"/>
  <c r="AE208" i="8"/>
  <c r="AN302" i="8"/>
  <c r="AH213" i="8"/>
  <c r="AJ14" i="8"/>
  <c r="AG227" i="7"/>
  <c r="AH225" i="7"/>
  <c r="AK12" i="8"/>
  <c r="AJ126" i="8"/>
  <c r="AF13" i="7" s="1"/>
  <c r="AI108" i="8"/>
  <c r="AI101" i="8"/>
  <c r="AF6" i="7"/>
  <c r="AH217" i="8"/>
  <c r="AH209" i="8"/>
  <c r="AJ294" i="8"/>
  <c r="AJ322" i="8" s="1"/>
  <c r="AG229" i="7"/>
  <c r="AJ16" i="8"/>
  <c r="AH212" i="8"/>
  <c r="AI107" i="8"/>
  <c r="AJ125" i="8"/>
  <c r="AF12" i="7" s="1"/>
  <c r="AG230" i="7"/>
  <c r="AJ17" i="8"/>
  <c r="AJ118" i="8"/>
  <c r="AF5" i="7" s="1"/>
  <c r="AI100" i="8"/>
  <c r="AJ46" i="8"/>
  <c r="AK61" i="8"/>
  <c r="AH214" i="8"/>
  <c r="AI104" i="8"/>
  <c r="AJ122" i="8"/>
  <c r="AF9" i="7" s="1"/>
  <c r="AH218" i="8"/>
  <c r="AK295" i="8"/>
  <c r="AK323" i="8" s="1"/>
  <c r="AI38" i="8"/>
  <c r="AI8" i="8"/>
  <c r="AK21" i="8"/>
  <c r="AH234" i="7"/>
  <c r="AI99" i="8"/>
  <c r="AL301" i="8"/>
  <c r="AF3" i="7"/>
  <c r="AI98" i="8"/>
  <c r="AJ15" i="8"/>
  <c r="AG228" i="7"/>
  <c r="AI204" i="8"/>
  <c r="W54" i="6"/>
  <c r="AH215" i="8"/>
  <c r="AJ58" i="8"/>
  <c r="AI72" i="8"/>
  <c r="AJ123" i="8"/>
  <c r="AI105" i="8"/>
  <c r="AJ127" i="8"/>
  <c r="AF14" i="7" s="1"/>
  <c r="AI109" i="8"/>
  <c r="AG222" i="7"/>
  <c r="AJ9" i="8"/>
  <c r="AH231" i="7"/>
  <c r="AK18" i="8"/>
  <c r="AC63" i="7" l="1"/>
  <c r="T44" i="6"/>
  <c r="AC134" i="7" s="1"/>
  <c r="AC67" i="7"/>
  <c r="AC62" i="7"/>
  <c r="AC57" i="7"/>
  <c r="AC64" i="7"/>
  <c r="Z56" i="7"/>
  <c r="AC68" i="7"/>
  <c r="AC66" i="7"/>
  <c r="AC58" i="7"/>
  <c r="AB68" i="7"/>
  <c r="AB60" i="7"/>
  <c r="AC61" i="7"/>
  <c r="AF10" i="7"/>
  <c r="W10" i="6"/>
  <c r="AG26" i="7" s="1"/>
  <c r="AK24" i="8"/>
  <c r="AF221" i="7"/>
  <c r="AH233" i="7"/>
  <c r="AL20" i="8"/>
  <c r="X64" i="6"/>
  <c r="Y60" i="6"/>
  <c r="Y56" i="6"/>
  <c r="X58" i="6"/>
  <c r="Y68" i="6"/>
  <c r="Y65" i="6"/>
  <c r="X55" i="6"/>
  <c r="X62" i="6"/>
  <c r="Y67" i="6"/>
  <c r="Y61" i="6"/>
  <c r="Y66" i="6"/>
  <c r="Y57" i="6"/>
  <c r="Y59" i="6"/>
  <c r="AI84" i="8"/>
  <c r="AI83" i="8"/>
  <c r="AI82" i="8"/>
  <c r="AI85" i="8"/>
  <c r="AI87" i="8"/>
  <c r="AI94" i="8"/>
  <c r="AI91" i="8"/>
  <c r="AI92" i="8"/>
  <c r="AI89" i="8"/>
  <c r="AI88" i="8"/>
  <c r="AI93" i="8"/>
  <c r="AI90" i="8"/>
  <c r="AJ53" i="8"/>
  <c r="AK45" i="8"/>
  <c r="AK50" i="8"/>
  <c r="AK44" i="8"/>
  <c r="AK47" i="8"/>
  <c r="AJ42" i="8"/>
  <c r="AJ49" i="8"/>
  <c r="AK48" i="8"/>
  <c r="AJ54" i="8"/>
  <c r="AK52" i="8"/>
  <c r="AE253" i="7"/>
  <c r="AI212" i="8"/>
  <c r="AE44" i="7" s="1"/>
  <c r="U26" i="6"/>
  <c r="U43" i="6" s="1"/>
  <c r="AD133" i="7" s="1"/>
  <c r="AD46" i="7"/>
  <c r="AD49" i="7"/>
  <c r="R20" i="6"/>
  <c r="R37" i="6" s="1"/>
  <c r="AA127" i="7" s="1"/>
  <c r="AA40" i="7"/>
  <c r="AG25" i="7"/>
  <c r="AF82" i="7"/>
  <c r="AF98" i="7"/>
  <c r="AG85" i="7"/>
  <c r="AF81" i="7"/>
  <c r="AK158" i="8"/>
  <c r="AG93" i="7" s="1"/>
  <c r="AF77" i="7"/>
  <c r="AF78" i="7"/>
  <c r="AF94" i="7"/>
  <c r="AF80" i="7"/>
  <c r="AF96" i="7"/>
  <c r="AB90" i="7"/>
  <c r="AB74" i="7"/>
  <c r="U28" i="6"/>
  <c r="U45" i="6" s="1"/>
  <c r="AD135" i="7" s="1"/>
  <c r="AD48" i="7"/>
  <c r="AG29" i="7"/>
  <c r="AI22" i="7"/>
  <c r="AL55" i="8"/>
  <c r="AH103" i="7"/>
  <c r="AG87" i="7"/>
  <c r="AK43" i="8"/>
  <c r="AF84" i="7"/>
  <c r="AF100" i="7"/>
  <c r="AF76" i="7"/>
  <c r="U24" i="6"/>
  <c r="U41" i="6" s="1"/>
  <c r="AD131" i="7" s="1"/>
  <c r="AD44" i="7"/>
  <c r="AE7" i="7"/>
  <c r="AF23" i="7"/>
  <c r="AJ120" i="8"/>
  <c r="AJ102" i="8" s="1"/>
  <c r="AF4" i="7"/>
  <c r="AG20" i="7"/>
  <c r="U30" i="6"/>
  <c r="U47" i="6" s="1"/>
  <c r="AD137" i="7" s="1"/>
  <c r="AD50" i="7"/>
  <c r="U25" i="6"/>
  <c r="U42" i="6" s="1"/>
  <c r="AD132" i="7" s="1"/>
  <c r="AD45" i="7"/>
  <c r="U22" i="6"/>
  <c r="U39" i="6" s="1"/>
  <c r="AD129" i="7" s="1"/>
  <c r="AD42" i="7"/>
  <c r="U31" i="6"/>
  <c r="U48" i="6" s="1"/>
  <c r="AD138" i="7" s="1"/>
  <c r="AD51" i="7"/>
  <c r="U32" i="6"/>
  <c r="U49" i="6" s="1"/>
  <c r="AD139" i="7" s="1"/>
  <c r="AD52" i="7"/>
  <c r="AG75" i="7"/>
  <c r="AF88" i="7"/>
  <c r="U27" i="6"/>
  <c r="AD47" i="7"/>
  <c r="AE15" i="7"/>
  <c r="AJ128" i="8"/>
  <c r="AJ110" i="8" s="1"/>
  <c r="AF79" i="7"/>
  <c r="AF95" i="7"/>
  <c r="AK51" i="8"/>
  <c r="U21" i="6"/>
  <c r="U38" i="6" s="1"/>
  <c r="AD128" i="7" s="1"/>
  <c r="AD41" i="7"/>
  <c r="Y3" i="6"/>
  <c r="AH19" i="7"/>
  <c r="AG99" i="7"/>
  <c r="AF83" i="7"/>
  <c r="AF86" i="7"/>
  <c r="AF102" i="7"/>
  <c r="AG28" i="7"/>
  <c r="AL236" i="8"/>
  <c r="AG235" i="7"/>
  <c r="AG24" i="7"/>
  <c r="AD43" i="7"/>
  <c r="AI220" i="8"/>
  <c r="AK11" i="8"/>
  <c r="AL27" i="8"/>
  <c r="AH224" i="7" s="1"/>
  <c r="AK19" i="8"/>
  <c r="AH232" i="7"/>
  <c r="AI223" i="7"/>
  <c r="AL10" i="8"/>
  <c r="Z42" i="3"/>
  <c r="Y49" i="3"/>
  <c r="Y81" i="6" s="1"/>
  <c r="AG101" i="7"/>
  <c r="Z45" i="3"/>
  <c r="Y52" i="3"/>
  <c r="Y47" i="3"/>
  <c r="Z51" i="3"/>
  <c r="Z83" i="6" s="1"/>
  <c r="Y39" i="3"/>
  <c r="Y71" i="6" s="1"/>
  <c r="AG91" i="7"/>
  <c r="Z46" i="3"/>
  <c r="Z78" i="6" s="1"/>
  <c r="Z48" i="3"/>
  <c r="Z80" i="6" s="1"/>
  <c r="Z38" i="3"/>
  <c r="Z43" i="3"/>
  <c r="Z75" i="6" s="1"/>
  <c r="Y41" i="3"/>
  <c r="Z50" i="3"/>
  <c r="Z82" i="6" s="1"/>
  <c r="Y40" i="3"/>
  <c r="AL44" i="3"/>
  <c r="AK127" i="8"/>
  <c r="AG14" i="7" s="1"/>
  <c r="AJ109" i="8"/>
  <c r="AJ204" i="8"/>
  <c r="X54" i="6"/>
  <c r="AG3" i="7"/>
  <c r="AJ98" i="8"/>
  <c r="AK122" i="8"/>
  <c r="AG9" i="7" s="1"/>
  <c r="AJ104" i="8"/>
  <c r="AG6" i="7"/>
  <c r="AJ101" i="8"/>
  <c r="AK14" i="8"/>
  <c r="AH227" i="7"/>
  <c r="AG155" i="8"/>
  <c r="AF170" i="8"/>
  <c r="AF208" i="8"/>
  <c r="AI215" i="8"/>
  <c r="AI211" i="8"/>
  <c r="AI209" i="8"/>
  <c r="AI218" i="8"/>
  <c r="AJ103" i="8"/>
  <c r="AK121" i="8"/>
  <c r="AG8" i="7" s="1"/>
  <c r="AI216" i="8"/>
  <c r="AK58" i="8"/>
  <c r="AJ72" i="8"/>
  <c r="AH230" i="7"/>
  <c r="AK17" i="8"/>
  <c r="AL295" i="8"/>
  <c r="AL323" i="8" s="1"/>
  <c r="AJ99" i="8"/>
  <c r="AL21" i="8"/>
  <c r="AI234" i="7"/>
  <c r="AK46" i="8"/>
  <c r="AK126" i="8"/>
  <c r="AG13" i="7" s="1"/>
  <c r="AJ108" i="8"/>
  <c r="AK282" i="8"/>
  <c r="AK299" i="8" s="1"/>
  <c r="AK278" i="8"/>
  <c r="AL294" i="8"/>
  <c r="AL322" i="8" s="1"/>
  <c r="AK277" i="8"/>
  <c r="AK276" i="8"/>
  <c r="AI213" i="8"/>
  <c r="AK124" i="8"/>
  <c r="AG11" i="7" s="1"/>
  <c r="AJ106" i="8"/>
  <c r="AM301" i="8"/>
  <c r="AL61" i="8"/>
  <c r="AK16" i="8"/>
  <c r="AH229" i="7"/>
  <c r="AK123" i="8"/>
  <c r="AJ105" i="8"/>
  <c r="AH228" i="7"/>
  <c r="AK15" i="8"/>
  <c r="AJ107" i="8"/>
  <c r="AK125" i="8"/>
  <c r="AG12" i="7" s="1"/>
  <c r="AH222" i="7"/>
  <c r="AK9" i="8"/>
  <c r="AI210" i="8"/>
  <c r="AI217" i="8"/>
  <c r="AO302" i="8"/>
  <c r="AH226" i="7"/>
  <c r="AK13" i="8"/>
  <c r="AI214" i="8"/>
  <c r="AI231" i="7"/>
  <c r="AL18" i="8"/>
  <c r="AI219" i="8"/>
  <c r="AJ38" i="8"/>
  <c r="AJ8" i="8"/>
  <c r="AK118" i="8"/>
  <c r="AG5" i="7" s="1"/>
  <c r="AJ100" i="8"/>
  <c r="AI225" i="7"/>
  <c r="AL12" i="8"/>
  <c r="AJ299" i="8"/>
  <c r="AD63" i="7" l="1"/>
  <c r="U44" i="6"/>
  <c r="AD134" i="7" s="1"/>
  <c r="AD67" i="7"/>
  <c r="AD64" i="7"/>
  <c r="AD58" i="7"/>
  <c r="AD62" i="7"/>
  <c r="AD61" i="7"/>
  <c r="AD60" i="7"/>
  <c r="AD57" i="7"/>
  <c r="AD68" i="7"/>
  <c r="AD66" i="7"/>
  <c r="AA56" i="7"/>
  <c r="AG10" i="7"/>
  <c r="X10" i="6"/>
  <c r="AH26" i="7" s="1"/>
  <c r="AI233" i="7"/>
  <c r="AM20" i="8"/>
  <c r="AL24" i="8"/>
  <c r="AG221" i="7"/>
  <c r="Z66" i="6"/>
  <c r="Y55" i="6"/>
  <c r="Y58" i="6"/>
  <c r="Z61" i="6"/>
  <c r="Z65" i="6"/>
  <c r="Z56" i="6"/>
  <c r="Z59" i="6"/>
  <c r="Z67" i="6"/>
  <c r="Z68" i="6"/>
  <c r="Z60" i="6"/>
  <c r="Z57" i="6"/>
  <c r="Y62" i="6"/>
  <c r="Y64" i="6"/>
  <c r="AJ84" i="8"/>
  <c r="AJ85" i="8"/>
  <c r="AJ83" i="8"/>
  <c r="AJ82" i="8"/>
  <c r="AJ93" i="8"/>
  <c r="AJ88" i="8"/>
  <c r="AJ94" i="8"/>
  <c r="AJ87" i="8"/>
  <c r="AJ89" i="8"/>
  <c r="AJ91" i="8"/>
  <c r="AJ86" i="8"/>
  <c r="AJ90" i="8"/>
  <c r="AJ92" i="8"/>
  <c r="AG104" i="7"/>
  <c r="V24" i="6"/>
  <c r="V41" i="6" s="1"/>
  <c r="AE131" i="7" s="1"/>
  <c r="AL45" i="8"/>
  <c r="AL44" i="8"/>
  <c r="AK42" i="8"/>
  <c r="AL48" i="8"/>
  <c r="AL47" i="8"/>
  <c r="AK49" i="8"/>
  <c r="AK53" i="8"/>
  <c r="AL50" i="8"/>
  <c r="AK54" i="8"/>
  <c r="AL52" i="8"/>
  <c r="AF253" i="7"/>
  <c r="AC90" i="7"/>
  <c r="AC74" i="7"/>
  <c r="AH99" i="7"/>
  <c r="AG83" i="7"/>
  <c r="AL51" i="8"/>
  <c r="AF15" i="7"/>
  <c r="AK128" i="8"/>
  <c r="AK110" i="8" s="1"/>
  <c r="V21" i="6"/>
  <c r="V38" i="6" s="1"/>
  <c r="AE128" i="7" s="1"/>
  <c r="AE41" i="7"/>
  <c r="AH75" i="7"/>
  <c r="AL43" i="8"/>
  <c r="AH92" i="7"/>
  <c r="AG76" i="7"/>
  <c r="AG78" i="7"/>
  <c r="AG94" i="7"/>
  <c r="AL158" i="8"/>
  <c r="AH93" i="7" s="1"/>
  <c r="AG77" i="7"/>
  <c r="V22" i="6"/>
  <c r="V39" i="6" s="1"/>
  <c r="AE129" i="7" s="1"/>
  <c r="AE42" i="7"/>
  <c r="V25" i="6"/>
  <c r="V42" i="6" s="1"/>
  <c r="AE132" i="7" s="1"/>
  <c r="AE45" i="7"/>
  <c r="AM55" i="8"/>
  <c r="V30" i="6"/>
  <c r="V47" i="6" s="1"/>
  <c r="AE137" i="7" s="1"/>
  <c r="AE50" i="7"/>
  <c r="AJ212" i="8"/>
  <c r="AH25" i="7"/>
  <c r="AG82" i="7"/>
  <c r="AG98" i="7"/>
  <c r="V28" i="6"/>
  <c r="V45" i="6" s="1"/>
  <c r="AE135" i="7" s="1"/>
  <c r="AE48" i="7"/>
  <c r="V26" i="6"/>
  <c r="V43" i="6" s="1"/>
  <c r="AE133" i="7" s="1"/>
  <c r="AE46" i="7"/>
  <c r="V27" i="6"/>
  <c r="AE47" i="7"/>
  <c r="AM236" i="8"/>
  <c r="AH235" i="7"/>
  <c r="Z3" i="6"/>
  <c r="AI19" i="7"/>
  <c r="AG81" i="7"/>
  <c r="AH28" i="7"/>
  <c r="AE49" i="7"/>
  <c r="S20" i="6"/>
  <c r="S37" i="6" s="1"/>
  <c r="AB127" i="7" s="1"/>
  <c r="AB40" i="7"/>
  <c r="V32" i="6"/>
  <c r="V49" i="6" s="1"/>
  <c r="AE139" i="7" s="1"/>
  <c r="AE52" i="7"/>
  <c r="AH29" i="7"/>
  <c r="AG86" i="7"/>
  <c r="AG102" i="7"/>
  <c r="AG79" i="7"/>
  <c r="AG95" i="7"/>
  <c r="AI103" i="7"/>
  <c r="AH87" i="7"/>
  <c r="AG4" i="7"/>
  <c r="AH20" i="7"/>
  <c r="V31" i="6"/>
  <c r="V48" i="6" s="1"/>
  <c r="AE138" i="7" s="1"/>
  <c r="AE51" i="7"/>
  <c r="AG92" i="7"/>
  <c r="AG88" i="7"/>
  <c r="AF7" i="7"/>
  <c r="AG23" i="7"/>
  <c r="AK120" i="8"/>
  <c r="AG84" i="7"/>
  <c r="AG100" i="7"/>
  <c r="AJ22" i="7"/>
  <c r="AG80" i="7"/>
  <c r="AG96" i="7"/>
  <c r="AH24" i="7"/>
  <c r="AH85" i="7"/>
  <c r="AE43" i="7"/>
  <c r="AJ220" i="8"/>
  <c r="AL19" i="8"/>
  <c r="AI232" i="7"/>
  <c r="AL11" i="8"/>
  <c r="AM27" i="8"/>
  <c r="AI224" i="7" s="1"/>
  <c r="AM10" i="8"/>
  <c r="AJ223" i="7"/>
  <c r="AA42" i="3"/>
  <c r="Z41" i="3"/>
  <c r="AA46" i="3"/>
  <c r="AA78" i="6" s="1"/>
  <c r="Z52" i="3"/>
  <c r="AA48" i="3"/>
  <c r="AA80" i="6" s="1"/>
  <c r="Z47" i="3"/>
  <c r="AA43" i="3"/>
  <c r="AA75" i="6" s="1"/>
  <c r="AA45" i="3"/>
  <c r="Z40" i="3"/>
  <c r="AA38" i="3"/>
  <c r="AA51" i="3"/>
  <c r="AA83" i="6" s="1"/>
  <c r="Z49" i="3"/>
  <c r="Z81" i="6" s="1"/>
  <c r="AH101" i="7"/>
  <c r="AA50" i="3"/>
  <c r="AA82" i="6" s="1"/>
  <c r="AM44" i="3"/>
  <c r="Z39" i="3"/>
  <c r="Z71" i="6" s="1"/>
  <c r="AH91" i="7"/>
  <c r="AK8" i="8"/>
  <c r="AK38" i="8"/>
  <c r="AN301" i="8"/>
  <c r="AK108" i="8"/>
  <c r="AL126" i="8"/>
  <c r="AH13" i="7" s="1"/>
  <c r="AL121" i="8"/>
  <c r="AH8" i="7" s="1"/>
  <c r="AK103" i="8"/>
  <c r="AP302" i="8"/>
  <c r="AK98" i="8"/>
  <c r="AH3" i="7"/>
  <c r="AL125" i="8"/>
  <c r="AH12" i="7" s="1"/>
  <c r="AK107" i="8"/>
  <c r="AJ215" i="8"/>
  <c r="AJ216" i="8"/>
  <c r="AL278" i="8"/>
  <c r="AL277" i="8"/>
  <c r="AL276" i="8"/>
  <c r="AL282" i="8"/>
  <c r="AL299" i="8" s="1"/>
  <c r="AM294" i="8"/>
  <c r="AM322" i="8" s="1"/>
  <c r="AL46" i="8"/>
  <c r="AI230" i="7"/>
  <c r="AL17" i="8"/>
  <c r="AL14" i="8"/>
  <c r="AI227" i="7"/>
  <c r="AK204" i="8"/>
  <c r="Y54" i="6"/>
  <c r="AH155" i="8"/>
  <c r="AG170" i="8"/>
  <c r="AG208" i="8"/>
  <c r="AJ217" i="8"/>
  <c r="AL123" i="8"/>
  <c r="AK105" i="8"/>
  <c r="AL124" i="8"/>
  <c r="AH11" i="7" s="1"/>
  <c r="AK106" i="8"/>
  <c r="AJ234" i="7"/>
  <c r="AM21" i="8"/>
  <c r="AJ210" i="8"/>
  <c r="AL16" i="8"/>
  <c r="AI229" i="7"/>
  <c r="AM295" i="8"/>
  <c r="AM323" i="8" s="1"/>
  <c r="AJ211" i="8"/>
  <c r="AJ219" i="8"/>
  <c r="AI222" i="7"/>
  <c r="AL9" i="8"/>
  <c r="AM12" i="8"/>
  <c r="AJ225" i="7"/>
  <c r="AL118" i="8"/>
  <c r="AH5" i="7" s="1"/>
  <c r="AK100" i="8"/>
  <c r="AI226" i="7"/>
  <c r="AL13" i="8"/>
  <c r="AJ209" i="8"/>
  <c r="AL58" i="8"/>
  <c r="AK72" i="8"/>
  <c r="AH6" i="7"/>
  <c r="AK101" i="8"/>
  <c r="AL127" i="8"/>
  <c r="AH14" i="7" s="1"/>
  <c r="AK109" i="8"/>
  <c r="AK99" i="8"/>
  <c r="AJ214" i="8"/>
  <c r="AJ213" i="8"/>
  <c r="AJ231" i="7"/>
  <c r="AM18" i="8"/>
  <c r="AI228" i="7"/>
  <c r="AL15" i="8"/>
  <c r="AM61" i="8"/>
  <c r="AJ218" i="8"/>
  <c r="AK104" i="8"/>
  <c r="AL122" i="8"/>
  <c r="AH9" i="7" s="1"/>
  <c r="AE63" i="7" l="1"/>
  <c r="V44" i="6"/>
  <c r="AE134" i="7" s="1"/>
  <c r="AB56" i="7"/>
  <c r="AE58" i="7"/>
  <c r="AE67" i="7"/>
  <c r="AE66" i="7"/>
  <c r="AE57" i="7"/>
  <c r="AE64" i="7"/>
  <c r="AE62" i="7"/>
  <c r="AE68" i="7"/>
  <c r="AE61" i="7"/>
  <c r="AE60" i="7"/>
  <c r="AH10" i="7"/>
  <c r="Y10" i="6"/>
  <c r="AM24" i="8"/>
  <c r="AH221" i="7"/>
  <c r="AJ233" i="7"/>
  <c r="AN20" i="8"/>
  <c r="Z62" i="6"/>
  <c r="AA67" i="6"/>
  <c r="AA61" i="6"/>
  <c r="AA57" i="6"/>
  <c r="AA59" i="6"/>
  <c r="Z58" i="6"/>
  <c r="Z64" i="6"/>
  <c r="AA60" i="6"/>
  <c r="AA56" i="6"/>
  <c r="Z55" i="6"/>
  <c r="AA68" i="6"/>
  <c r="AA65" i="6"/>
  <c r="AA66" i="6"/>
  <c r="AK82" i="8"/>
  <c r="AK85" i="8"/>
  <c r="AK83" i="8"/>
  <c r="AK84" i="8"/>
  <c r="AK87" i="8"/>
  <c r="AK94" i="8"/>
  <c r="AK91" i="8"/>
  <c r="AK93" i="8"/>
  <c r="AK92" i="8"/>
  <c r="AK88" i="8"/>
  <c r="AK89" i="8"/>
  <c r="AK90" i="8"/>
  <c r="AL42" i="8"/>
  <c r="AL53" i="8"/>
  <c r="AM47" i="8"/>
  <c r="AM48" i="8"/>
  <c r="AM45" i="8"/>
  <c r="AM44" i="8"/>
  <c r="AM50" i="8"/>
  <c r="AL49" i="8"/>
  <c r="AL54" i="8"/>
  <c r="AM52" i="8"/>
  <c r="AH104" i="7"/>
  <c r="AG253" i="7"/>
  <c r="W21" i="6"/>
  <c r="W38" i="6" s="1"/>
  <c r="AF128" i="7" s="1"/>
  <c r="AF41" i="7"/>
  <c r="T20" i="6"/>
  <c r="T37" i="6" s="1"/>
  <c r="AC127" i="7" s="1"/>
  <c r="AC40" i="7"/>
  <c r="AI85" i="7"/>
  <c r="AH88" i="7"/>
  <c r="AN236" i="8"/>
  <c r="AI235" i="7"/>
  <c r="AI92" i="7"/>
  <c r="AH76" i="7"/>
  <c r="AI75" i="7"/>
  <c r="W28" i="6"/>
  <c r="W45" i="6" s="1"/>
  <c r="AF135" i="7" s="1"/>
  <c r="AF48" i="7"/>
  <c r="AH84" i="7"/>
  <c r="AH100" i="7"/>
  <c r="AJ103" i="7"/>
  <c r="AI87" i="7"/>
  <c r="AH82" i="7"/>
  <c r="AH98" i="7"/>
  <c r="AI26" i="7"/>
  <c r="AM158" i="8"/>
  <c r="AI93" i="7" s="1"/>
  <c r="AH77" i="7"/>
  <c r="AD90" i="7"/>
  <c r="AD74" i="7"/>
  <c r="AG7" i="7"/>
  <c r="AH23" i="7"/>
  <c r="AL120" i="8"/>
  <c r="W27" i="6"/>
  <c r="AF47" i="7"/>
  <c r="W32" i="6"/>
  <c r="W49" i="6" s="1"/>
  <c r="AF139" i="7" s="1"/>
  <c r="AF52" i="7"/>
  <c r="AN55" i="8"/>
  <c r="AI25" i="7"/>
  <c r="AH80" i="7"/>
  <c r="AH96" i="7"/>
  <c r="AH86" i="7"/>
  <c r="AH102" i="7"/>
  <c r="AH78" i="7"/>
  <c r="AH94" i="7"/>
  <c r="AG15" i="7"/>
  <c r="AL128" i="8"/>
  <c r="AL110" i="8" s="1"/>
  <c r="AI99" i="7"/>
  <c r="AH83" i="7"/>
  <c r="AH4" i="7"/>
  <c r="AI20" i="7"/>
  <c r="AF49" i="7"/>
  <c r="W24" i="6"/>
  <c r="W41" i="6" s="1"/>
  <c r="AF131" i="7" s="1"/>
  <c r="AF44" i="7"/>
  <c r="AM43" i="8"/>
  <c r="AI24" i="7"/>
  <c r="W25" i="6"/>
  <c r="W42" i="6" s="1"/>
  <c r="AF132" i="7" s="1"/>
  <c r="AF45" i="7"/>
  <c r="W26" i="6"/>
  <c r="W43" i="6" s="1"/>
  <c r="AF133" i="7" s="1"/>
  <c r="AF46" i="7"/>
  <c r="W31" i="6"/>
  <c r="W48" i="6" s="1"/>
  <c r="AF138" i="7" s="1"/>
  <c r="AF51" i="7"/>
  <c r="AI29" i="7"/>
  <c r="AK22" i="7"/>
  <c r="AI28" i="7"/>
  <c r="AK102" i="8"/>
  <c r="AH81" i="7"/>
  <c r="AA3" i="6"/>
  <c r="AJ19" i="7"/>
  <c r="W30" i="6"/>
  <c r="W47" i="6" s="1"/>
  <c r="AF137" i="7" s="1"/>
  <c r="AF50" i="7"/>
  <c r="W22" i="6"/>
  <c r="W39" i="6" s="1"/>
  <c r="AF129" i="7" s="1"/>
  <c r="AF42" i="7"/>
  <c r="AH79" i="7"/>
  <c r="AH95" i="7"/>
  <c r="AM51" i="8"/>
  <c r="AF43" i="7"/>
  <c r="AK220" i="8"/>
  <c r="AN10" i="8"/>
  <c r="AK223" i="7"/>
  <c r="AM19" i="8"/>
  <c r="AJ232" i="7"/>
  <c r="AM11" i="8"/>
  <c r="AN27" i="8"/>
  <c r="AJ224" i="7" s="1"/>
  <c r="AA52" i="3"/>
  <c r="AA49" i="3"/>
  <c r="AA81" i="6" s="1"/>
  <c r="AI101" i="7"/>
  <c r="AB51" i="3"/>
  <c r="AB83" i="6" s="1"/>
  <c r="AN44" i="3"/>
  <c r="AB38" i="3"/>
  <c r="AA47" i="3"/>
  <c r="AA41" i="3"/>
  <c r="AB45" i="3"/>
  <c r="AB43" i="3"/>
  <c r="AB75" i="6" s="1"/>
  <c r="AA39" i="3"/>
  <c r="AA71" i="6" s="1"/>
  <c r="AI91" i="7"/>
  <c r="AB46" i="3"/>
  <c r="AB78" i="6" s="1"/>
  <c r="AB50" i="3"/>
  <c r="AB82" i="6" s="1"/>
  <c r="AA40" i="3"/>
  <c r="AB48" i="3"/>
  <c r="AB80" i="6" s="1"/>
  <c r="AB42" i="3"/>
  <c r="AL204" i="8"/>
  <c r="Z54" i="6"/>
  <c r="AN61" i="8"/>
  <c r="AI6" i="7"/>
  <c r="AL101" i="8"/>
  <c r="AK215" i="8"/>
  <c r="AH170" i="8"/>
  <c r="AI155" i="8"/>
  <c r="AH208" i="8"/>
  <c r="AK218" i="8"/>
  <c r="AM123" i="8"/>
  <c r="AL105" i="8"/>
  <c r="AM118" i="8"/>
  <c r="AI5" i="7" s="1"/>
  <c r="AL100" i="8"/>
  <c r="AJ227" i="7"/>
  <c r="AM14" i="8"/>
  <c r="AM125" i="8"/>
  <c r="AI12" i="7" s="1"/>
  <c r="AL107" i="8"/>
  <c r="AK210" i="8"/>
  <c r="AK217" i="8"/>
  <c r="AJ228" i="7"/>
  <c r="AM15" i="8"/>
  <c r="AN12" i="8"/>
  <c r="AK225" i="7"/>
  <c r="AI3" i="7"/>
  <c r="AL98" i="8"/>
  <c r="AM276" i="8"/>
  <c r="AM277" i="8"/>
  <c r="AM282" i="8"/>
  <c r="AM299" i="8" s="1"/>
  <c r="AM278" i="8"/>
  <c r="AO301" i="8"/>
  <c r="AK219" i="8"/>
  <c r="AL72" i="8"/>
  <c r="AM58" i="8"/>
  <c r="AN295" i="8"/>
  <c r="AN323" i="8" s="1"/>
  <c r="AK234" i="7"/>
  <c r="AN21" i="8"/>
  <c r="AK213" i="8"/>
  <c r="AM122" i="8"/>
  <c r="AI9" i="7" s="1"/>
  <c r="AL104" i="8"/>
  <c r="AK214" i="8"/>
  <c r="AL99" i="8"/>
  <c r="AK209" i="8"/>
  <c r="AM127" i="8"/>
  <c r="AI14" i="7" s="1"/>
  <c r="AL109" i="8"/>
  <c r="AM16" i="8"/>
  <c r="AJ229" i="7"/>
  <c r="AK216" i="8"/>
  <c r="AJ230" i="7"/>
  <c r="AM17" i="8"/>
  <c r="AM121" i="8"/>
  <c r="AI8" i="7" s="1"/>
  <c r="AL103" i="8"/>
  <c r="AN18" i="8"/>
  <c r="AK231" i="7"/>
  <c r="AK211" i="8"/>
  <c r="AJ226" i="7"/>
  <c r="AM13" i="8"/>
  <c r="AJ222" i="7"/>
  <c r="AM9" i="8"/>
  <c r="AM124" i="8"/>
  <c r="AI11" i="7" s="1"/>
  <c r="AL106" i="8"/>
  <c r="AQ302" i="8"/>
  <c r="AL108" i="8"/>
  <c r="AM126" i="8"/>
  <c r="AI13" i="7" s="1"/>
  <c r="AL8" i="8"/>
  <c r="AL38" i="8"/>
  <c r="AF63" i="7" l="1"/>
  <c r="W44" i="6"/>
  <c r="AF134" i="7" s="1"/>
  <c r="AF68" i="7"/>
  <c r="AF64" i="7"/>
  <c r="AF62" i="7"/>
  <c r="AC56" i="7"/>
  <c r="AF57" i="7"/>
  <c r="AF61" i="7"/>
  <c r="AF58" i="7"/>
  <c r="AF66" i="7"/>
  <c r="AF67" i="7"/>
  <c r="AF60" i="7"/>
  <c r="AI10" i="7"/>
  <c r="Z10" i="6"/>
  <c r="AJ26" i="7" s="1"/>
  <c r="AK233" i="7"/>
  <c r="AO20" i="8"/>
  <c r="AN24" i="8"/>
  <c r="AI221" i="7"/>
  <c r="AB68" i="6"/>
  <c r="AB60" i="6"/>
  <c r="AB57" i="6"/>
  <c r="AA64" i="6"/>
  <c r="AB61" i="6"/>
  <c r="AB66" i="6"/>
  <c r="AA55" i="6"/>
  <c r="AA58" i="6"/>
  <c r="AB67" i="6"/>
  <c r="AB65" i="6"/>
  <c r="AB56" i="6"/>
  <c r="AB59" i="6"/>
  <c r="AA62" i="6"/>
  <c r="AL83" i="8"/>
  <c r="AL85" i="8"/>
  <c r="AL84" i="8"/>
  <c r="AL82" i="8"/>
  <c r="AK86" i="8"/>
  <c r="AL87" i="8"/>
  <c r="AL93" i="8"/>
  <c r="AL88" i="8"/>
  <c r="AL89" i="8"/>
  <c r="AL92" i="8"/>
  <c r="AL91" i="8"/>
  <c r="AL94" i="8"/>
  <c r="AL90" i="8"/>
  <c r="AN44" i="8"/>
  <c r="AN50" i="8"/>
  <c r="AN48" i="8"/>
  <c r="AM46" i="8"/>
  <c r="AN47" i="8"/>
  <c r="AM42" i="8"/>
  <c r="AM53" i="8"/>
  <c r="AM49" i="8"/>
  <c r="AN45" i="8"/>
  <c r="AM54" i="8"/>
  <c r="AN52" i="8"/>
  <c r="AI104" i="7"/>
  <c r="AH253" i="7"/>
  <c r="AE90" i="7"/>
  <c r="AE74" i="7"/>
  <c r="AJ25" i="7"/>
  <c r="AI84" i="7"/>
  <c r="AI100" i="7"/>
  <c r="AI88" i="7"/>
  <c r="AN51" i="8"/>
  <c r="AO55" i="8"/>
  <c r="X31" i="6"/>
  <c r="X48" i="6" s="1"/>
  <c r="AG138" i="7" s="1"/>
  <c r="AG51" i="7"/>
  <c r="AJ29" i="7"/>
  <c r="AI86" i="7"/>
  <c r="AI102" i="7"/>
  <c r="AH7" i="7"/>
  <c r="AI23" i="7"/>
  <c r="AM120" i="8"/>
  <c r="AO236" i="8"/>
  <c r="AJ235" i="7"/>
  <c r="AJ85" i="7"/>
  <c r="X30" i="6"/>
  <c r="X47" i="6" s="1"/>
  <c r="AG137" i="7" s="1"/>
  <c r="AG50" i="7"/>
  <c r="X27" i="6"/>
  <c r="AG47" i="7"/>
  <c r="AB3" i="6"/>
  <c r="AK19" i="7"/>
  <c r="AN158" i="8"/>
  <c r="AJ93" i="7" s="1"/>
  <c r="AI77" i="7"/>
  <c r="AI4" i="7"/>
  <c r="AJ20" i="7"/>
  <c r="AG49" i="7"/>
  <c r="X32" i="6"/>
  <c r="X49" i="6" s="1"/>
  <c r="AG139" i="7" s="1"/>
  <c r="AG52" i="7"/>
  <c r="AJ24" i="7"/>
  <c r="AL22" i="7"/>
  <c r="AJ75" i="7"/>
  <c r="AI79" i="7"/>
  <c r="AI95" i="7"/>
  <c r="AJ99" i="7"/>
  <c r="AI83" i="7"/>
  <c r="AI78" i="7"/>
  <c r="AI94" i="7"/>
  <c r="AI80" i="7"/>
  <c r="AI96" i="7"/>
  <c r="AK103" i="7"/>
  <c r="AJ87" i="7"/>
  <c r="X26" i="6"/>
  <c r="X43" i="6" s="1"/>
  <c r="AG133" i="7" s="1"/>
  <c r="AG46" i="7"/>
  <c r="X22" i="6"/>
  <c r="X39" i="6" s="1"/>
  <c r="AG129" i="7" s="1"/>
  <c r="AG42" i="7"/>
  <c r="AJ28" i="7"/>
  <c r="AI81" i="7"/>
  <c r="AN43" i="8"/>
  <c r="AI76" i="7"/>
  <c r="X25" i="6"/>
  <c r="X42" i="6" s="1"/>
  <c r="AG132" i="7" s="1"/>
  <c r="AG45" i="7"/>
  <c r="X28" i="6"/>
  <c r="X45" i="6" s="1"/>
  <c r="AG135" i="7" s="1"/>
  <c r="AG48" i="7"/>
  <c r="X21" i="6"/>
  <c r="X38" i="6" s="1"/>
  <c r="AG128" i="7" s="1"/>
  <c r="AG41" i="7"/>
  <c r="U20" i="6"/>
  <c r="U37" i="6" s="1"/>
  <c r="AD127" i="7" s="1"/>
  <c r="AD40" i="7"/>
  <c r="AK212" i="8"/>
  <c r="AH15" i="7"/>
  <c r="AM128" i="8"/>
  <c r="AM110" i="8" s="1"/>
  <c r="AL102" i="8"/>
  <c r="AI82" i="7"/>
  <c r="AI98" i="7"/>
  <c r="AG43" i="7"/>
  <c r="AL220" i="8"/>
  <c r="AO27" i="8"/>
  <c r="AK224" i="7" s="1"/>
  <c r="AN11" i="8"/>
  <c r="AL223" i="7"/>
  <c r="AO10" i="8"/>
  <c r="AN19" i="8"/>
  <c r="AK232" i="7"/>
  <c r="AO44" i="3"/>
  <c r="AC50" i="3"/>
  <c r="AC82" i="6" s="1"/>
  <c r="AC45" i="3"/>
  <c r="AC42" i="3"/>
  <c r="AC51" i="3"/>
  <c r="AC83" i="6" s="1"/>
  <c r="AC48" i="3"/>
  <c r="AC80" i="6" s="1"/>
  <c r="AB39" i="3"/>
  <c r="AB71" i="6" s="1"/>
  <c r="AJ91" i="7"/>
  <c r="AB47" i="3"/>
  <c r="AB49" i="3"/>
  <c r="AB81" i="6" s="1"/>
  <c r="AJ101" i="7"/>
  <c r="AB41" i="3"/>
  <c r="AC46" i="3"/>
  <c r="AC78" i="6" s="1"/>
  <c r="AB40" i="3"/>
  <c r="AC43" i="3"/>
  <c r="AC75" i="6" s="1"/>
  <c r="AC38" i="3"/>
  <c r="AB52" i="3"/>
  <c r="AJ104" i="7"/>
  <c r="AN13" i="8"/>
  <c r="AK226" i="7"/>
  <c r="AN276" i="8"/>
  <c r="AN277" i="8"/>
  <c r="AN282" i="8"/>
  <c r="AN278" i="8"/>
  <c r="AO294" i="8"/>
  <c r="AO322" i="8" s="1"/>
  <c r="AN118" i="8"/>
  <c r="AJ5" i="7" s="1"/>
  <c r="AM100" i="8"/>
  <c r="AL225" i="7"/>
  <c r="AO12" i="8"/>
  <c r="AO61" i="8"/>
  <c r="AN124" i="8"/>
  <c r="AJ11" i="7" s="1"/>
  <c r="AM106" i="8"/>
  <c r="AM109" i="8"/>
  <c r="AN127" i="8"/>
  <c r="AJ14" i="7" s="1"/>
  <c r="AO295" i="8"/>
  <c r="AO323" i="8" s="1"/>
  <c r="AL216" i="8"/>
  <c r="AN17" i="8"/>
  <c r="AK230" i="7"/>
  <c r="AL217" i="8"/>
  <c r="AL215" i="8"/>
  <c r="AM204" i="8"/>
  <c r="AA54" i="6"/>
  <c r="AM99" i="8"/>
  <c r="AL214" i="8"/>
  <c r="AN58" i="8"/>
  <c r="AM72" i="8"/>
  <c r="AN294" i="8"/>
  <c r="AN322" i="8" s="1"/>
  <c r="AK228" i="7"/>
  <c r="AN15" i="8"/>
  <c r="AN125" i="8"/>
  <c r="AJ12" i="7" s="1"/>
  <c r="AM107" i="8"/>
  <c r="AN123" i="8"/>
  <c r="AM105" i="8"/>
  <c r="AI170" i="8"/>
  <c r="AJ155" i="8"/>
  <c r="AI208" i="8"/>
  <c r="AL211" i="8"/>
  <c r="AN121" i="8"/>
  <c r="AJ8" i="7" s="1"/>
  <c r="AM103" i="8"/>
  <c r="AL210" i="8"/>
  <c r="AM38" i="8"/>
  <c r="AM8" i="8"/>
  <c r="AM108" i="8"/>
  <c r="AN126" i="8"/>
  <c r="AJ13" i="7" s="1"/>
  <c r="AN9" i="8"/>
  <c r="AK222" i="7"/>
  <c r="AN122" i="8"/>
  <c r="AJ9" i="7" s="1"/>
  <c r="AM104" i="8"/>
  <c r="AP301" i="8"/>
  <c r="AJ6" i="7"/>
  <c r="AM101" i="8"/>
  <c r="AL219" i="8"/>
  <c r="AO18" i="8"/>
  <c r="AL231" i="7"/>
  <c r="AL218" i="8"/>
  <c r="AR302" i="8"/>
  <c r="AL213" i="8"/>
  <c r="AK229" i="7"/>
  <c r="AN16" i="8"/>
  <c r="AL209" i="8"/>
  <c r="AL234" i="7"/>
  <c r="AO21" i="8"/>
  <c r="AJ3" i="7"/>
  <c r="AM98" i="8"/>
  <c r="AK227" i="7"/>
  <c r="AN14" i="8"/>
  <c r="AG63" i="7" l="1"/>
  <c r="X44" i="6"/>
  <c r="AG134" i="7" s="1"/>
  <c r="AG66" i="7"/>
  <c r="AG58" i="7"/>
  <c r="AG67" i="7"/>
  <c r="AG64" i="7"/>
  <c r="AG61" i="7"/>
  <c r="AG68" i="7"/>
  <c r="AG57" i="7"/>
  <c r="AG62" i="7"/>
  <c r="AD56" i="7"/>
  <c r="AJ10" i="7"/>
  <c r="AA10" i="6"/>
  <c r="AO24" i="8"/>
  <c r="AJ221" i="7"/>
  <c r="AL233" i="7"/>
  <c r="AP20" i="8"/>
  <c r="AC56" i="6"/>
  <c r="AB55" i="6"/>
  <c r="AC65" i="6"/>
  <c r="AC66" i="6"/>
  <c r="AC57" i="6"/>
  <c r="AB62" i="6"/>
  <c r="AC67" i="6"/>
  <c r="AC61" i="6"/>
  <c r="AC60" i="6"/>
  <c r="AC59" i="6"/>
  <c r="AB58" i="6"/>
  <c r="AB64" i="6"/>
  <c r="AC68" i="6"/>
  <c r="AM83" i="8"/>
  <c r="AM85" i="8"/>
  <c r="AM84" i="8"/>
  <c r="AM82" i="8"/>
  <c r="AM93" i="8"/>
  <c r="AL86" i="8"/>
  <c r="AM90" i="8"/>
  <c r="AM92" i="8"/>
  <c r="AM88" i="8"/>
  <c r="AM89" i="8"/>
  <c r="AM94" i="8"/>
  <c r="AM87" i="8"/>
  <c r="AM91" i="8"/>
  <c r="AN42" i="8"/>
  <c r="AN46" i="8"/>
  <c r="AO44" i="8"/>
  <c r="AO47" i="8"/>
  <c r="AN53" i="8"/>
  <c r="AO45" i="8"/>
  <c r="AN49" i="8"/>
  <c r="AO50" i="8"/>
  <c r="AO48" i="8"/>
  <c r="AN54" i="8"/>
  <c r="AO52" i="8"/>
  <c r="AI253" i="7"/>
  <c r="AK29" i="7"/>
  <c r="AO158" i="8"/>
  <c r="AJ77" i="7"/>
  <c r="AO51" i="8"/>
  <c r="AJ80" i="7"/>
  <c r="AJ96" i="7"/>
  <c r="AK92" i="7"/>
  <c r="AJ76" i="7"/>
  <c r="Y27" i="6"/>
  <c r="AH47" i="7"/>
  <c r="Y26" i="6"/>
  <c r="Y43" i="6" s="1"/>
  <c r="AH133" i="7" s="1"/>
  <c r="AH46" i="7"/>
  <c r="AI15" i="7"/>
  <c r="AN128" i="8"/>
  <c r="AN110" i="8" s="1"/>
  <c r="AC3" i="6"/>
  <c r="AL19" i="7"/>
  <c r="AK85" i="7"/>
  <c r="AP55" i="8"/>
  <c r="AK26" i="7"/>
  <c r="Y25" i="6"/>
  <c r="Y42" i="6" s="1"/>
  <c r="AH132" i="7" s="1"/>
  <c r="AH45" i="7"/>
  <c r="X24" i="6"/>
  <c r="X41" i="6" s="1"/>
  <c r="AG131" i="7" s="1"/>
  <c r="AG44" i="7"/>
  <c r="Y31" i="6"/>
  <c r="Y48" i="6" s="1"/>
  <c r="AH138" i="7" s="1"/>
  <c r="AH51" i="7"/>
  <c r="AJ79" i="7"/>
  <c r="AJ95" i="7"/>
  <c r="AJ78" i="7"/>
  <c r="AJ94" i="7"/>
  <c r="Y22" i="6"/>
  <c r="Y39" i="6" s="1"/>
  <c r="AH129" i="7" s="1"/>
  <c r="AH42" i="7"/>
  <c r="AJ82" i="7"/>
  <c r="AJ98" i="7"/>
  <c r="AK28" i="7"/>
  <c r="AK99" i="7"/>
  <c r="AJ83" i="7"/>
  <c r="AM22" i="7"/>
  <c r="AP236" i="8"/>
  <c r="AK235" i="7"/>
  <c r="AJ86" i="7"/>
  <c r="AJ102" i="7"/>
  <c r="AK104" i="7"/>
  <c r="AJ88" i="7"/>
  <c r="Y32" i="6"/>
  <c r="Y49" i="6" s="1"/>
  <c r="AH139" i="7" s="1"/>
  <c r="AH52" i="7"/>
  <c r="AI7" i="7"/>
  <c r="AJ23" i="7"/>
  <c r="AN120" i="8"/>
  <c r="AN102" i="8" s="1"/>
  <c r="AM102" i="8"/>
  <c r="V20" i="6"/>
  <c r="V37" i="6" s="1"/>
  <c r="AE127" i="7" s="1"/>
  <c r="AE40" i="7"/>
  <c r="Y28" i="6"/>
  <c r="Y45" i="6" s="1"/>
  <c r="AH135" i="7" s="1"/>
  <c r="AH48" i="7"/>
  <c r="AO43" i="8"/>
  <c r="AJ84" i="7"/>
  <c r="AJ100" i="7"/>
  <c r="AF90" i="7"/>
  <c r="AF74" i="7"/>
  <c r="AJ4" i="7"/>
  <c r="AK20" i="7"/>
  <c r="AL212" i="8"/>
  <c r="AK24" i="7"/>
  <c r="AK75" i="7"/>
  <c r="Y30" i="6"/>
  <c r="Y47" i="6" s="1"/>
  <c r="AH137" i="7" s="1"/>
  <c r="AH50" i="7"/>
  <c r="AL103" i="7"/>
  <c r="AK87" i="7"/>
  <c r="Y21" i="6"/>
  <c r="Y38" i="6" s="1"/>
  <c r="AH128" i="7" s="1"/>
  <c r="AH41" i="7"/>
  <c r="AH49" i="7"/>
  <c r="AJ92" i="7"/>
  <c r="AK25" i="7"/>
  <c r="AJ81" i="7"/>
  <c r="AH43" i="7"/>
  <c r="AM220" i="8"/>
  <c r="AL232" i="7"/>
  <c r="AO19" i="8"/>
  <c r="AP10" i="8"/>
  <c r="AM223" i="7"/>
  <c r="AP27" i="8"/>
  <c r="AL224" i="7" s="1"/>
  <c r="AO11" i="8"/>
  <c r="AC52" i="3"/>
  <c r="AD46" i="3"/>
  <c r="AD78" i="6" s="1"/>
  <c r="AC39" i="3"/>
  <c r="AC71" i="6" s="1"/>
  <c r="AK91" i="7"/>
  <c r="AD45" i="3"/>
  <c r="AD42" i="3"/>
  <c r="AC40" i="3"/>
  <c r="AD38" i="3"/>
  <c r="AD48" i="3"/>
  <c r="AD80" i="6" s="1"/>
  <c r="AC47" i="3"/>
  <c r="AC41" i="3"/>
  <c r="AK93" i="7"/>
  <c r="AD50" i="3"/>
  <c r="AD82" i="6" s="1"/>
  <c r="AD43" i="3"/>
  <c r="AD75" i="6" s="1"/>
  <c r="AC49" i="3"/>
  <c r="AC81" i="6" s="1"/>
  <c r="AK101" i="7"/>
  <c r="AD51" i="3"/>
  <c r="AD83" i="6" s="1"/>
  <c r="AP44" i="3"/>
  <c r="AN204" i="8"/>
  <c r="AB54" i="6"/>
  <c r="AN109" i="8"/>
  <c r="AO127" i="8"/>
  <c r="AK14" i="7" s="1"/>
  <c r="AP61" i="8"/>
  <c r="AO118" i="8"/>
  <c r="AK5" i="7" s="1"/>
  <c r="AN100" i="8"/>
  <c r="AL229" i="7"/>
  <c r="AO16" i="8"/>
  <c r="AM219" i="8"/>
  <c r="AO282" i="8"/>
  <c r="AO299" i="8" s="1"/>
  <c r="AO278" i="8"/>
  <c r="AO276" i="8"/>
  <c r="AO277" i="8"/>
  <c r="AP294" i="8"/>
  <c r="AP322" i="8" s="1"/>
  <c r="AN38" i="8"/>
  <c r="AN8" i="8"/>
  <c r="AL222" i="7"/>
  <c r="AO9" i="8"/>
  <c r="AM215" i="8"/>
  <c r="AO17" i="8"/>
  <c r="AL230" i="7"/>
  <c r="AM216" i="8"/>
  <c r="AN72" i="8"/>
  <c r="AO58" i="8"/>
  <c r="AO124" i="8"/>
  <c r="AK11" i="7" s="1"/>
  <c r="AN106" i="8"/>
  <c r="AN299" i="8"/>
  <c r="AS302" i="8"/>
  <c r="AM213" i="8"/>
  <c r="AN103" i="8"/>
  <c r="AO121" i="8"/>
  <c r="AK8" i="7" s="1"/>
  <c r="AM217" i="8"/>
  <c r="AO46" i="8"/>
  <c r="AJ170" i="8"/>
  <c r="AK155" i="8"/>
  <c r="AJ208" i="8"/>
  <c r="AP21" i="8"/>
  <c r="AM234" i="7"/>
  <c r="AM218" i="8"/>
  <c r="AO125" i="8"/>
  <c r="AK12" i="7" s="1"/>
  <c r="AN107" i="8"/>
  <c r="AN105" i="8"/>
  <c r="AO123" i="8"/>
  <c r="AO126" i="8"/>
  <c r="AK13" i="7" s="1"/>
  <c r="AN108" i="8"/>
  <c r="AL227" i="7"/>
  <c r="AO14" i="8"/>
  <c r="AM211" i="8"/>
  <c r="AQ301" i="8"/>
  <c r="AN101" i="8"/>
  <c r="AK6" i="7"/>
  <c r="AM214" i="8"/>
  <c r="AN99" i="8"/>
  <c r="AM225" i="7"/>
  <c r="AP12" i="8"/>
  <c r="AL226" i="7"/>
  <c r="AO13" i="8"/>
  <c r="AK3" i="7"/>
  <c r="AN98" i="8"/>
  <c r="AP18" i="8"/>
  <c r="AM231" i="7"/>
  <c r="AO122" i="8"/>
  <c r="AK9" i="7" s="1"/>
  <c r="AN104" i="8"/>
  <c r="AL228" i="7"/>
  <c r="AO15" i="8"/>
  <c r="AM209" i="8"/>
  <c r="AP295" i="8"/>
  <c r="AP323" i="8" s="1"/>
  <c r="AM210" i="8"/>
  <c r="AH63" i="7" l="1"/>
  <c r="Y44" i="6"/>
  <c r="AH134" i="7" s="1"/>
  <c r="AH57" i="7"/>
  <c r="AH64" i="7"/>
  <c r="AH68" i="7"/>
  <c r="AH61" i="7"/>
  <c r="AG60" i="7"/>
  <c r="AH62" i="7"/>
  <c r="AH58" i="7"/>
  <c r="AE56" i="7"/>
  <c r="AH66" i="7"/>
  <c r="AH67" i="7"/>
  <c r="AK10" i="7"/>
  <c r="AB10" i="6"/>
  <c r="AL26" i="7" s="1"/>
  <c r="AM233" i="7"/>
  <c r="AQ20" i="8"/>
  <c r="AP24" i="8"/>
  <c r="AK221" i="7"/>
  <c r="AC58" i="6"/>
  <c r="AD67" i="6"/>
  <c r="AD65" i="6"/>
  <c r="AD59" i="6"/>
  <c r="AC62" i="6"/>
  <c r="AD68" i="6"/>
  <c r="AD60" i="6"/>
  <c r="AD57" i="6"/>
  <c r="AC55" i="6"/>
  <c r="AC64" i="6"/>
  <c r="AD61" i="6"/>
  <c r="AD66" i="6"/>
  <c r="AD56" i="6"/>
  <c r="AN83" i="8"/>
  <c r="AN84" i="8"/>
  <c r="AN82" i="8"/>
  <c r="AN85" i="8"/>
  <c r="AN87" i="8"/>
  <c r="AN92" i="8"/>
  <c r="AN93" i="8"/>
  <c r="AN94" i="8"/>
  <c r="AN89" i="8"/>
  <c r="AN90" i="8"/>
  <c r="AM86" i="8"/>
  <c r="AN88" i="8"/>
  <c r="AN91" i="8"/>
  <c r="AN86" i="8"/>
  <c r="AM212" i="8"/>
  <c r="Z24" i="6" s="1"/>
  <c r="Z41" i="6" s="1"/>
  <c r="AI131" i="7" s="1"/>
  <c r="AP44" i="8"/>
  <c r="AP50" i="8"/>
  <c r="AO49" i="8"/>
  <c r="AO42" i="8"/>
  <c r="AO53" i="8"/>
  <c r="AP48" i="8"/>
  <c r="AP45" i="8"/>
  <c r="AP47" i="8"/>
  <c r="AO54" i="8"/>
  <c r="AP52" i="8"/>
  <c r="AJ253" i="7"/>
  <c r="Z30" i="6"/>
  <c r="Z47" i="6" s="1"/>
  <c r="AI137" i="7" s="1"/>
  <c r="AI50" i="7"/>
  <c r="AL24" i="7"/>
  <c r="AM103" i="7"/>
  <c r="AL87" i="7"/>
  <c r="AQ55" i="8"/>
  <c r="AJ15" i="7"/>
  <c r="AO128" i="8"/>
  <c r="AO110" i="8" s="1"/>
  <c r="AL25" i="7"/>
  <c r="AL75" i="7"/>
  <c r="AQ236" i="8"/>
  <c r="AL235" i="7"/>
  <c r="AL92" i="7"/>
  <c r="AK76" i="7"/>
  <c r="Z27" i="6"/>
  <c r="AI47" i="7"/>
  <c r="AK79" i="7"/>
  <c r="AK95" i="7"/>
  <c r="AI49" i="7"/>
  <c r="AL29" i="7"/>
  <c r="AL28" i="7"/>
  <c r="AK84" i="7"/>
  <c r="AK100" i="7"/>
  <c r="AN22" i="7"/>
  <c r="AP43" i="8"/>
  <c r="AJ7" i="7"/>
  <c r="AK23" i="7"/>
  <c r="AO120" i="8"/>
  <c r="AO102" i="8" s="1"/>
  <c r="AO86" i="8" s="1"/>
  <c r="AK88" i="7"/>
  <c r="AL85" i="7"/>
  <c r="AK80" i="7"/>
  <c r="AK96" i="7"/>
  <c r="W20" i="6"/>
  <c r="W37" i="6" s="1"/>
  <c r="AF127" i="7" s="1"/>
  <c r="AF40" i="7"/>
  <c r="Z28" i="6"/>
  <c r="Z45" i="6" s="1"/>
  <c r="AI135" i="7" s="1"/>
  <c r="AI48" i="7"/>
  <c r="AL99" i="7"/>
  <c r="AK83" i="7"/>
  <c r="AP158" i="8"/>
  <c r="AL93" i="7" s="1"/>
  <c r="AK77" i="7"/>
  <c r="AK4" i="7"/>
  <c r="AL20" i="7"/>
  <c r="Z22" i="6"/>
  <c r="Z39" i="6" s="1"/>
  <c r="AI129" i="7" s="1"/>
  <c r="AI42" i="7"/>
  <c r="AG90" i="7"/>
  <c r="AG74" i="7"/>
  <c r="AK81" i="7"/>
  <c r="Y24" i="6"/>
  <c r="Y41" i="6" s="1"/>
  <c r="AH131" i="7" s="1"/>
  <c r="AH44" i="7"/>
  <c r="AD3" i="6"/>
  <c r="AM19" i="7"/>
  <c r="AP51" i="8"/>
  <c r="Z21" i="6"/>
  <c r="Z38" i="6" s="1"/>
  <c r="AI128" i="7" s="1"/>
  <c r="AI41" i="7"/>
  <c r="Z26" i="6"/>
  <c r="Z43" i="6" s="1"/>
  <c r="AI133" i="7" s="1"/>
  <c r="AI46" i="7"/>
  <c r="Z25" i="6"/>
  <c r="Z42" i="6" s="1"/>
  <c r="AI132" i="7" s="1"/>
  <c r="AI45" i="7"/>
  <c r="Z31" i="6"/>
  <c r="Z48" i="6" s="1"/>
  <c r="AI138" i="7" s="1"/>
  <c r="AI51" i="7"/>
  <c r="Z32" i="6"/>
  <c r="Z49" i="6" s="1"/>
  <c r="AI139" i="7" s="1"/>
  <c r="AI52" i="7"/>
  <c r="AK86" i="7"/>
  <c r="AK102" i="7"/>
  <c r="AK82" i="7"/>
  <c r="AK98" i="7"/>
  <c r="AK78" i="7"/>
  <c r="AK94" i="7"/>
  <c r="AI43" i="7"/>
  <c r="AN220" i="8"/>
  <c r="AQ27" i="8"/>
  <c r="AM224" i="7" s="1"/>
  <c r="AP11" i="8"/>
  <c r="AQ10" i="8"/>
  <c r="AN223" i="7"/>
  <c r="AM232" i="7"/>
  <c r="AP19" i="8"/>
  <c r="AQ44" i="3"/>
  <c r="AE48" i="3"/>
  <c r="AE80" i="6" s="1"/>
  <c r="AE38" i="3"/>
  <c r="AE51" i="3"/>
  <c r="AE83" i="6" s="1"/>
  <c r="AD41" i="3"/>
  <c r="AD40" i="3"/>
  <c r="AE46" i="3"/>
  <c r="AE78" i="6" s="1"/>
  <c r="AE45" i="3"/>
  <c r="AE50" i="3"/>
  <c r="AE82" i="6" s="1"/>
  <c r="AE43" i="3"/>
  <c r="AE75" i="6" s="1"/>
  <c r="AD39" i="3"/>
  <c r="AD71" i="6" s="1"/>
  <c r="AL91" i="7"/>
  <c r="AD49" i="3"/>
  <c r="AD81" i="6" s="1"/>
  <c r="AL101" i="7"/>
  <c r="AD47" i="3"/>
  <c r="AE42" i="3"/>
  <c r="AD52" i="3"/>
  <c r="AQ18" i="8"/>
  <c r="AN231" i="7"/>
  <c r="AP121" i="8"/>
  <c r="AL8" i="7" s="1"/>
  <c r="AO103" i="8"/>
  <c r="AP17" i="8"/>
  <c r="AM230" i="7"/>
  <c r="AQ61" i="8"/>
  <c r="AO99" i="8"/>
  <c r="AN217" i="8"/>
  <c r="AN213" i="8"/>
  <c r="AR301" i="8"/>
  <c r="AN215" i="8"/>
  <c r="AP125" i="8"/>
  <c r="AL12" i="7" s="1"/>
  <c r="AO107" i="8"/>
  <c r="AK170" i="8"/>
  <c r="AL155" i="8"/>
  <c r="AK208" i="8"/>
  <c r="AO72" i="8"/>
  <c r="AP58" i="8"/>
  <c r="AO8" i="8"/>
  <c r="AO38" i="8"/>
  <c r="AO109" i="8"/>
  <c r="AP127" i="8"/>
  <c r="AL14" i="7" s="1"/>
  <c r="AL3" i="7"/>
  <c r="AO98" i="8"/>
  <c r="AM229" i="7"/>
  <c r="AP16" i="8"/>
  <c r="AN219" i="8"/>
  <c r="AP126" i="8"/>
  <c r="AL13" i="7" s="1"/>
  <c r="AO108" i="8"/>
  <c r="AN212" i="8"/>
  <c r="AO204" i="8"/>
  <c r="AC54" i="6"/>
  <c r="AM226" i="7"/>
  <c r="AP13" i="8"/>
  <c r="AM222" i="7"/>
  <c r="AP9" i="8"/>
  <c r="AO101" i="8"/>
  <c r="AL6" i="7"/>
  <c r="AM228" i="7"/>
  <c r="AP15" i="8"/>
  <c r="AP46" i="8"/>
  <c r="AT302" i="8"/>
  <c r="AN216" i="8"/>
  <c r="AP277" i="8"/>
  <c r="AP276" i="8"/>
  <c r="AP278" i="8"/>
  <c r="AQ294" i="8"/>
  <c r="AQ322" i="8" s="1"/>
  <c r="AP282" i="8"/>
  <c r="AP299" i="8" s="1"/>
  <c r="AN214" i="8"/>
  <c r="AM227" i="7"/>
  <c r="AP14" i="8"/>
  <c r="AO106" i="8"/>
  <c r="AP124" i="8"/>
  <c r="AL11" i="7" s="1"/>
  <c r="AN210" i="8"/>
  <c r="AN209" i="8"/>
  <c r="AP123" i="8"/>
  <c r="AO105" i="8"/>
  <c r="AQ295" i="8"/>
  <c r="AQ323" i="8" s="1"/>
  <c r="AN211" i="8"/>
  <c r="AP122" i="8"/>
  <c r="AL9" i="7" s="1"/>
  <c r="AO104" i="8"/>
  <c r="AN225" i="7"/>
  <c r="AQ12" i="8"/>
  <c r="AN218" i="8"/>
  <c r="AQ21" i="8"/>
  <c r="AN234" i="7"/>
  <c r="AP118" i="8"/>
  <c r="AL5" i="7" s="1"/>
  <c r="AO100" i="8"/>
  <c r="AI63" i="7" l="1"/>
  <c r="Z44" i="6"/>
  <c r="AI134" i="7" s="1"/>
  <c r="AI61" i="7"/>
  <c r="AF56" i="7"/>
  <c r="AI62" i="7"/>
  <c r="AH60" i="7"/>
  <c r="AI68" i="7"/>
  <c r="AI57" i="7"/>
  <c r="AI60" i="7"/>
  <c r="AI66" i="7"/>
  <c r="AI67" i="7"/>
  <c r="AI58" i="7"/>
  <c r="AI64" i="7"/>
  <c r="AL10" i="7"/>
  <c r="AC10" i="6"/>
  <c r="AQ24" i="8"/>
  <c r="AL221" i="7"/>
  <c r="AN233" i="7"/>
  <c r="AR20" i="8"/>
  <c r="AE61" i="6"/>
  <c r="AE60" i="6"/>
  <c r="AE59" i="6"/>
  <c r="AD64" i="6"/>
  <c r="AE68" i="6"/>
  <c r="AE65" i="6"/>
  <c r="AE56" i="6"/>
  <c r="AD55" i="6"/>
  <c r="AE67" i="6"/>
  <c r="AE66" i="6"/>
  <c r="AE57" i="6"/>
  <c r="AD62" i="6"/>
  <c r="AD58" i="6"/>
  <c r="AO83" i="8"/>
  <c r="AO82" i="8"/>
  <c r="AO84" i="8"/>
  <c r="AO85" i="8"/>
  <c r="AO92" i="8"/>
  <c r="AO87" i="8"/>
  <c r="AO91" i="8"/>
  <c r="AO94" i="8"/>
  <c r="AO89" i="8"/>
  <c r="AO88" i="8"/>
  <c r="AO93" i="8"/>
  <c r="AO90" i="8"/>
  <c r="AI44" i="7"/>
  <c r="AP53" i="8"/>
  <c r="AQ44" i="8"/>
  <c r="AQ47" i="8"/>
  <c r="AP42" i="8"/>
  <c r="AQ45" i="8"/>
  <c r="AQ48" i="8"/>
  <c r="AP49" i="8"/>
  <c r="AQ50" i="8"/>
  <c r="AP54" i="8"/>
  <c r="AQ52" i="8"/>
  <c r="AK253" i="7"/>
  <c r="AO212" i="8"/>
  <c r="AA26" i="6"/>
  <c r="AA43" i="6" s="1"/>
  <c r="AJ133" i="7" s="1"/>
  <c r="AJ46" i="7"/>
  <c r="AA30" i="6"/>
  <c r="AA47" i="6" s="1"/>
  <c r="AJ137" i="7" s="1"/>
  <c r="AJ50" i="7"/>
  <c r="AA22" i="6"/>
  <c r="AA39" i="6" s="1"/>
  <c r="AJ129" i="7" s="1"/>
  <c r="AJ42" i="7"/>
  <c r="AL4" i="7"/>
  <c r="AM20" i="7"/>
  <c r="AQ158" i="8"/>
  <c r="AM93" i="7" s="1"/>
  <c r="AL77" i="7"/>
  <c r="AO22" i="7"/>
  <c r="AL79" i="7"/>
  <c r="AL95" i="7"/>
  <c r="AQ51" i="8"/>
  <c r="AQ43" i="8"/>
  <c r="AM75" i="7"/>
  <c r="AM24" i="7"/>
  <c r="AR55" i="8"/>
  <c r="AA31" i="6"/>
  <c r="AA48" i="6" s="1"/>
  <c r="AJ138" i="7" s="1"/>
  <c r="AJ51" i="7"/>
  <c r="AL78" i="7"/>
  <c r="AL94" i="7"/>
  <c r="AL86" i="7"/>
  <c r="AL102" i="7"/>
  <c r="AM28" i="7"/>
  <c r="AL84" i="7"/>
  <c r="AL100" i="7"/>
  <c r="AN103" i="7"/>
  <c r="AM87" i="7"/>
  <c r="AA27" i="6"/>
  <c r="AJ47" i="7"/>
  <c r="AA25" i="6"/>
  <c r="AA42" i="6" s="1"/>
  <c r="AJ132" i="7" s="1"/>
  <c r="AJ45" i="7"/>
  <c r="AM25" i="7"/>
  <c r="AM99" i="7"/>
  <c r="AL83" i="7"/>
  <c r="AL80" i="7"/>
  <c r="AL96" i="7"/>
  <c r="AM104" i="7"/>
  <c r="AL88" i="7"/>
  <c r="AL104" i="7"/>
  <c r="AA32" i="6"/>
  <c r="AA49" i="6" s="1"/>
  <c r="AJ139" i="7" s="1"/>
  <c r="AJ52" i="7"/>
  <c r="AE3" i="6"/>
  <c r="AN19" i="7"/>
  <c r="AK7" i="7"/>
  <c r="AL23" i="7"/>
  <c r="AP120" i="8"/>
  <c r="AL76" i="7"/>
  <c r="AA21" i="6"/>
  <c r="AA38" i="6" s="1"/>
  <c r="AJ128" i="7" s="1"/>
  <c r="AJ41" i="7"/>
  <c r="AA28" i="6"/>
  <c r="AA45" i="6" s="1"/>
  <c r="AJ135" i="7" s="1"/>
  <c r="AJ48" i="7"/>
  <c r="X20" i="6"/>
  <c r="X37" i="6" s="1"/>
  <c r="AG127" i="7" s="1"/>
  <c r="AG40" i="7"/>
  <c r="AJ49" i="7"/>
  <c r="AM29" i="7"/>
  <c r="AL82" i="7"/>
  <c r="AL98" i="7"/>
  <c r="AM85" i="7"/>
  <c r="AA24" i="6"/>
  <c r="AA41" i="6" s="1"/>
  <c r="AJ131" i="7" s="1"/>
  <c r="AJ44" i="7"/>
  <c r="AH90" i="7"/>
  <c r="AH74" i="7"/>
  <c r="AM26" i="7"/>
  <c r="AL81" i="7"/>
  <c r="AR236" i="8"/>
  <c r="AM235" i="7"/>
  <c r="AK15" i="7"/>
  <c r="AP128" i="8"/>
  <c r="AJ43" i="7"/>
  <c r="AO220" i="8"/>
  <c r="AQ19" i="8"/>
  <c r="AN232" i="7"/>
  <c r="AO223" i="7"/>
  <c r="AR10" i="8"/>
  <c r="AR27" i="8"/>
  <c r="AN224" i="7" s="1"/>
  <c r="AQ11" i="8"/>
  <c r="AF51" i="3"/>
  <c r="AF83" i="6" s="1"/>
  <c r="AF45" i="3"/>
  <c r="AF46" i="3"/>
  <c r="AF78" i="6" s="1"/>
  <c r="AE39" i="3"/>
  <c r="AE71" i="6" s="1"/>
  <c r="AM91" i="7"/>
  <c r="AE40" i="3"/>
  <c r="AE49" i="3"/>
  <c r="AE81" i="6" s="1"/>
  <c r="AM101" i="7"/>
  <c r="AE52" i="3"/>
  <c r="AF38" i="3"/>
  <c r="AF42" i="3"/>
  <c r="AF43" i="3"/>
  <c r="AF75" i="6" s="1"/>
  <c r="AF48" i="3"/>
  <c r="AF80" i="6" s="1"/>
  <c r="AE47" i="3"/>
  <c r="AF50" i="3"/>
  <c r="AF82" i="6" s="1"/>
  <c r="AE41" i="3"/>
  <c r="AR44" i="3"/>
  <c r="AO215" i="8"/>
  <c r="AP98" i="8"/>
  <c r="AM3" i="7"/>
  <c r="AO231" i="7"/>
  <c r="AR18" i="8"/>
  <c r="AO218" i="8"/>
  <c r="AN222" i="7"/>
  <c r="AQ9" i="8"/>
  <c r="AP99" i="8"/>
  <c r="AQ14" i="8"/>
  <c r="AN227" i="7"/>
  <c r="AP72" i="8"/>
  <c r="AQ58" i="8"/>
  <c r="AR61" i="8"/>
  <c r="AO213" i="8"/>
  <c r="AO214" i="8"/>
  <c r="AQ123" i="8"/>
  <c r="AP105" i="8"/>
  <c r="AO209" i="8"/>
  <c r="AO210" i="8"/>
  <c r="AQ15" i="8"/>
  <c r="AN228" i="7"/>
  <c r="AS301" i="8"/>
  <c r="AQ121" i="8"/>
  <c r="AM8" i="7" s="1"/>
  <c r="AP103" i="8"/>
  <c r="AO217" i="8"/>
  <c r="AQ118" i="8"/>
  <c r="AM5" i="7" s="1"/>
  <c r="AP100" i="8"/>
  <c r="AN230" i="7"/>
  <c r="AQ17" i="8"/>
  <c r="AQ13" i="8"/>
  <c r="AN226" i="7"/>
  <c r="AQ125" i="8"/>
  <c r="AM12" i="7" s="1"/>
  <c r="AP107" i="8"/>
  <c r="AR21" i="8"/>
  <c r="AO234" i="7"/>
  <c r="AU302" i="8"/>
  <c r="AO211" i="8"/>
  <c r="AQ16" i="8"/>
  <c r="AN229" i="7"/>
  <c r="AO219" i="8"/>
  <c r="AL170" i="8"/>
  <c r="AM155" i="8"/>
  <c r="AL208" i="8"/>
  <c r="AP38" i="8"/>
  <c r="AP8" i="8"/>
  <c r="AQ122" i="8"/>
  <c r="AM9" i="7" s="1"/>
  <c r="AP104" i="8"/>
  <c r="AP204" i="8"/>
  <c r="AD54" i="6"/>
  <c r="AQ126" i="8"/>
  <c r="AM13" i="7" s="1"/>
  <c r="AP108" i="8"/>
  <c r="AM6" i="7"/>
  <c r="AP101" i="8"/>
  <c r="AP109" i="8"/>
  <c r="AQ127" i="8"/>
  <c r="AM14" i="7" s="1"/>
  <c r="AQ124" i="8"/>
  <c r="AM11" i="7" s="1"/>
  <c r="AP106" i="8"/>
  <c r="AO225" i="7"/>
  <c r="AR12" i="8"/>
  <c r="AR295" i="8"/>
  <c r="AR323" i="8" s="1"/>
  <c r="AO216" i="8"/>
  <c r="AQ277" i="8"/>
  <c r="AQ282" i="8"/>
  <c r="AQ299" i="8" s="1"/>
  <c r="AR294" i="8"/>
  <c r="AR322" i="8" s="1"/>
  <c r="AQ276" i="8"/>
  <c r="AQ278" i="8"/>
  <c r="AQ46" i="8"/>
  <c r="AJ63" i="7" l="1"/>
  <c r="AA44" i="6"/>
  <c r="AJ134" i="7" s="1"/>
  <c r="AJ57" i="7"/>
  <c r="AJ68" i="7"/>
  <c r="AJ61" i="7"/>
  <c r="AG56" i="7"/>
  <c r="AJ60" i="7"/>
  <c r="AJ58" i="7"/>
  <c r="AJ64" i="7"/>
  <c r="AJ62" i="7"/>
  <c r="AJ67" i="7"/>
  <c r="AJ66" i="7"/>
  <c r="AM10" i="7"/>
  <c r="AD10" i="6"/>
  <c r="AN26" i="7" s="1"/>
  <c r="AO233" i="7"/>
  <c r="AS20" i="8"/>
  <c r="AR24" i="8"/>
  <c r="AM221" i="7"/>
  <c r="AF57" i="6"/>
  <c r="AE55" i="6"/>
  <c r="AE64" i="6"/>
  <c r="AF66" i="6"/>
  <c r="AF56" i="6"/>
  <c r="AF59" i="6"/>
  <c r="AE58" i="6"/>
  <c r="AF67" i="6"/>
  <c r="AF65" i="6"/>
  <c r="AF60" i="6"/>
  <c r="AE62" i="6"/>
  <c r="AF68" i="6"/>
  <c r="AF61" i="6"/>
  <c r="AP84" i="8"/>
  <c r="AP85" i="8"/>
  <c r="AP83" i="8"/>
  <c r="AP82" i="8"/>
  <c r="AP89" i="8"/>
  <c r="AP88" i="8"/>
  <c r="AP93" i="8"/>
  <c r="AP91" i="8"/>
  <c r="AP90" i="8"/>
  <c r="AP87" i="8"/>
  <c r="AP92" i="8"/>
  <c r="AR45" i="8"/>
  <c r="AR44" i="8"/>
  <c r="AQ42" i="8"/>
  <c r="AR48" i="8"/>
  <c r="AR47" i="8"/>
  <c r="AQ53" i="8"/>
  <c r="AL253" i="7"/>
  <c r="AR50" i="8"/>
  <c r="AQ49" i="8"/>
  <c r="AQ54" i="8"/>
  <c r="AR52" i="8"/>
  <c r="AN25" i="7"/>
  <c r="AM78" i="7"/>
  <c r="AM94" i="7"/>
  <c r="AN75" i="7"/>
  <c r="AB27" i="6"/>
  <c r="AK47" i="7"/>
  <c r="AN85" i="7"/>
  <c r="AN92" i="7"/>
  <c r="AM76" i="7"/>
  <c r="AM88" i="7"/>
  <c r="AM84" i="7"/>
  <c r="AM100" i="7"/>
  <c r="AP22" i="7"/>
  <c r="AB26" i="6"/>
  <c r="AB43" i="6" s="1"/>
  <c r="AK133" i="7" s="1"/>
  <c r="AK46" i="7"/>
  <c r="AB30" i="6"/>
  <c r="AB47" i="6" s="1"/>
  <c r="AK137" i="7" s="1"/>
  <c r="AK50" i="7"/>
  <c r="AN29" i="7"/>
  <c r="AO103" i="7"/>
  <c r="AN87" i="7"/>
  <c r="AR51" i="8"/>
  <c r="AL7" i="7"/>
  <c r="AM23" i="7"/>
  <c r="AQ120" i="8"/>
  <c r="AQ102" i="8" s="1"/>
  <c r="AN24" i="7"/>
  <c r="AB22" i="6"/>
  <c r="AB39" i="6" s="1"/>
  <c r="AK129" i="7" s="1"/>
  <c r="AK42" i="7"/>
  <c r="AB25" i="6"/>
  <c r="AB42" i="6" s="1"/>
  <c r="AK132" i="7" s="1"/>
  <c r="AK45" i="7"/>
  <c r="AL15" i="7"/>
  <c r="AQ128" i="8"/>
  <c r="AQ110" i="8" s="1"/>
  <c r="AM81" i="7"/>
  <c r="AM80" i="7"/>
  <c r="AM96" i="7"/>
  <c r="AS55" i="8"/>
  <c r="AM4" i="7"/>
  <c r="AN20" i="7"/>
  <c r="AM92" i="7"/>
  <c r="AP110" i="8"/>
  <c r="AB32" i="6"/>
  <c r="AB49" i="6" s="1"/>
  <c r="AK139" i="7" s="1"/>
  <c r="AK52" i="7"/>
  <c r="AM86" i="7"/>
  <c r="AM102" i="7"/>
  <c r="Y20" i="6"/>
  <c r="Y37" i="6" s="1"/>
  <c r="AH127" i="7" s="1"/>
  <c r="AH40" i="7"/>
  <c r="AB21" i="6"/>
  <c r="AB38" i="6" s="1"/>
  <c r="AK128" i="7" s="1"/>
  <c r="AK41" i="7"/>
  <c r="AM82" i="7"/>
  <c r="AM98" i="7"/>
  <c r="AN28" i="7"/>
  <c r="AN99" i="7"/>
  <c r="AM83" i="7"/>
  <c r="AR43" i="8"/>
  <c r="AP102" i="8"/>
  <c r="AP86" i="8" s="1"/>
  <c r="AB24" i="6"/>
  <c r="AB41" i="6" s="1"/>
  <c r="AK131" i="7" s="1"/>
  <c r="AK44" i="7"/>
  <c r="AB31" i="6"/>
  <c r="AB48" i="6" s="1"/>
  <c r="AK138" i="7" s="1"/>
  <c r="AK51" i="7"/>
  <c r="AB28" i="6"/>
  <c r="AB45" i="6" s="1"/>
  <c r="AK135" i="7" s="1"/>
  <c r="AK48" i="7"/>
  <c r="AI90" i="7"/>
  <c r="AI74" i="7"/>
  <c r="AK49" i="7"/>
  <c r="AS236" i="8"/>
  <c r="AN235" i="7"/>
  <c r="AF3" i="6"/>
  <c r="AO19" i="7"/>
  <c r="AM79" i="7"/>
  <c r="AM95" i="7"/>
  <c r="AR158" i="8"/>
  <c r="AN93" i="7" s="1"/>
  <c r="AM77" i="7"/>
  <c r="AK43" i="7"/>
  <c r="AO232" i="7"/>
  <c r="AR19" i="8"/>
  <c r="AS27" i="8"/>
  <c r="AO224" i="7" s="1"/>
  <c r="AR11" i="8"/>
  <c r="AP223" i="7"/>
  <c r="AS10" i="8"/>
  <c r="AG38" i="3"/>
  <c r="AS44" i="3"/>
  <c r="AG48" i="3"/>
  <c r="AG80" i="6" s="1"/>
  <c r="AF52" i="3"/>
  <c r="AG46" i="3"/>
  <c r="AG78" i="6" s="1"/>
  <c r="AF39" i="3"/>
  <c r="AF71" i="6" s="1"/>
  <c r="AN91" i="7"/>
  <c r="AF47" i="3"/>
  <c r="AF49" i="3"/>
  <c r="AF81" i="6" s="1"/>
  <c r="AN101" i="7"/>
  <c r="AF41" i="3"/>
  <c r="AG43" i="3"/>
  <c r="AG75" i="6" s="1"/>
  <c r="AG45" i="3"/>
  <c r="AG50" i="3"/>
  <c r="AG82" i="6" s="1"/>
  <c r="AG42" i="3"/>
  <c r="AF40" i="3"/>
  <c r="AG51" i="3"/>
  <c r="AG83" i="6" s="1"/>
  <c r="AQ101" i="8"/>
  <c r="AN6" i="7"/>
  <c r="AP216" i="8"/>
  <c r="AR121" i="8"/>
  <c r="AN8" i="7" s="1"/>
  <c r="AQ103" i="8"/>
  <c r="AE54" i="6"/>
  <c r="AQ204" i="8"/>
  <c r="AP210" i="8"/>
  <c r="AP225" i="7"/>
  <c r="AS12" i="8"/>
  <c r="AR123" i="8"/>
  <c r="AQ105" i="8"/>
  <c r="AP218" i="8"/>
  <c r="AP213" i="8"/>
  <c r="AR126" i="8"/>
  <c r="AN13" i="7" s="1"/>
  <c r="AQ108" i="8"/>
  <c r="AR118" i="8"/>
  <c r="AN5" i="7" s="1"/>
  <c r="AQ100" i="8"/>
  <c r="AT301" i="8"/>
  <c r="AP209" i="8"/>
  <c r="AO229" i="7"/>
  <c r="AR16" i="8"/>
  <c r="AR124" i="8"/>
  <c r="AN11" i="7" s="1"/>
  <c r="AQ106" i="8"/>
  <c r="AQ107" i="8"/>
  <c r="AR125" i="8"/>
  <c r="AN12" i="7" s="1"/>
  <c r="AP214" i="8"/>
  <c r="AO226" i="7"/>
  <c r="AR13" i="8"/>
  <c r="AO222" i="7"/>
  <c r="AR9" i="8"/>
  <c r="AS18" i="8"/>
  <c r="AP231" i="7"/>
  <c r="AR14" i="8"/>
  <c r="AO227" i="7"/>
  <c r="AQ38" i="8"/>
  <c r="AQ8" i="8"/>
  <c r="AR15" i="8"/>
  <c r="AO228" i="7"/>
  <c r="AQ99" i="8"/>
  <c r="AR46" i="8"/>
  <c r="AM170" i="8"/>
  <c r="AN155" i="8"/>
  <c r="AM208" i="8"/>
  <c r="AS61" i="8"/>
  <c r="AN3" i="7"/>
  <c r="AQ98" i="8"/>
  <c r="AR282" i="8"/>
  <c r="AR299" i="8" s="1"/>
  <c r="AR277" i="8"/>
  <c r="AR276" i="8"/>
  <c r="AR278" i="8"/>
  <c r="AO230" i="7"/>
  <c r="AR17" i="8"/>
  <c r="AP217" i="8"/>
  <c r="AR127" i="8"/>
  <c r="AN14" i="7" s="1"/>
  <c r="AQ109" i="8"/>
  <c r="AS295" i="8"/>
  <c r="AS323" i="8" s="1"/>
  <c r="AP219" i="8"/>
  <c r="AQ104" i="8"/>
  <c r="AR122" i="8"/>
  <c r="AN9" i="7" s="1"/>
  <c r="AV302" i="8"/>
  <c r="AP211" i="8"/>
  <c r="AP234" i="7"/>
  <c r="AS21" i="8"/>
  <c r="AP215" i="8"/>
  <c r="AR58" i="8"/>
  <c r="AQ72" i="8"/>
  <c r="AK63" i="7" l="1"/>
  <c r="AB44" i="6"/>
  <c r="AK134" i="7" s="1"/>
  <c r="AK68" i="7"/>
  <c r="AK60" i="7"/>
  <c r="AK57" i="7"/>
  <c r="AK62" i="7"/>
  <c r="AK66" i="7"/>
  <c r="AH56" i="7"/>
  <c r="AK61" i="7"/>
  <c r="AK64" i="7"/>
  <c r="AK67" i="7"/>
  <c r="AK58" i="7"/>
  <c r="AN10" i="7"/>
  <c r="AE10" i="6"/>
  <c r="AO26" i="7" s="1"/>
  <c r="AS24" i="8"/>
  <c r="AN221" i="7"/>
  <c r="AP233" i="7"/>
  <c r="AT20" i="8"/>
  <c r="AG67" i="6"/>
  <c r="AG66" i="6"/>
  <c r="AF62" i="6"/>
  <c r="AF58" i="6"/>
  <c r="AF64" i="6"/>
  <c r="AG61" i="6"/>
  <c r="AG60" i="6"/>
  <c r="AG59" i="6"/>
  <c r="AF55" i="6"/>
  <c r="AG68" i="6"/>
  <c r="AG65" i="6"/>
  <c r="AG56" i="6"/>
  <c r="AG57" i="6"/>
  <c r="AQ83" i="8"/>
  <c r="AQ85" i="8"/>
  <c r="AQ84" i="8"/>
  <c r="AQ82" i="8"/>
  <c r="AQ93" i="8"/>
  <c r="AQ86" i="8"/>
  <c r="AQ94" i="8"/>
  <c r="AQ88" i="8"/>
  <c r="AQ89" i="8"/>
  <c r="AQ87" i="8"/>
  <c r="AQ91" i="8"/>
  <c r="AP94" i="8"/>
  <c r="AQ90" i="8"/>
  <c r="AQ92" i="8"/>
  <c r="AS48" i="8"/>
  <c r="AS44" i="8"/>
  <c r="AR53" i="8"/>
  <c r="AS45" i="8"/>
  <c r="AS47" i="8"/>
  <c r="AS50" i="8"/>
  <c r="AR42" i="8"/>
  <c r="AR49" i="8"/>
  <c r="AR54" i="8"/>
  <c r="AS52" i="8"/>
  <c r="AQ212" i="8"/>
  <c r="AM44" i="7" s="1"/>
  <c r="AP220" i="8"/>
  <c r="AC32" i="6" s="1"/>
  <c r="AC49" i="6" s="1"/>
  <c r="AL139" i="7" s="1"/>
  <c r="AN104" i="7"/>
  <c r="AM253" i="7"/>
  <c r="AJ90" i="7"/>
  <c r="AJ74" i="7"/>
  <c r="AC25" i="6"/>
  <c r="AC42" i="6" s="1"/>
  <c r="AL132" i="7" s="1"/>
  <c r="AL45" i="7"/>
  <c r="AS158" i="8"/>
  <c r="AO93" i="7" s="1"/>
  <c r="AN77" i="7"/>
  <c r="AO24" i="7"/>
  <c r="AN81" i="7"/>
  <c r="AG3" i="6"/>
  <c r="AP19" i="7"/>
  <c r="AO104" i="7"/>
  <c r="AN88" i="7"/>
  <c r="AO85" i="7"/>
  <c r="AO75" i="7"/>
  <c r="AC30" i="6"/>
  <c r="AC47" i="6" s="1"/>
  <c r="AL137" i="7" s="1"/>
  <c r="AL50" i="7"/>
  <c r="AN83" i="7"/>
  <c r="AM15" i="7"/>
  <c r="AR128" i="8"/>
  <c r="AR110" i="8" s="1"/>
  <c r="AN79" i="7"/>
  <c r="AN95" i="7"/>
  <c r="AP212" i="8"/>
  <c r="AC22" i="6"/>
  <c r="AC39" i="6" s="1"/>
  <c r="AL129" i="7" s="1"/>
  <c r="AL42" i="7"/>
  <c r="AO25" i="7"/>
  <c r="AS43" i="8"/>
  <c r="AN86" i="7"/>
  <c r="AN102" i="7"/>
  <c r="AN80" i="7"/>
  <c r="AN96" i="7"/>
  <c r="AM7" i="7"/>
  <c r="AN23" i="7"/>
  <c r="AR120" i="8"/>
  <c r="AR102" i="8" s="1"/>
  <c r="AQ22" i="7"/>
  <c r="AN78" i="7"/>
  <c r="AN94" i="7"/>
  <c r="AC31" i="6"/>
  <c r="AC48" i="6" s="1"/>
  <c r="AL138" i="7" s="1"/>
  <c r="AL51" i="7"/>
  <c r="AT55" i="8"/>
  <c r="AP103" i="7"/>
  <c r="AO87" i="7"/>
  <c r="AO92" i="7"/>
  <c r="AN76" i="7"/>
  <c r="AC27" i="6"/>
  <c r="AL47" i="7"/>
  <c r="AL49" i="7"/>
  <c r="AC26" i="6"/>
  <c r="AC43" i="6" s="1"/>
  <c r="AL133" i="7" s="1"/>
  <c r="AL46" i="7"/>
  <c r="AC28" i="6"/>
  <c r="AC45" i="6" s="1"/>
  <c r="AL135" i="7" s="1"/>
  <c r="AL48" i="7"/>
  <c r="AO29" i="7"/>
  <c r="AO28" i="7"/>
  <c r="AN82" i="7"/>
  <c r="AN98" i="7"/>
  <c r="Z20" i="6"/>
  <c r="Z37" i="6" s="1"/>
  <c r="AI127" i="7" s="1"/>
  <c r="AI40" i="7"/>
  <c r="AN4" i="7"/>
  <c r="AO20" i="7"/>
  <c r="AC21" i="6"/>
  <c r="AC38" i="6" s="1"/>
  <c r="AL128" i="7" s="1"/>
  <c r="AL41" i="7"/>
  <c r="AT236" i="8"/>
  <c r="AO235" i="7"/>
  <c r="AS51" i="8"/>
  <c r="AN84" i="7"/>
  <c r="AN100" i="7"/>
  <c r="AL43" i="7"/>
  <c r="AQ220" i="8"/>
  <c r="AT10" i="8"/>
  <c r="AQ223" i="7"/>
  <c r="AT27" i="8"/>
  <c r="AP224" i="7" s="1"/>
  <c r="AS11" i="8"/>
  <c r="AS19" i="8"/>
  <c r="AP232" i="7"/>
  <c r="AH51" i="3"/>
  <c r="AH83" i="6" s="1"/>
  <c r="AH45" i="3"/>
  <c r="AG47" i="3"/>
  <c r="AO99" i="7"/>
  <c r="AH48" i="3"/>
  <c r="AH80" i="6" s="1"/>
  <c r="AH50" i="3"/>
  <c r="AH82" i="6" s="1"/>
  <c r="AG52" i="3"/>
  <c r="AH43" i="3"/>
  <c r="AH75" i="6" s="1"/>
  <c r="AG49" i="3"/>
  <c r="AG81" i="6" s="1"/>
  <c r="AO101" i="7"/>
  <c r="AG39" i="3"/>
  <c r="AG71" i="6" s="1"/>
  <c r="AO91" i="7"/>
  <c r="AG40" i="3"/>
  <c r="AT44" i="3"/>
  <c r="AH42" i="3"/>
  <c r="AG41" i="3"/>
  <c r="AH46" i="3"/>
  <c r="AH78" i="6" s="1"/>
  <c r="AH38" i="3"/>
  <c r="AQ210" i="8"/>
  <c r="AT295" i="8"/>
  <c r="AT323" i="8" s="1"/>
  <c r="AT61" i="8"/>
  <c r="AO155" i="8"/>
  <c r="AN170" i="8"/>
  <c r="AN208" i="8"/>
  <c r="AQ209" i="8"/>
  <c r="AP229" i="7"/>
  <c r="AS16" i="8"/>
  <c r="AR100" i="8"/>
  <c r="AS118" i="8"/>
  <c r="AO5" i="7" s="1"/>
  <c r="AQ225" i="7"/>
  <c r="AT12" i="8"/>
  <c r="AR204" i="8"/>
  <c r="AF54" i="6"/>
  <c r="AR99" i="8"/>
  <c r="AQ231" i="7"/>
  <c r="AT18" i="8"/>
  <c r="AQ213" i="8"/>
  <c r="AR72" i="8"/>
  <c r="AS58" i="8"/>
  <c r="AW302" i="8"/>
  <c r="AO3" i="7"/>
  <c r="AR98" i="8"/>
  <c r="AS121" i="8"/>
  <c r="AO8" i="7" s="1"/>
  <c r="AR103" i="8"/>
  <c r="AS282" i="8"/>
  <c r="AS278" i="8"/>
  <c r="AS277" i="8"/>
  <c r="AS276" i="8"/>
  <c r="AT294" i="8"/>
  <c r="AT322" i="8" s="1"/>
  <c r="AO6" i="7"/>
  <c r="AR101" i="8"/>
  <c r="AS122" i="8"/>
  <c r="AO9" i="7" s="1"/>
  <c r="AR104" i="8"/>
  <c r="AS17" i="8"/>
  <c r="AP230" i="7"/>
  <c r="AR107" i="8"/>
  <c r="AS125" i="8"/>
  <c r="AO12" i="7" s="1"/>
  <c r="AQ215" i="8"/>
  <c r="AQ214" i="8"/>
  <c r="AQ219" i="8"/>
  <c r="AR38" i="8"/>
  <c r="AR8" i="8"/>
  <c r="AS9" i="8"/>
  <c r="AP222" i="7"/>
  <c r="AQ217" i="8"/>
  <c r="AS123" i="8"/>
  <c r="AR105" i="8"/>
  <c r="AQ211" i="8"/>
  <c r="AP228" i="7"/>
  <c r="AS15" i="8"/>
  <c r="AS46" i="8"/>
  <c r="AS127" i="8"/>
  <c r="AO14" i="7" s="1"/>
  <c r="AR109" i="8"/>
  <c r="AQ216" i="8"/>
  <c r="AU301" i="8"/>
  <c r="AQ218" i="8"/>
  <c r="AS14" i="8"/>
  <c r="AP227" i="7"/>
  <c r="AT21" i="8"/>
  <c r="AQ234" i="7"/>
  <c r="AP226" i="7"/>
  <c r="AS13" i="8"/>
  <c r="AR106" i="8"/>
  <c r="AS124" i="8"/>
  <c r="AO11" i="7" s="1"/>
  <c r="AS294" i="8"/>
  <c r="AS322" i="8" s="1"/>
  <c r="AS126" i="8"/>
  <c r="AO13" i="7" s="1"/>
  <c r="AR108" i="8"/>
  <c r="AL63" i="7" l="1"/>
  <c r="AC44" i="6"/>
  <c r="AL134" i="7" s="1"/>
  <c r="AL62" i="7"/>
  <c r="AL58" i="7"/>
  <c r="AL67" i="7"/>
  <c r="AL68" i="7"/>
  <c r="AL57" i="7"/>
  <c r="AL66" i="7"/>
  <c r="AL61" i="7"/>
  <c r="AL64" i="7"/>
  <c r="AI56" i="7"/>
  <c r="AO10" i="7"/>
  <c r="AF10" i="6"/>
  <c r="AP26" i="7" s="1"/>
  <c r="AQ233" i="7"/>
  <c r="AU20" i="8"/>
  <c r="AT24" i="8"/>
  <c r="AO221" i="7"/>
  <c r="AH65" i="6"/>
  <c r="AH60" i="6"/>
  <c r="AG62" i="6"/>
  <c r="AH68" i="6"/>
  <c r="AH61" i="6"/>
  <c r="AH66" i="6"/>
  <c r="AD24" i="6"/>
  <c r="AD41" i="6" s="1"/>
  <c r="AM131" i="7" s="1"/>
  <c r="AH57" i="6"/>
  <c r="AG55" i="6"/>
  <c r="AG64" i="6"/>
  <c r="AH67" i="6"/>
  <c r="AH56" i="6"/>
  <c r="AH59" i="6"/>
  <c r="AG58" i="6"/>
  <c r="AR83" i="8"/>
  <c r="AR85" i="8"/>
  <c r="AR82" i="8"/>
  <c r="AR84" i="8"/>
  <c r="AR93" i="8"/>
  <c r="AR91" i="8"/>
  <c r="AR86" i="8"/>
  <c r="AR89" i="8"/>
  <c r="AR88" i="8"/>
  <c r="AR90" i="8"/>
  <c r="AR94" i="8"/>
  <c r="AR92" i="8"/>
  <c r="AR87" i="8"/>
  <c r="AT48" i="8"/>
  <c r="AS42" i="8"/>
  <c r="AT47" i="8"/>
  <c r="AT45" i="8"/>
  <c r="AT44" i="8"/>
  <c r="AS53" i="8"/>
  <c r="AT50" i="8"/>
  <c r="AS49" i="8"/>
  <c r="AS54" i="8"/>
  <c r="AT52" i="8"/>
  <c r="AL52" i="7"/>
  <c r="AR212" i="8"/>
  <c r="AE24" i="6" s="1"/>
  <c r="AE41" i="6" s="1"/>
  <c r="AN131" i="7" s="1"/>
  <c r="AN253" i="7"/>
  <c r="AD27" i="6"/>
  <c r="AM47" i="7"/>
  <c r="AT51" i="8"/>
  <c r="AP28" i="7"/>
  <c r="AP85" i="7"/>
  <c r="AT158" i="8"/>
  <c r="AP93" i="7" s="1"/>
  <c r="AO77" i="7"/>
  <c r="AO82" i="7"/>
  <c r="AO98" i="7"/>
  <c r="AT43" i="8"/>
  <c r="AO81" i="7"/>
  <c r="AD30" i="6"/>
  <c r="AD47" i="6" s="1"/>
  <c r="AM137" i="7" s="1"/>
  <c r="AM50" i="7"/>
  <c r="AO78" i="7"/>
  <c r="AO94" i="7"/>
  <c r="AP104" i="7"/>
  <c r="AO88" i="7"/>
  <c r="AH3" i="6"/>
  <c r="AQ19" i="7"/>
  <c r="AD31" i="6"/>
  <c r="AD48" i="6" s="1"/>
  <c r="AM138" i="7" s="1"/>
  <c r="AM51" i="7"/>
  <c r="AO4" i="7"/>
  <c r="AP20" i="7"/>
  <c r="AD21" i="6"/>
  <c r="AD38" i="6" s="1"/>
  <c r="AM128" i="7" s="1"/>
  <c r="AM41" i="7"/>
  <c r="AO79" i="7"/>
  <c r="AO95" i="7"/>
  <c r="AP99" i="7"/>
  <c r="AO83" i="7"/>
  <c r="AP24" i="7"/>
  <c r="AD26" i="6"/>
  <c r="AD43" i="6" s="1"/>
  <c r="AM133" i="7" s="1"/>
  <c r="AM46" i="7"/>
  <c r="AA20" i="6"/>
  <c r="AA37" i="6" s="1"/>
  <c r="AJ127" i="7" s="1"/>
  <c r="AJ40" i="7"/>
  <c r="AD22" i="6"/>
  <c r="AD39" i="6" s="1"/>
  <c r="AM129" i="7" s="1"/>
  <c r="AM42" i="7"/>
  <c r="AP25" i="7"/>
  <c r="AP92" i="7"/>
  <c r="AO76" i="7"/>
  <c r="AR22" i="7"/>
  <c r="AO80" i="7"/>
  <c r="AO96" i="7"/>
  <c r="AD25" i="6"/>
  <c r="AD42" i="6" s="1"/>
  <c r="AM132" i="7" s="1"/>
  <c r="AM45" i="7"/>
  <c r="AD28" i="6"/>
  <c r="AD45" i="6" s="1"/>
  <c r="AM135" i="7" s="1"/>
  <c r="AM48" i="7"/>
  <c r="AK90" i="7"/>
  <c r="AK74" i="7"/>
  <c r="AD32" i="6"/>
  <c r="AD49" i="6" s="1"/>
  <c r="AM139" i="7" s="1"/>
  <c r="AM52" i="7"/>
  <c r="AP29" i="7"/>
  <c r="AP87" i="7"/>
  <c r="AP75" i="7"/>
  <c r="AM49" i="7"/>
  <c r="AO84" i="7"/>
  <c r="AO100" i="7"/>
  <c r="AU236" i="8"/>
  <c r="AP235" i="7"/>
  <c r="AU55" i="8"/>
  <c r="AN7" i="7"/>
  <c r="AO23" i="7"/>
  <c r="AS120" i="8"/>
  <c r="AS102" i="8" s="1"/>
  <c r="AO86" i="7"/>
  <c r="AO102" i="7"/>
  <c r="AC24" i="6"/>
  <c r="AC41" i="6" s="1"/>
  <c r="AL131" i="7" s="1"/>
  <c r="AL44" i="7"/>
  <c r="AN15" i="7"/>
  <c r="AS128" i="8"/>
  <c r="AM43" i="7"/>
  <c r="AR220" i="8"/>
  <c r="AT11" i="8"/>
  <c r="AU27" i="8"/>
  <c r="AQ224" i="7" s="1"/>
  <c r="AQ232" i="7"/>
  <c r="AT19" i="8"/>
  <c r="AU10" i="8"/>
  <c r="AR223" i="7"/>
  <c r="AI42" i="3"/>
  <c r="AI38" i="3"/>
  <c r="AU44" i="3"/>
  <c r="AI43" i="3"/>
  <c r="AI75" i="6" s="1"/>
  <c r="AH47" i="3"/>
  <c r="AI48" i="3"/>
  <c r="AI80" i="6" s="1"/>
  <c r="AI46" i="3"/>
  <c r="AI78" i="6" s="1"/>
  <c r="AH40" i="3"/>
  <c r="AH52" i="3"/>
  <c r="AI45" i="3"/>
  <c r="AH49" i="3"/>
  <c r="AH81" i="6" s="1"/>
  <c r="AP101" i="7"/>
  <c r="AH41" i="3"/>
  <c r="AH39" i="3"/>
  <c r="AH71" i="6" s="1"/>
  <c r="AP91" i="7"/>
  <c r="AI50" i="3"/>
  <c r="AI82" i="6" s="1"/>
  <c r="AI51" i="3"/>
  <c r="AI83" i="6" s="1"/>
  <c r="AR218" i="8"/>
  <c r="AR216" i="8"/>
  <c r="AT127" i="8"/>
  <c r="AP14" i="7" s="1"/>
  <c r="AS109" i="8"/>
  <c r="AT122" i="8"/>
  <c r="AP9" i="7" s="1"/>
  <c r="AS104" i="8"/>
  <c r="AR213" i="8"/>
  <c r="AQ228" i="7"/>
  <c r="AT15" i="8"/>
  <c r="AT125" i="8"/>
  <c r="AP12" i="7" s="1"/>
  <c r="AS107" i="8"/>
  <c r="AR211" i="8"/>
  <c r="AS103" i="8"/>
  <c r="AT121" i="8"/>
  <c r="AP8" i="7" s="1"/>
  <c r="AP3" i="7"/>
  <c r="AS98" i="8"/>
  <c r="AR225" i="7"/>
  <c r="AU12" i="8"/>
  <c r="AQ226" i="7"/>
  <c r="AT13" i="8"/>
  <c r="AT9" i="8"/>
  <c r="AQ222" i="7"/>
  <c r="AR217" i="8"/>
  <c r="AP6" i="7"/>
  <c r="AS101" i="8"/>
  <c r="AT118" i="8"/>
  <c r="AP5" i="7" s="1"/>
  <c r="AS100" i="8"/>
  <c r="AP155" i="8"/>
  <c r="AO170" i="8"/>
  <c r="AO208" i="8"/>
  <c r="AT14" i="8"/>
  <c r="AQ227" i="7"/>
  <c r="AT278" i="8"/>
  <c r="AT277" i="8"/>
  <c r="AT282" i="8"/>
  <c r="AT299" i="8" s="1"/>
  <c r="AT276" i="8"/>
  <c r="AU294" i="8"/>
  <c r="AU322" i="8" s="1"/>
  <c r="AX302" i="8"/>
  <c r="AR210" i="8"/>
  <c r="AR215" i="8"/>
  <c r="AR231" i="7"/>
  <c r="AU18" i="8"/>
  <c r="AU61" i="8"/>
  <c r="AT126" i="8"/>
  <c r="AP13" i="7" s="1"/>
  <c r="AS108" i="8"/>
  <c r="AT123" i="8"/>
  <c r="AS105" i="8"/>
  <c r="AT17" i="8"/>
  <c r="AQ230" i="7"/>
  <c r="AS72" i="8"/>
  <c r="AT58" i="8"/>
  <c r="AR209" i="8"/>
  <c r="AQ229" i="7"/>
  <c r="AT16" i="8"/>
  <c r="AS38" i="8"/>
  <c r="AS8" i="8"/>
  <c r="AS99" i="8"/>
  <c r="AS204" i="8"/>
  <c r="AG54" i="6"/>
  <c r="AU295" i="8"/>
  <c r="AU323" i="8" s="1"/>
  <c r="AT124" i="8"/>
  <c r="AP11" i="7" s="1"/>
  <c r="AS106" i="8"/>
  <c r="AR234" i="7"/>
  <c r="AU21" i="8"/>
  <c r="AV301" i="8"/>
  <c r="AR219" i="8"/>
  <c r="AR214" i="8"/>
  <c r="AS299" i="8"/>
  <c r="AM63" i="7" l="1"/>
  <c r="AD44" i="6"/>
  <c r="AM134" i="7" s="1"/>
  <c r="AM61" i="7"/>
  <c r="AM58" i="7"/>
  <c r="AM67" i="7"/>
  <c r="AM66" i="7"/>
  <c r="AL60" i="7"/>
  <c r="AM68" i="7"/>
  <c r="AJ56" i="7"/>
  <c r="AM60" i="7"/>
  <c r="AM62" i="7"/>
  <c r="AM57" i="7"/>
  <c r="AN60" i="7"/>
  <c r="AM64" i="7"/>
  <c r="AP10" i="7"/>
  <c r="AG10" i="6"/>
  <c r="AU24" i="8"/>
  <c r="AP221" i="7"/>
  <c r="AR233" i="7"/>
  <c r="AV20" i="8"/>
  <c r="AI59" i="6"/>
  <c r="AH55" i="6"/>
  <c r="AI68" i="6"/>
  <c r="AI56" i="6"/>
  <c r="AI57" i="6"/>
  <c r="AH62" i="6"/>
  <c r="AI67" i="6"/>
  <c r="AI66" i="6"/>
  <c r="AI60" i="6"/>
  <c r="AH58" i="6"/>
  <c r="AH64" i="6"/>
  <c r="AI61" i="6"/>
  <c r="AI65" i="6"/>
  <c r="AS83" i="8"/>
  <c r="AS82" i="8"/>
  <c r="AS85" i="8"/>
  <c r="AS84" i="8"/>
  <c r="AS89" i="8"/>
  <c r="AS87" i="8"/>
  <c r="AS88" i="8"/>
  <c r="AS93" i="8"/>
  <c r="AS86" i="8"/>
  <c r="AS90" i="8"/>
  <c r="AS91" i="8"/>
  <c r="AS92" i="8"/>
  <c r="AU45" i="8"/>
  <c r="AT53" i="8"/>
  <c r="AT49" i="8"/>
  <c r="AT42" i="8"/>
  <c r="AT46" i="8"/>
  <c r="AU48" i="8"/>
  <c r="AU44" i="8"/>
  <c r="AU47" i="8"/>
  <c r="AU50" i="8"/>
  <c r="AT54" i="8"/>
  <c r="AU52" i="8"/>
  <c r="AN44" i="7"/>
  <c r="AO253" i="7"/>
  <c r="AO15" i="7"/>
  <c r="AT128" i="8"/>
  <c r="AT110" i="8" s="1"/>
  <c r="AP78" i="7"/>
  <c r="AP94" i="7"/>
  <c r="AO7" i="7"/>
  <c r="AP23" i="7"/>
  <c r="AT120" i="8"/>
  <c r="AR103" i="7"/>
  <c r="AQ87" i="7"/>
  <c r="AP80" i="7"/>
  <c r="AP96" i="7"/>
  <c r="AP79" i="7"/>
  <c r="AP95" i="7"/>
  <c r="AQ28" i="7"/>
  <c r="AI3" i="6"/>
  <c r="AR19" i="7"/>
  <c r="AP82" i="7"/>
  <c r="AP98" i="7"/>
  <c r="AE22" i="6"/>
  <c r="AE39" i="6" s="1"/>
  <c r="AN129" i="7" s="1"/>
  <c r="AN42" i="7"/>
  <c r="AE28" i="6"/>
  <c r="AE45" i="6" s="1"/>
  <c r="AN135" i="7" s="1"/>
  <c r="AN48" i="7"/>
  <c r="AS110" i="8"/>
  <c r="AP88" i="7"/>
  <c r="AU43" i="8"/>
  <c r="AU51" i="8"/>
  <c r="AQ29" i="7"/>
  <c r="AS212" i="8"/>
  <c r="AQ24" i="7"/>
  <c r="AS22" i="7"/>
  <c r="AV236" i="8"/>
  <c r="AQ235" i="7"/>
  <c r="AU158" i="8"/>
  <c r="AQ93" i="7" s="1"/>
  <c r="AP77" i="7"/>
  <c r="AE25" i="6"/>
  <c r="AE42" i="6" s="1"/>
  <c r="AN132" i="7" s="1"/>
  <c r="AN45" i="7"/>
  <c r="AB20" i="6"/>
  <c r="AB37" i="6" s="1"/>
  <c r="AK127" i="7" s="1"/>
  <c r="AK40" i="7"/>
  <c r="AE32" i="6"/>
  <c r="AE49" i="6" s="1"/>
  <c r="AN139" i="7" s="1"/>
  <c r="AN52" i="7"/>
  <c r="AQ92" i="7"/>
  <c r="AP76" i="7"/>
  <c r="AE26" i="6"/>
  <c r="AE43" i="6" s="1"/>
  <c r="AN133" i="7" s="1"/>
  <c r="AN46" i="7"/>
  <c r="AE21" i="6"/>
  <c r="AE38" i="6" s="1"/>
  <c r="AN128" i="7" s="1"/>
  <c r="AN41" i="7"/>
  <c r="AE31" i="6"/>
  <c r="AE48" i="6" s="1"/>
  <c r="AN138" i="7" s="1"/>
  <c r="AN51" i="7"/>
  <c r="AN49" i="7"/>
  <c r="AE30" i="6"/>
  <c r="AE47" i="6" s="1"/>
  <c r="AN137" i="7" s="1"/>
  <c r="AN50" i="7"/>
  <c r="AQ25" i="7"/>
  <c r="AQ26" i="7"/>
  <c r="AQ99" i="7"/>
  <c r="AP83" i="7"/>
  <c r="AP81" i="7"/>
  <c r="AQ85" i="7"/>
  <c r="AP4" i="7"/>
  <c r="AQ20" i="7"/>
  <c r="AE27" i="6"/>
  <c r="AN47" i="7"/>
  <c r="AP86" i="7"/>
  <c r="AP102" i="7"/>
  <c r="AL90" i="7"/>
  <c r="AL74" i="7"/>
  <c r="AQ103" i="7"/>
  <c r="AV55" i="8"/>
  <c r="AP84" i="7"/>
  <c r="AP100" i="7"/>
  <c r="AQ75" i="7"/>
  <c r="AN43" i="7"/>
  <c r="AV10" i="8"/>
  <c r="AS223" i="7"/>
  <c r="AR232" i="7"/>
  <c r="AU19" i="8"/>
  <c r="AU11" i="8"/>
  <c r="AV27" i="8"/>
  <c r="AR224" i="7" s="1"/>
  <c r="AI41" i="3"/>
  <c r="AI40" i="3"/>
  <c r="AV44" i="3"/>
  <c r="AJ50" i="3"/>
  <c r="AJ82" i="6" s="1"/>
  <c r="AJ45" i="3"/>
  <c r="AJ48" i="3"/>
  <c r="AJ80" i="6" s="1"/>
  <c r="AJ38" i="3"/>
  <c r="AI49" i="3"/>
  <c r="AI81" i="6" s="1"/>
  <c r="AQ101" i="7"/>
  <c r="AJ43" i="3"/>
  <c r="AJ75" i="6" s="1"/>
  <c r="AJ51" i="3"/>
  <c r="AJ83" i="6" s="1"/>
  <c r="AJ46" i="3"/>
  <c r="AJ78" i="6" s="1"/>
  <c r="AI39" i="3"/>
  <c r="AI71" i="6" s="1"/>
  <c r="AQ91" i="7"/>
  <c r="AI52" i="3"/>
  <c r="AQ104" i="7"/>
  <c r="AI47" i="3"/>
  <c r="AJ42" i="3"/>
  <c r="AT204" i="8"/>
  <c r="AH54" i="6"/>
  <c r="AT72" i="8"/>
  <c r="AU58" i="8"/>
  <c r="AS213" i="8"/>
  <c r="AR228" i="7"/>
  <c r="AU15" i="8"/>
  <c r="AS219" i="8"/>
  <c r="AS211" i="8"/>
  <c r="AU127" i="8"/>
  <c r="AQ14" i="7" s="1"/>
  <c r="AT109" i="8"/>
  <c r="AT99" i="8"/>
  <c r="AU16" i="8"/>
  <c r="AR229" i="7"/>
  <c r="AY302" i="8"/>
  <c r="AQ6" i="7"/>
  <c r="AT101" i="8"/>
  <c r="AR226" i="7"/>
  <c r="AU13" i="8"/>
  <c r="AV18" i="8"/>
  <c r="AS231" i="7"/>
  <c r="AT108" i="8"/>
  <c r="AU126" i="8"/>
  <c r="AQ13" i="7" s="1"/>
  <c r="AP170" i="8"/>
  <c r="AQ155" i="8"/>
  <c r="AP208" i="8"/>
  <c r="AV12" i="8"/>
  <c r="AS225" i="7"/>
  <c r="AS218" i="8"/>
  <c r="AS216" i="8"/>
  <c r="AR230" i="7"/>
  <c r="AU17" i="8"/>
  <c r="AU124" i="8"/>
  <c r="AQ11" i="7" s="1"/>
  <c r="AT106" i="8"/>
  <c r="AV61" i="8"/>
  <c r="AU276" i="8"/>
  <c r="AU282" i="8"/>
  <c r="AU299" i="8" s="1"/>
  <c r="AU277" i="8"/>
  <c r="AV294" i="8"/>
  <c r="AV322" i="8" s="1"/>
  <c r="AU278" i="8"/>
  <c r="AS210" i="8"/>
  <c r="AU9" i="8"/>
  <c r="AR222" i="7"/>
  <c r="AS217" i="8"/>
  <c r="AW301" i="8"/>
  <c r="AS209" i="8"/>
  <c r="AS215" i="8"/>
  <c r="AR227" i="7"/>
  <c r="AU14" i="8"/>
  <c r="AU118" i="8"/>
  <c r="AQ5" i="7" s="1"/>
  <c r="AT100" i="8"/>
  <c r="AQ3" i="7"/>
  <c r="AT98" i="8"/>
  <c r="AT107" i="8"/>
  <c r="AU125" i="8"/>
  <c r="AQ12" i="7" s="1"/>
  <c r="AS214" i="8"/>
  <c r="AS234" i="7"/>
  <c r="AV21" i="8"/>
  <c r="AV295" i="8"/>
  <c r="AV323" i="8" s="1"/>
  <c r="AT8" i="8"/>
  <c r="AT38" i="8"/>
  <c r="AU123" i="8"/>
  <c r="AT105" i="8"/>
  <c r="AU121" i="8"/>
  <c r="AQ8" i="7" s="1"/>
  <c r="AT103" i="8"/>
  <c r="AU122" i="8"/>
  <c r="AQ9" i="7" s="1"/>
  <c r="AT104" i="8"/>
  <c r="AN63" i="7" l="1"/>
  <c r="AE44" i="6"/>
  <c r="AN134" i="7" s="1"/>
  <c r="AN67" i="7"/>
  <c r="AN68" i="7"/>
  <c r="AN57" i="7"/>
  <c r="AK56" i="7"/>
  <c r="AN64" i="7"/>
  <c r="AN62" i="7"/>
  <c r="AN58" i="7"/>
  <c r="AN61" i="7"/>
  <c r="AN66" i="7"/>
  <c r="AQ10" i="7"/>
  <c r="AH10" i="6"/>
  <c r="AR26" i="7" s="1"/>
  <c r="AS233" i="7"/>
  <c r="AW20" i="8"/>
  <c r="AV24" i="8"/>
  <c r="AQ221" i="7"/>
  <c r="AI64" i="6"/>
  <c r="AJ67" i="6"/>
  <c r="AJ56" i="6"/>
  <c r="AI58" i="6"/>
  <c r="AJ68" i="6"/>
  <c r="AJ65" i="6"/>
  <c r="AJ60" i="6"/>
  <c r="AI62" i="6"/>
  <c r="AI55" i="6"/>
  <c r="AJ61" i="6"/>
  <c r="AJ66" i="6"/>
  <c r="AJ57" i="6"/>
  <c r="AJ59" i="6"/>
  <c r="AT84" i="8"/>
  <c r="AT85" i="8"/>
  <c r="AT83" i="8"/>
  <c r="AT82" i="8"/>
  <c r="AT90" i="8"/>
  <c r="AT94" i="8"/>
  <c r="AT89" i="8"/>
  <c r="AS94" i="8"/>
  <c r="AT93" i="8"/>
  <c r="AT88" i="8"/>
  <c r="AT87" i="8"/>
  <c r="AT91" i="8"/>
  <c r="AT92" i="8"/>
  <c r="AP253" i="7"/>
  <c r="AU49" i="8"/>
  <c r="AU42" i="8"/>
  <c r="AV44" i="8"/>
  <c r="AV48" i="8"/>
  <c r="AU53" i="8"/>
  <c r="AU46" i="8"/>
  <c r="AV50" i="8"/>
  <c r="AV47" i="8"/>
  <c r="AV45" i="8"/>
  <c r="AU54" i="8"/>
  <c r="AS220" i="8"/>
  <c r="AO52" i="7" s="1"/>
  <c r="AV52" i="8"/>
  <c r="AF21" i="6"/>
  <c r="AF38" i="6" s="1"/>
  <c r="AO128" i="7" s="1"/>
  <c r="AO41" i="7"/>
  <c r="AF28" i="6"/>
  <c r="AF45" i="6" s="1"/>
  <c r="AO135" i="7" s="1"/>
  <c r="AO48" i="7"/>
  <c r="AW55" i="8"/>
  <c r="AJ3" i="6"/>
  <c r="AS19" i="7"/>
  <c r="AO49" i="7"/>
  <c r="AC20" i="6"/>
  <c r="AC37" i="6" s="1"/>
  <c r="AL127" i="7" s="1"/>
  <c r="AL40" i="7"/>
  <c r="AQ86" i="7"/>
  <c r="AQ102" i="7"/>
  <c r="AV43" i="8"/>
  <c r="AQ80" i="7"/>
  <c r="AQ96" i="7"/>
  <c r="AF26" i="6"/>
  <c r="AF43" i="6" s="1"/>
  <c r="AO133" i="7" s="1"/>
  <c r="AO46" i="7"/>
  <c r="AF30" i="6"/>
  <c r="AF47" i="6" s="1"/>
  <c r="AO137" i="7" s="1"/>
  <c r="AO50" i="7"/>
  <c r="AM90" i="7"/>
  <c r="AM74" i="7"/>
  <c r="AQ81" i="7"/>
  <c r="AR24" i="7"/>
  <c r="AF31" i="6"/>
  <c r="AF48" i="6" s="1"/>
  <c r="AO138" i="7" s="1"/>
  <c r="AO51" i="7"/>
  <c r="AR75" i="7"/>
  <c r="AF27" i="6"/>
  <c r="AO47" i="7"/>
  <c r="AV51" i="8"/>
  <c r="AR104" i="7"/>
  <c r="AQ88" i="7"/>
  <c r="AS103" i="7"/>
  <c r="AR87" i="7"/>
  <c r="AQ78" i="7"/>
  <c r="AQ94" i="7"/>
  <c r="AQ4" i="7"/>
  <c r="AR20" i="7"/>
  <c r="AR25" i="7"/>
  <c r="AR92" i="7"/>
  <c r="AQ76" i="7"/>
  <c r="AT22" i="7"/>
  <c r="AQ84" i="7"/>
  <c r="AQ100" i="7"/>
  <c r="AR99" i="7"/>
  <c r="AQ83" i="7"/>
  <c r="AF24" i="6"/>
  <c r="AF41" i="6" s="1"/>
  <c r="AO131" i="7" s="1"/>
  <c r="AO44" i="7"/>
  <c r="AR28" i="7"/>
  <c r="AQ82" i="7"/>
  <c r="AQ98" i="7"/>
  <c r="AQ79" i="7"/>
  <c r="AQ95" i="7"/>
  <c r="AP15" i="7"/>
  <c r="AU128" i="8"/>
  <c r="AF22" i="6"/>
  <c r="AF39" i="6" s="1"/>
  <c r="AO129" i="7" s="1"/>
  <c r="AO42" i="7"/>
  <c r="AF25" i="6"/>
  <c r="AF42" i="6" s="1"/>
  <c r="AO132" i="7" s="1"/>
  <c r="AO45" i="7"/>
  <c r="AR29" i="7"/>
  <c r="AR85" i="7"/>
  <c r="AV158" i="8"/>
  <c r="AR93" i="7" s="1"/>
  <c r="AQ77" i="7"/>
  <c r="AW236" i="8"/>
  <c r="AR235" i="7"/>
  <c r="AP7" i="7"/>
  <c r="AQ23" i="7"/>
  <c r="AU120" i="8"/>
  <c r="AU102" i="8" s="1"/>
  <c r="AT102" i="8"/>
  <c r="AO43" i="7"/>
  <c r="AT220" i="8"/>
  <c r="AS232" i="7"/>
  <c r="AV19" i="8"/>
  <c r="AW27" i="8"/>
  <c r="AS224" i="7" s="1"/>
  <c r="AV11" i="8"/>
  <c r="AT223" i="7"/>
  <c r="AW10" i="8"/>
  <c r="AJ39" i="3"/>
  <c r="AJ71" i="6" s="1"/>
  <c r="AR91" i="7"/>
  <c r="AJ49" i="3"/>
  <c r="AJ81" i="6" s="1"/>
  <c r="AR101" i="7"/>
  <c r="AK50" i="3"/>
  <c r="AK82" i="6" s="1"/>
  <c r="AW44" i="3"/>
  <c r="AJ47" i="3"/>
  <c r="AK51" i="3"/>
  <c r="AK83" i="6" s="1"/>
  <c r="AK48" i="3"/>
  <c r="AK80" i="6" s="1"/>
  <c r="AJ40" i="3"/>
  <c r="AK46" i="3"/>
  <c r="AK78" i="6" s="1"/>
  <c r="AK42" i="3"/>
  <c r="AK38" i="3"/>
  <c r="AJ52" i="3"/>
  <c r="AK43" i="3"/>
  <c r="AK75" i="6" s="1"/>
  <c r="AK45" i="3"/>
  <c r="AJ41" i="3"/>
  <c r="AT210" i="8"/>
  <c r="AW18" i="8"/>
  <c r="AT231" i="7"/>
  <c r="AT214" i="8"/>
  <c r="AT215" i="8"/>
  <c r="AW295" i="8"/>
  <c r="AW323" i="8" s="1"/>
  <c r="AV118" i="8"/>
  <c r="AR5" i="7" s="1"/>
  <c r="AU100" i="8"/>
  <c r="AV276" i="8"/>
  <c r="AV277" i="8"/>
  <c r="AV282" i="8"/>
  <c r="AV299" i="8" s="1"/>
  <c r="AW294" i="8"/>
  <c r="AW322" i="8" s="1"/>
  <c r="AV278" i="8"/>
  <c r="AT216" i="8"/>
  <c r="AZ302" i="8"/>
  <c r="AW12" i="8"/>
  <c r="AT225" i="7"/>
  <c r="AU105" i="8"/>
  <c r="AV123" i="8"/>
  <c r="AV124" i="8"/>
  <c r="AR11" i="7" s="1"/>
  <c r="AU106" i="8"/>
  <c r="AQ170" i="8"/>
  <c r="AR155" i="8"/>
  <c r="AQ208" i="8"/>
  <c r="AT209" i="8"/>
  <c r="AT234" i="7"/>
  <c r="AW21" i="8"/>
  <c r="AS226" i="7"/>
  <c r="AV13" i="8"/>
  <c r="AV58" i="8"/>
  <c r="AU72" i="8"/>
  <c r="AR3" i="7"/>
  <c r="AU98" i="8"/>
  <c r="AS227" i="7"/>
  <c r="AV14" i="8"/>
  <c r="AU99" i="8"/>
  <c r="AU103" i="8"/>
  <c r="AV121" i="8"/>
  <c r="AR8" i="7" s="1"/>
  <c r="AV125" i="8"/>
  <c r="AR12" i="7" s="1"/>
  <c r="AU107" i="8"/>
  <c r="AX301" i="8"/>
  <c r="AV9" i="8"/>
  <c r="AS222" i="7"/>
  <c r="AU108" i="8"/>
  <c r="AV126" i="8"/>
  <c r="AR13" i="7" s="1"/>
  <c r="AT211" i="8"/>
  <c r="AT219" i="8"/>
  <c r="AT213" i="8"/>
  <c r="AV46" i="8"/>
  <c r="AU8" i="8"/>
  <c r="AU38" i="8"/>
  <c r="AT217" i="8"/>
  <c r="AW61" i="8"/>
  <c r="AT218" i="8"/>
  <c r="AR6" i="7"/>
  <c r="AU101" i="8"/>
  <c r="AU109" i="8"/>
  <c r="AV127" i="8"/>
  <c r="AR14" i="7" s="1"/>
  <c r="AS228" i="7"/>
  <c r="AV15" i="8"/>
  <c r="AI54" i="6"/>
  <c r="AU204" i="8"/>
  <c r="AV122" i="8"/>
  <c r="AR9" i="7" s="1"/>
  <c r="AU104" i="8"/>
  <c r="AV17" i="8"/>
  <c r="AS230" i="7"/>
  <c r="AS229" i="7"/>
  <c r="AV16" i="8"/>
  <c r="AO63" i="7" l="1"/>
  <c r="AF44" i="6"/>
  <c r="AO134" i="7" s="1"/>
  <c r="AO66" i="7"/>
  <c r="AO64" i="7"/>
  <c r="AO61" i="7"/>
  <c r="AL56" i="7"/>
  <c r="AO67" i="7"/>
  <c r="AO62" i="7"/>
  <c r="AO57" i="7"/>
  <c r="AO58" i="7"/>
  <c r="AO60" i="7"/>
  <c r="AR10" i="7"/>
  <c r="AI10" i="6"/>
  <c r="AS26" i="7" s="1"/>
  <c r="AW24" i="8"/>
  <c r="AR221" i="7"/>
  <c r="AT233" i="7"/>
  <c r="AX20" i="8"/>
  <c r="AK66" i="6"/>
  <c r="AK60" i="6"/>
  <c r="AJ58" i="6"/>
  <c r="AK61" i="6"/>
  <c r="AK65" i="6"/>
  <c r="AK56" i="6"/>
  <c r="AK59" i="6"/>
  <c r="AJ55" i="6"/>
  <c r="AK68" i="6"/>
  <c r="AK67" i="6"/>
  <c r="AK57" i="6"/>
  <c r="AJ62" i="6"/>
  <c r="AJ64" i="6"/>
  <c r="AU84" i="8"/>
  <c r="AU85" i="8"/>
  <c r="AU83" i="8"/>
  <c r="AU82" i="8"/>
  <c r="AU92" i="8"/>
  <c r="AT86" i="8"/>
  <c r="AU93" i="8"/>
  <c r="AU88" i="8"/>
  <c r="AU89" i="8"/>
  <c r="AU87" i="8"/>
  <c r="AU90" i="8"/>
  <c r="AU86" i="8"/>
  <c r="AU91" i="8"/>
  <c r="AF32" i="6"/>
  <c r="AF49" i="6" s="1"/>
  <c r="AO139" i="7" s="1"/>
  <c r="AW50" i="8"/>
  <c r="AW48" i="8"/>
  <c r="AV42" i="8"/>
  <c r="AV49" i="8"/>
  <c r="AW44" i="8"/>
  <c r="AW45" i="8"/>
  <c r="AW47" i="8"/>
  <c r="AV53" i="8"/>
  <c r="AV54" i="8"/>
  <c r="AW52" i="8"/>
  <c r="AQ253" i="7"/>
  <c r="AG21" i="6"/>
  <c r="AG38" i="6" s="1"/>
  <c r="AP128" i="7" s="1"/>
  <c r="AP41" i="7"/>
  <c r="AR82" i="7"/>
  <c r="AR98" i="7"/>
  <c r="AW51" i="8"/>
  <c r="AR80" i="7"/>
  <c r="AR96" i="7"/>
  <c r="AG27" i="6"/>
  <c r="AP47" i="7"/>
  <c r="AG32" i="6"/>
  <c r="AG49" i="6" s="1"/>
  <c r="AP139" i="7" s="1"/>
  <c r="AP52" i="7"/>
  <c r="AQ15" i="7"/>
  <c r="AV128" i="8"/>
  <c r="AV110" i="8" s="1"/>
  <c r="AK3" i="6"/>
  <c r="AT19" i="7"/>
  <c r="AG22" i="6"/>
  <c r="AG39" i="6" s="1"/>
  <c r="AP129" i="7" s="1"/>
  <c r="AP42" i="7"/>
  <c r="AU110" i="8"/>
  <c r="AS25" i="7"/>
  <c r="AX236" i="8"/>
  <c r="AS235" i="7"/>
  <c r="AS85" i="7"/>
  <c r="AR84" i="7"/>
  <c r="AR100" i="7"/>
  <c r="AR78" i="7"/>
  <c r="AR94" i="7"/>
  <c r="AS24" i="7"/>
  <c r="AD20" i="6"/>
  <c r="AD37" i="6" s="1"/>
  <c r="AM127" i="7" s="1"/>
  <c r="AM40" i="7"/>
  <c r="AG28" i="6"/>
  <c r="AG45" i="6" s="1"/>
  <c r="AP135" i="7" s="1"/>
  <c r="AP48" i="7"/>
  <c r="AG26" i="6"/>
  <c r="AG43" i="6" s="1"/>
  <c r="AP133" i="7" s="1"/>
  <c r="AP46" i="7"/>
  <c r="AT212" i="8"/>
  <c r="AS75" i="7"/>
  <c r="AN90" i="7"/>
  <c r="AN74" i="7"/>
  <c r="AS29" i="7"/>
  <c r="AQ7" i="7"/>
  <c r="AR23" i="7"/>
  <c r="AV120" i="8"/>
  <c r="AW158" i="8"/>
  <c r="AS93" i="7" s="1"/>
  <c r="AR77" i="7"/>
  <c r="AS92" i="7"/>
  <c r="AR76" i="7"/>
  <c r="AT103" i="7"/>
  <c r="AS87" i="7"/>
  <c r="AW43" i="8"/>
  <c r="AP49" i="7"/>
  <c r="AR79" i="7"/>
  <c r="AR95" i="7"/>
  <c r="AS99" i="7"/>
  <c r="AR83" i="7"/>
  <c r="AG25" i="6"/>
  <c r="AG42" i="6" s="1"/>
  <c r="AP132" i="7" s="1"/>
  <c r="AP45" i="7"/>
  <c r="AU22" i="7"/>
  <c r="AR88" i="7"/>
  <c r="AR81" i="7"/>
  <c r="AR86" i="7"/>
  <c r="AR102" i="7"/>
  <c r="AX55" i="8"/>
  <c r="AG31" i="6"/>
  <c r="AG48" i="6" s="1"/>
  <c r="AP138" i="7" s="1"/>
  <c r="AP51" i="7"/>
  <c r="AG30" i="6"/>
  <c r="AG47" i="6" s="1"/>
  <c r="AP137" i="7" s="1"/>
  <c r="AP50" i="7"/>
  <c r="AR4" i="7"/>
  <c r="AS20" i="7"/>
  <c r="AS28" i="7"/>
  <c r="AP43" i="7"/>
  <c r="AX27" i="8"/>
  <c r="AT224" i="7" s="1"/>
  <c r="AW11" i="8"/>
  <c r="AX10" i="8"/>
  <c r="AU223" i="7"/>
  <c r="AT232" i="7"/>
  <c r="AW19" i="8"/>
  <c r="AX44" i="3"/>
  <c r="AK41" i="3"/>
  <c r="AL48" i="3"/>
  <c r="AL80" i="6" s="1"/>
  <c r="AL45" i="3"/>
  <c r="AL42" i="3"/>
  <c r="AL51" i="3"/>
  <c r="AL83" i="6" s="1"/>
  <c r="AK49" i="3"/>
  <c r="AK81" i="6" s="1"/>
  <c r="AS101" i="7"/>
  <c r="AK52" i="3"/>
  <c r="AL50" i="3"/>
  <c r="AL82" i="6" s="1"/>
  <c r="AK40" i="3"/>
  <c r="AL38" i="3"/>
  <c r="AL43" i="3"/>
  <c r="AL75" i="6" s="1"/>
  <c r="AL46" i="3"/>
  <c r="AL78" i="6" s="1"/>
  <c r="AK47" i="3"/>
  <c r="AK39" i="3"/>
  <c r="AK71" i="6" s="1"/>
  <c r="AS91" i="7"/>
  <c r="AU219" i="8"/>
  <c r="AU217" i="8"/>
  <c r="AV8" i="8"/>
  <c r="AV38" i="8"/>
  <c r="AW125" i="8"/>
  <c r="AS12" i="7" s="1"/>
  <c r="AV107" i="8"/>
  <c r="AT227" i="7"/>
  <c r="AW14" i="8"/>
  <c r="AV72" i="8"/>
  <c r="AW58" i="8"/>
  <c r="AX61" i="8"/>
  <c r="AW9" i="8"/>
  <c r="AT222" i="7"/>
  <c r="AV103" i="8"/>
  <c r="AW121" i="8"/>
  <c r="AS8" i="7" s="1"/>
  <c r="AT226" i="7"/>
  <c r="AW13" i="8"/>
  <c r="AR170" i="8"/>
  <c r="AS155" i="8"/>
  <c r="AR208" i="8"/>
  <c r="AX12" i="8"/>
  <c r="AU225" i="7"/>
  <c r="AX18" i="8"/>
  <c r="AU231" i="7"/>
  <c r="AW122" i="8"/>
  <c r="AS9" i="7" s="1"/>
  <c r="AV104" i="8"/>
  <c r="AU211" i="8"/>
  <c r="AU209" i="8"/>
  <c r="AU234" i="7"/>
  <c r="AX21" i="8"/>
  <c r="AU216" i="8"/>
  <c r="AU210" i="8"/>
  <c r="AT229" i="7"/>
  <c r="AW16" i="8"/>
  <c r="AY301" i="8"/>
  <c r="AV99" i="8"/>
  <c r="AS3" i="7"/>
  <c r="AV98" i="8"/>
  <c r="AW124" i="8"/>
  <c r="AS11" i="7" s="1"/>
  <c r="AV106" i="8"/>
  <c r="AW277" i="8"/>
  <c r="AW278" i="8"/>
  <c r="AW282" i="8"/>
  <c r="AW299" i="8" s="1"/>
  <c r="AW276" i="8"/>
  <c r="AX294" i="8"/>
  <c r="AX322" i="8" s="1"/>
  <c r="AW118" i="8"/>
  <c r="AS5" i="7" s="1"/>
  <c r="AV100" i="8"/>
  <c r="BA302" i="8"/>
  <c r="AU213" i="8"/>
  <c r="AV101" i="8"/>
  <c r="AS6" i="7"/>
  <c r="AU212" i="8"/>
  <c r="AW17" i="8"/>
  <c r="AT230" i="7"/>
  <c r="AW15" i="8"/>
  <c r="AT228" i="7"/>
  <c r="AW126" i="8"/>
  <c r="AS13" i="7" s="1"/>
  <c r="AV108" i="8"/>
  <c r="AW123" i="8"/>
  <c r="AV105" i="8"/>
  <c r="AJ54" i="6"/>
  <c r="AV204" i="8"/>
  <c r="AU214" i="8"/>
  <c r="AW127" i="8"/>
  <c r="AS14" i="7" s="1"/>
  <c r="AV109" i="8"/>
  <c r="AU218" i="8"/>
  <c r="AU215" i="8"/>
  <c r="AX295" i="8"/>
  <c r="AX323" i="8" s="1"/>
  <c r="AP63" i="7" l="1"/>
  <c r="AG44" i="6"/>
  <c r="AP134" i="7" s="1"/>
  <c r="AP67" i="7"/>
  <c r="AP61" i="7"/>
  <c r="AO68" i="7"/>
  <c r="AP64" i="7"/>
  <c r="AM56" i="7"/>
  <c r="AP68" i="7"/>
  <c r="AP66" i="7"/>
  <c r="AP57" i="7"/>
  <c r="AP62" i="7"/>
  <c r="AP58" i="7"/>
  <c r="AS10" i="7"/>
  <c r="AJ10" i="6"/>
  <c r="AU233" i="7"/>
  <c r="AY20" i="8"/>
  <c r="AX24" i="8"/>
  <c r="AS221" i="7"/>
  <c r="AK62" i="6"/>
  <c r="AK55" i="6"/>
  <c r="AL61" i="6"/>
  <c r="AL57" i="6"/>
  <c r="AL59" i="6"/>
  <c r="AK58" i="6"/>
  <c r="AK64" i="6"/>
  <c r="AL67" i="6"/>
  <c r="AL56" i="6"/>
  <c r="AL60" i="6"/>
  <c r="AL68" i="6"/>
  <c r="AL65" i="6"/>
  <c r="AL66" i="6"/>
  <c r="AV84" i="8"/>
  <c r="AV82" i="8"/>
  <c r="AV83" i="8"/>
  <c r="AV85" i="8"/>
  <c r="AV87" i="8"/>
  <c r="AV88" i="8"/>
  <c r="AV89" i="8"/>
  <c r="AV91" i="8"/>
  <c r="AU94" i="8"/>
  <c r="AV94" i="8"/>
  <c r="AV90" i="8"/>
  <c r="AV93" i="8"/>
  <c r="AV92" i="8"/>
  <c r="AU220" i="8"/>
  <c r="AH32" i="6" s="1"/>
  <c r="AH49" i="6" s="1"/>
  <c r="AQ139" i="7" s="1"/>
  <c r="AX45" i="8"/>
  <c r="AX50" i="8"/>
  <c r="AX48" i="8"/>
  <c r="AX44" i="8"/>
  <c r="AX47" i="8"/>
  <c r="AW42" i="8"/>
  <c r="AW46" i="8"/>
  <c r="AW53" i="8"/>
  <c r="AW49" i="8"/>
  <c r="AW54" i="8"/>
  <c r="AX52" i="8"/>
  <c r="AR253" i="7"/>
  <c r="AH28" i="6"/>
  <c r="AH45" i="6" s="1"/>
  <c r="AQ135" i="7" s="1"/>
  <c r="AQ48" i="7"/>
  <c r="AT29" i="7"/>
  <c r="AS78" i="7"/>
  <c r="AS94" i="7"/>
  <c r="AL3" i="6"/>
  <c r="AU19" i="7"/>
  <c r="AT92" i="7"/>
  <c r="AS76" i="7"/>
  <c r="AQ49" i="7"/>
  <c r="AS80" i="7"/>
  <c r="AS96" i="7"/>
  <c r="AT99" i="7"/>
  <c r="AS83" i="7"/>
  <c r="AS84" i="7"/>
  <c r="AS100" i="7"/>
  <c r="AS82" i="7"/>
  <c r="AS98" i="7"/>
  <c r="AH26" i="6"/>
  <c r="AH43" i="6" s="1"/>
  <c r="AQ133" i="7" s="1"/>
  <c r="AQ46" i="7"/>
  <c r="AS4" i="7"/>
  <c r="AT20" i="7"/>
  <c r="AH31" i="6"/>
  <c r="AH48" i="6" s="1"/>
  <c r="AQ138" i="7" s="1"/>
  <c r="AQ51" i="7"/>
  <c r="AS104" i="7"/>
  <c r="AS86" i="7"/>
  <c r="AS102" i="7"/>
  <c r="AS88" i="7"/>
  <c r="AX43" i="8"/>
  <c r="AR15" i="7"/>
  <c r="AW128" i="8"/>
  <c r="AW110" i="8" s="1"/>
  <c r="AT28" i="7"/>
  <c r="AX158" i="8"/>
  <c r="AT93" i="7" s="1"/>
  <c r="AS77" i="7"/>
  <c r="AT75" i="7"/>
  <c r="AG24" i="6"/>
  <c r="AG41" i="6" s="1"/>
  <c r="AP131" i="7" s="1"/>
  <c r="AP44" i="7"/>
  <c r="AT85" i="7"/>
  <c r="AX51" i="8"/>
  <c r="AH24" i="6"/>
  <c r="AH41" i="6" s="1"/>
  <c r="AQ131" i="7" s="1"/>
  <c r="AQ44" i="7"/>
  <c r="AH22" i="6"/>
  <c r="AH39" i="6" s="1"/>
  <c r="AQ129" i="7" s="1"/>
  <c r="AQ42" i="7"/>
  <c r="AH21" i="6"/>
  <c r="AH38" i="6" s="1"/>
  <c r="AQ128" i="7" s="1"/>
  <c r="AQ41" i="7"/>
  <c r="AE20" i="6"/>
  <c r="AE37" i="6" s="1"/>
  <c r="AN127" i="7" s="1"/>
  <c r="AN40" i="7"/>
  <c r="AT25" i="7"/>
  <c r="AV22" i="7"/>
  <c r="AS79" i="7"/>
  <c r="AS95" i="7"/>
  <c r="AR7" i="7"/>
  <c r="AS23" i="7"/>
  <c r="AW120" i="8"/>
  <c r="AT24" i="7"/>
  <c r="AV102" i="8"/>
  <c r="AT26" i="7"/>
  <c r="AH27" i="6"/>
  <c r="AQ47" i="7"/>
  <c r="AH30" i="6"/>
  <c r="AH47" i="6" s="1"/>
  <c r="AQ137" i="7" s="1"/>
  <c r="AQ50" i="7"/>
  <c r="AH25" i="6"/>
  <c r="AH42" i="6" s="1"/>
  <c r="AQ132" i="7" s="1"/>
  <c r="AQ45" i="7"/>
  <c r="AO90" i="7"/>
  <c r="AO74" i="7"/>
  <c r="AY55" i="8"/>
  <c r="AS81" i="7"/>
  <c r="AU103" i="7"/>
  <c r="AT87" i="7"/>
  <c r="AY236" i="8"/>
  <c r="AT235" i="7"/>
  <c r="AQ43" i="7"/>
  <c r="AV220" i="8"/>
  <c r="AU232" i="7"/>
  <c r="AX19" i="8"/>
  <c r="AY10" i="8"/>
  <c r="AV223" i="7"/>
  <c r="AY27" i="8"/>
  <c r="AU224" i="7" s="1"/>
  <c r="AX11" i="8"/>
  <c r="AM45" i="3"/>
  <c r="AL39" i="3"/>
  <c r="AL71" i="6" s="1"/>
  <c r="AT91" i="7"/>
  <c r="AL47" i="3"/>
  <c r="AL40" i="3"/>
  <c r="AM51" i="3"/>
  <c r="AM83" i="6" s="1"/>
  <c r="AL41" i="3"/>
  <c r="AM43" i="3"/>
  <c r="AM75" i="6" s="1"/>
  <c r="AL49" i="3"/>
  <c r="AL81" i="6" s="1"/>
  <c r="AT101" i="7"/>
  <c r="AL52" i="3"/>
  <c r="AM38" i="3"/>
  <c r="AM48" i="3"/>
  <c r="AM80" i="6" s="1"/>
  <c r="AM46" i="3"/>
  <c r="AM78" i="6" s="1"/>
  <c r="AM50" i="3"/>
  <c r="AM82" i="6" s="1"/>
  <c r="AM42" i="3"/>
  <c r="AY44" i="3"/>
  <c r="AW72" i="8"/>
  <c r="AX58" i="8"/>
  <c r="AX9" i="8"/>
  <c r="AU222" i="7"/>
  <c r="AX17" i="8"/>
  <c r="AU230" i="7"/>
  <c r="AZ301" i="8"/>
  <c r="AV234" i="7"/>
  <c r="AY21" i="8"/>
  <c r="AW99" i="8"/>
  <c r="AY61" i="8"/>
  <c r="AV215" i="8"/>
  <c r="AX277" i="8"/>
  <c r="AX278" i="8"/>
  <c r="AX282" i="8"/>
  <c r="AX299" i="8" s="1"/>
  <c r="AX276" i="8"/>
  <c r="AY294" i="8"/>
  <c r="AY322" i="8" s="1"/>
  <c r="AW106" i="8"/>
  <c r="AX124" i="8"/>
  <c r="AT11" i="7" s="1"/>
  <c r="AU227" i="7"/>
  <c r="AX14" i="8"/>
  <c r="AU228" i="7"/>
  <c r="AX15" i="8"/>
  <c r="AS170" i="8"/>
  <c r="AT155" i="8"/>
  <c r="AS208" i="8"/>
  <c r="BB302" i="8"/>
  <c r="AW109" i="8"/>
  <c r="AX127" i="8"/>
  <c r="AT14" i="7" s="1"/>
  <c r="AV216" i="8"/>
  <c r="AV225" i="7"/>
  <c r="AY12" i="8"/>
  <c r="AV217" i="8"/>
  <c r="AW8" i="8"/>
  <c r="AW38" i="8"/>
  <c r="AY18" i="8"/>
  <c r="AV231" i="7"/>
  <c r="AV210" i="8"/>
  <c r="AU226" i="7"/>
  <c r="AX13" i="8"/>
  <c r="AW105" i="8"/>
  <c r="AX123" i="8"/>
  <c r="AV218" i="8"/>
  <c r="AT6" i="7"/>
  <c r="AW101" i="8"/>
  <c r="AT3" i="7"/>
  <c r="AW98" i="8"/>
  <c r="AV214" i="8"/>
  <c r="AX121" i="8"/>
  <c r="AT8" i="7" s="1"/>
  <c r="AW103" i="8"/>
  <c r="AX125" i="8"/>
  <c r="AT12" i="7" s="1"/>
  <c r="AW107" i="8"/>
  <c r="AX16" i="8"/>
  <c r="AU229" i="7"/>
  <c r="AY295" i="8"/>
  <c r="AY323" i="8" s="1"/>
  <c r="AV219" i="8"/>
  <c r="AX118" i="8"/>
  <c r="AT5" i="7" s="1"/>
  <c r="AW100" i="8"/>
  <c r="AK54" i="6"/>
  <c r="AW204" i="8"/>
  <c r="AX126" i="8"/>
  <c r="AT13" i="7" s="1"/>
  <c r="AW108" i="8"/>
  <c r="AV211" i="8"/>
  <c r="AV209" i="8"/>
  <c r="AX122" i="8"/>
  <c r="AT9" i="7" s="1"/>
  <c r="AW104" i="8"/>
  <c r="AV213" i="8"/>
  <c r="AQ63" i="7" l="1"/>
  <c r="AH44" i="6"/>
  <c r="AQ134" i="7" s="1"/>
  <c r="AQ62" i="7"/>
  <c r="AQ58" i="7"/>
  <c r="AQ64" i="7"/>
  <c r="AQ67" i="7"/>
  <c r="AQ61" i="7"/>
  <c r="AN56" i="7"/>
  <c r="AQ60" i="7"/>
  <c r="AQ66" i="7"/>
  <c r="AQ57" i="7"/>
  <c r="AP60" i="7"/>
  <c r="AQ68" i="7"/>
  <c r="AT10" i="7"/>
  <c r="AK10" i="6"/>
  <c r="AY24" i="8"/>
  <c r="AT221" i="7"/>
  <c r="AV233" i="7"/>
  <c r="AZ20" i="8"/>
  <c r="AM68" i="6"/>
  <c r="AM67" i="6"/>
  <c r="AM57" i="6"/>
  <c r="AL64" i="6"/>
  <c r="AM61" i="6"/>
  <c r="AM66" i="6"/>
  <c r="AM60" i="6"/>
  <c r="AL58" i="6"/>
  <c r="AL55" i="6"/>
  <c r="AM65" i="6"/>
  <c r="AM56" i="6"/>
  <c r="AM59" i="6"/>
  <c r="AL62" i="6"/>
  <c r="AW82" i="8"/>
  <c r="AS253" i="7"/>
  <c r="AW83" i="8"/>
  <c r="AW85" i="8"/>
  <c r="AW84" i="8"/>
  <c r="AT104" i="7"/>
  <c r="AW88" i="8"/>
  <c r="AW91" i="8"/>
  <c r="AW90" i="8"/>
  <c r="AW94" i="8"/>
  <c r="AW89" i="8"/>
  <c r="AV86" i="8"/>
  <c r="AW87" i="8"/>
  <c r="AW92" i="8"/>
  <c r="AW93" i="8"/>
  <c r="AQ52" i="7"/>
  <c r="AY50" i="8"/>
  <c r="AY48" i="8"/>
  <c r="AX53" i="8"/>
  <c r="AY47" i="8"/>
  <c r="AX42" i="8"/>
  <c r="AX49" i="8"/>
  <c r="AY44" i="8"/>
  <c r="AY45" i="8"/>
  <c r="AX46" i="8"/>
  <c r="AX54" i="8"/>
  <c r="AY52" i="8"/>
  <c r="AF20" i="6"/>
  <c r="AF37" i="6" s="1"/>
  <c r="AO127" i="7" s="1"/>
  <c r="AO40" i="7"/>
  <c r="AU29" i="7"/>
  <c r="AU99" i="7"/>
  <c r="AT83" i="7"/>
  <c r="AT78" i="7"/>
  <c r="AT94" i="7"/>
  <c r="AP90" i="7"/>
  <c r="AP74" i="7"/>
  <c r="AI27" i="6"/>
  <c r="AR47" i="7"/>
  <c r="AT4" i="7"/>
  <c r="AU20" i="7"/>
  <c r="AI32" i="6"/>
  <c r="AI49" i="6" s="1"/>
  <c r="AR139" i="7" s="1"/>
  <c r="AR52" i="7"/>
  <c r="AU26" i="7"/>
  <c r="AZ55" i="8"/>
  <c r="AY158" i="8"/>
  <c r="AU93" i="7" s="1"/>
  <c r="AT77" i="7"/>
  <c r="AT86" i="7"/>
  <c r="AT102" i="7"/>
  <c r="AT82" i="7"/>
  <c r="AT98" i="7"/>
  <c r="AT80" i="7"/>
  <c r="AT96" i="7"/>
  <c r="AY43" i="8"/>
  <c r="AI30" i="6"/>
  <c r="AI47" i="6" s="1"/>
  <c r="AR137" i="7" s="1"/>
  <c r="AR50" i="7"/>
  <c r="AT79" i="7"/>
  <c r="AT95" i="7"/>
  <c r="AU28" i="7"/>
  <c r="AU85" i="7"/>
  <c r="AI25" i="6"/>
  <c r="AI42" i="6" s="1"/>
  <c r="AR132" i="7" s="1"/>
  <c r="AR45" i="7"/>
  <c r="AI28" i="6"/>
  <c r="AI45" i="6" s="1"/>
  <c r="AR135" i="7" s="1"/>
  <c r="AR48" i="7"/>
  <c r="AV103" i="7"/>
  <c r="AU87" i="7"/>
  <c r="AV212" i="8"/>
  <c r="AI22" i="6"/>
  <c r="AI39" i="6" s="1"/>
  <c r="AR129" i="7" s="1"/>
  <c r="AR42" i="7"/>
  <c r="AW22" i="7"/>
  <c r="AY51" i="8"/>
  <c r="AM3" i="6"/>
  <c r="AV19" i="7"/>
  <c r="AI31" i="6"/>
  <c r="AI48" i="6" s="1"/>
  <c r="AR138" i="7" s="1"/>
  <c r="AR51" i="7"/>
  <c r="AI26" i="6"/>
  <c r="AI43" i="6" s="1"/>
  <c r="AR133" i="7" s="1"/>
  <c r="AR46" i="7"/>
  <c r="AR49" i="7"/>
  <c r="AU25" i="7"/>
  <c r="AZ236" i="8"/>
  <c r="AU235" i="7"/>
  <c r="AS7" i="7"/>
  <c r="AT23" i="7"/>
  <c r="AX120" i="8"/>
  <c r="AX102" i="8" s="1"/>
  <c r="AW102" i="8"/>
  <c r="AS15" i="7"/>
  <c r="AX128" i="8"/>
  <c r="AX110" i="8" s="1"/>
  <c r="AU104" i="7"/>
  <c r="AT88" i="7"/>
  <c r="AT84" i="7"/>
  <c r="AT100" i="7"/>
  <c r="AI21" i="6"/>
  <c r="AI38" i="6" s="1"/>
  <c r="AR128" i="7" s="1"/>
  <c r="AR41" i="7"/>
  <c r="AU24" i="7"/>
  <c r="AT81" i="7"/>
  <c r="AU75" i="7"/>
  <c r="AU92" i="7"/>
  <c r="AT76" i="7"/>
  <c r="AR43" i="7"/>
  <c r="AW220" i="8"/>
  <c r="AW223" i="7"/>
  <c r="AZ10" i="8"/>
  <c r="AZ27" i="8"/>
  <c r="AV224" i="7" s="1"/>
  <c r="AY11" i="8"/>
  <c r="AV232" i="7"/>
  <c r="AY19" i="8"/>
  <c r="AZ44" i="3"/>
  <c r="AN48" i="3"/>
  <c r="AN80" i="6" s="1"/>
  <c r="AN43" i="3"/>
  <c r="AN75" i="6" s="1"/>
  <c r="AM47" i="3"/>
  <c r="AM40" i="3"/>
  <c r="AM49" i="3"/>
  <c r="AM81" i="6" s="1"/>
  <c r="AU101" i="7"/>
  <c r="AN42" i="3"/>
  <c r="AN38" i="3"/>
  <c r="AM41" i="3"/>
  <c r="AM39" i="3"/>
  <c r="AM71" i="6" s="1"/>
  <c r="AU91" i="7"/>
  <c r="AN46" i="3"/>
  <c r="AN78" i="6" s="1"/>
  <c r="AN50" i="3"/>
  <c r="AN82" i="6" s="1"/>
  <c r="AM52" i="3"/>
  <c r="AN51" i="3"/>
  <c r="AN83" i="6" s="1"/>
  <c r="AN45" i="3"/>
  <c r="AY118" i="8"/>
  <c r="AU5" i="7" s="1"/>
  <c r="AX100" i="8"/>
  <c r="AW218" i="8"/>
  <c r="AZ21" i="8"/>
  <c r="AW234" i="7"/>
  <c r="AX104" i="8"/>
  <c r="AY122" i="8"/>
  <c r="AU9" i="7" s="1"/>
  <c r="AX108" i="8"/>
  <c r="AY126" i="8"/>
  <c r="AU13" i="7" s="1"/>
  <c r="AW225" i="7"/>
  <c r="AZ12" i="8"/>
  <c r="BC302" i="8"/>
  <c r="AY14" i="8"/>
  <c r="AV227" i="7"/>
  <c r="AZ295" i="8"/>
  <c r="AZ323" i="8" s="1"/>
  <c r="AW214" i="8"/>
  <c r="BA301" i="8"/>
  <c r="AV228" i="7"/>
  <c r="AY15" i="8"/>
  <c r="AY13" i="8"/>
  <c r="AV226" i="7"/>
  <c r="AW219" i="8"/>
  <c r="AW217" i="8"/>
  <c r="AX204" i="8"/>
  <c r="AL54" i="6"/>
  <c r="AY125" i="8"/>
  <c r="AU12" i="7" s="1"/>
  <c r="AX107" i="8"/>
  <c r="AX98" i="8"/>
  <c r="AU3" i="7"/>
  <c r="AY123" i="8"/>
  <c r="AX105" i="8"/>
  <c r="AX8" i="8"/>
  <c r="AX38" i="8"/>
  <c r="AW209" i="8"/>
  <c r="AW211" i="8"/>
  <c r="AW215" i="8"/>
  <c r="AT170" i="8"/>
  <c r="AU155" i="8"/>
  <c r="AT208" i="8"/>
  <c r="AY124" i="8"/>
  <c r="AU11" i="7" s="1"/>
  <c r="AX106" i="8"/>
  <c r="AX99" i="8"/>
  <c r="AX72" i="8"/>
  <c r="AY58" i="8"/>
  <c r="AY121" i="8"/>
  <c r="AU8" i="7" s="1"/>
  <c r="AX103" i="8"/>
  <c r="AX109" i="8"/>
  <c r="AY127" i="8"/>
  <c r="AU14" i="7" s="1"/>
  <c r="AV222" i="7"/>
  <c r="AY9" i="8"/>
  <c r="AY16" i="8"/>
  <c r="AV229" i="7"/>
  <c r="AU6" i="7"/>
  <c r="AX101" i="8"/>
  <c r="AZ18" i="8"/>
  <c r="AW231" i="7"/>
  <c r="AW216" i="8"/>
  <c r="AV230" i="7"/>
  <c r="AY17" i="8"/>
  <c r="AW210" i="8"/>
  <c r="AW213" i="8"/>
  <c r="AY277" i="8"/>
  <c r="AY282" i="8"/>
  <c r="AY299" i="8" s="1"/>
  <c r="AY278" i="8"/>
  <c r="AY276" i="8"/>
  <c r="AZ294" i="8"/>
  <c r="AZ322" i="8" s="1"/>
  <c r="AZ61" i="8"/>
  <c r="AR63" i="7" l="1"/>
  <c r="AI44" i="6"/>
  <c r="AR134" i="7" s="1"/>
  <c r="AR57" i="7"/>
  <c r="AR62" i="7"/>
  <c r="AR58" i="7"/>
  <c r="AR61" i="7"/>
  <c r="AO56" i="7"/>
  <c r="AR67" i="7"/>
  <c r="AR68" i="7"/>
  <c r="AR64" i="7"/>
  <c r="AR66" i="7"/>
  <c r="AU10" i="7"/>
  <c r="AL10" i="6"/>
  <c r="AV26" i="7" s="1"/>
  <c r="AW233" i="7"/>
  <c r="BA20" i="8"/>
  <c r="AZ24" i="8"/>
  <c r="AU221" i="7"/>
  <c r="AN56" i="6"/>
  <c r="AN60" i="6"/>
  <c r="AN65" i="6"/>
  <c r="AN66" i="6"/>
  <c r="AN57" i="6"/>
  <c r="AM62" i="6"/>
  <c r="AM55" i="6"/>
  <c r="AN61" i="6"/>
  <c r="AN67" i="6"/>
  <c r="AN59" i="6"/>
  <c r="AM58" i="6"/>
  <c r="AM64" i="6"/>
  <c r="AN68" i="6"/>
  <c r="AX82" i="8"/>
  <c r="AX85" i="8"/>
  <c r="AX83" i="8"/>
  <c r="AX84" i="8"/>
  <c r="AX94" i="8"/>
  <c r="AX88" i="8"/>
  <c r="AX90" i="8"/>
  <c r="AW86" i="8"/>
  <c r="AX89" i="8"/>
  <c r="AX93" i="8"/>
  <c r="AX87" i="8"/>
  <c r="AX92" i="8"/>
  <c r="AX86" i="8"/>
  <c r="AX91" i="8"/>
  <c r="AZ44" i="8"/>
  <c r="AY53" i="8"/>
  <c r="AZ50" i="8"/>
  <c r="AY46" i="8"/>
  <c r="AZ47" i="8"/>
  <c r="AZ45" i="8"/>
  <c r="AY42" i="8"/>
  <c r="AZ48" i="8"/>
  <c r="AY49" i="8"/>
  <c r="AY54" i="8"/>
  <c r="AZ52" i="8"/>
  <c r="AT253" i="7"/>
  <c r="AQ90" i="7"/>
  <c r="AQ74" i="7"/>
  <c r="AV92" i="7"/>
  <c r="AU76" i="7"/>
  <c r="AU84" i="7"/>
  <c r="AU100" i="7"/>
  <c r="AV28" i="7"/>
  <c r="AV87" i="7"/>
  <c r="BA236" i="8"/>
  <c r="AV235" i="7"/>
  <c r="AX22" i="7"/>
  <c r="AZ43" i="8"/>
  <c r="AU80" i="7"/>
  <c r="AU96" i="7"/>
  <c r="AU86" i="7"/>
  <c r="AU102" i="7"/>
  <c r="AJ28" i="6"/>
  <c r="AJ45" i="6" s="1"/>
  <c r="AS135" i="7" s="1"/>
  <c r="AS48" i="7"/>
  <c r="AW212" i="8"/>
  <c r="AN3" i="6"/>
  <c r="AW19" i="7"/>
  <c r="AU79" i="7"/>
  <c r="AU95" i="7"/>
  <c r="AJ31" i="6"/>
  <c r="AJ48" i="6" s="1"/>
  <c r="AS138" i="7" s="1"/>
  <c r="AS51" i="7"/>
  <c r="AV25" i="7"/>
  <c r="AV75" i="7"/>
  <c r="AT7" i="7"/>
  <c r="AU23" i="7"/>
  <c r="AY120" i="8"/>
  <c r="AY102" i="8" s="1"/>
  <c r="AZ158" i="8"/>
  <c r="AV93" i="7" s="1"/>
  <c r="AU77" i="7"/>
  <c r="AV24" i="7"/>
  <c r="AJ30" i="6"/>
  <c r="AJ47" i="6" s="1"/>
  <c r="AS137" i="7" s="1"/>
  <c r="AS50" i="7"/>
  <c r="AJ25" i="6"/>
  <c r="AJ42" i="6" s="1"/>
  <c r="AS132" i="7" s="1"/>
  <c r="AS45" i="7"/>
  <c r="AJ26" i="6"/>
  <c r="AJ43" i="6" s="1"/>
  <c r="AS133" i="7" s="1"/>
  <c r="AS46" i="7"/>
  <c r="AV104" i="7"/>
  <c r="AU88" i="7"/>
  <c r="AU82" i="7"/>
  <c r="AU98" i="7"/>
  <c r="AU78" i="7"/>
  <c r="AU94" i="7"/>
  <c r="AU4" i="7"/>
  <c r="AV20" i="7"/>
  <c r="AS49" i="7"/>
  <c r="AV29" i="7"/>
  <c r="AZ51" i="8"/>
  <c r="AI24" i="6"/>
  <c r="AI41" i="6" s="1"/>
  <c r="AR131" i="7" s="1"/>
  <c r="AR44" i="7"/>
  <c r="BA55" i="8"/>
  <c r="AJ22" i="6"/>
  <c r="AJ39" i="6" s="1"/>
  <c r="AS129" i="7" s="1"/>
  <c r="AS42" i="7"/>
  <c r="AG20" i="6"/>
  <c r="AG37" i="6" s="1"/>
  <c r="AP127" i="7" s="1"/>
  <c r="AP40" i="7"/>
  <c r="AJ27" i="6"/>
  <c r="AS47" i="7"/>
  <c r="AJ21" i="6"/>
  <c r="AJ38" i="6" s="1"/>
  <c r="AS128" i="7" s="1"/>
  <c r="AS41" i="7"/>
  <c r="AU81" i="7"/>
  <c r="AT15" i="7"/>
  <c r="AY128" i="8"/>
  <c r="AY110" i="8" s="1"/>
  <c r="AV85" i="7"/>
  <c r="AU83" i="7"/>
  <c r="AJ32" i="6"/>
  <c r="AJ49" i="6" s="1"/>
  <c r="AS139" i="7" s="1"/>
  <c r="AS52" i="7"/>
  <c r="AS43" i="7"/>
  <c r="AX220" i="8"/>
  <c r="BA27" i="8"/>
  <c r="AW224" i="7" s="1"/>
  <c r="AZ11" i="8"/>
  <c r="AW232" i="7"/>
  <c r="AZ19" i="8"/>
  <c r="AX223" i="7"/>
  <c r="BA10" i="8"/>
  <c r="AO50" i="3"/>
  <c r="AO82" i="6" s="1"/>
  <c r="AN47" i="3"/>
  <c r="AO46" i="3"/>
  <c r="AO78" i="6" s="1"/>
  <c r="AO51" i="3"/>
  <c r="AO83" i="6" s="1"/>
  <c r="AW103" i="7"/>
  <c r="AN39" i="3"/>
  <c r="AN71" i="6" s="1"/>
  <c r="AV91" i="7"/>
  <c r="AN49" i="3"/>
  <c r="AN81" i="6" s="1"/>
  <c r="AV101" i="7"/>
  <c r="AO48" i="3"/>
  <c r="AO80" i="6" s="1"/>
  <c r="AO42" i="3"/>
  <c r="AO38" i="3"/>
  <c r="AO45" i="3"/>
  <c r="AO43" i="3"/>
  <c r="AO75" i="6" s="1"/>
  <c r="AN52" i="3"/>
  <c r="AN41" i="3"/>
  <c r="AN40" i="3"/>
  <c r="BA44" i="3"/>
  <c r="AZ58" i="8"/>
  <c r="AY72" i="8"/>
  <c r="AV6" i="7"/>
  <c r="AY101" i="8"/>
  <c r="AY38" i="8"/>
  <c r="AY8" i="8"/>
  <c r="BB301" i="8"/>
  <c r="AZ126" i="8"/>
  <c r="AV13" i="7" s="1"/>
  <c r="AY108" i="8"/>
  <c r="AX212" i="8"/>
  <c r="AZ14" i="8"/>
  <c r="AW227" i="7"/>
  <c r="AW222" i="7"/>
  <c r="AZ9" i="8"/>
  <c r="AZ123" i="8"/>
  <c r="AY105" i="8"/>
  <c r="BD302" i="8"/>
  <c r="AY99" i="8"/>
  <c r="AX216" i="8"/>
  <c r="AX225" i="7"/>
  <c r="BA12" i="8"/>
  <c r="AX214" i="8"/>
  <c r="AX211" i="8"/>
  <c r="AU170" i="8"/>
  <c r="AV155" i="8"/>
  <c r="AU208" i="8"/>
  <c r="AY204" i="8"/>
  <c r="AM54" i="6"/>
  <c r="AX215" i="8"/>
  <c r="AW230" i="7"/>
  <c r="AZ17" i="8"/>
  <c r="AZ127" i="8"/>
  <c r="AV14" i="7" s="1"/>
  <c r="AY109" i="8"/>
  <c r="AV3" i="7"/>
  <c r="AY98" i="8"/>
  <c r="AY104" i="8"/>
  <c r="AZ122" i="8"/>
  <c r="AV9" i="7" s="1"/>
  <c r="BA61" i="8"/>
  <c r="AX231" i="7"/>
  <c r="BA18" i="8"/>
  <c r="AX213" i="8"/>
  <c r="AZ124" i="8"/>
  <c r="AV11" i="7" s="1"/>
  <c r="AY106" i="8"/>
  <c r="AX217" i="8"/>
  <c r="BA21" i="8"/>
  <c r="AX234" i="7"/>
  <c r="AX210" i="8"/>
  <c r="AW229" i="7"/>
  <c r="AZ16" i="8"/>
  <c r="AZ13" i="8"/>
  <c r="AW226" i="7"/>
  <c r="AX209" i="8"/>
  <c r="AX218" i="8"/>
  <c r="AX219" i="8"/>
  <c r="AZ15" i="8"/>
  <c r="AW228" i="7"/>
  <c r="AZ282" i="8"/>
  <c r="AZ299" i="8" s="1"/>
  <c r="AZ278" i="8"/>
  <c r="AZ277" i="8"/>
  <c r="AZ276" i="8"/>
  <c r="BA294" i="8"/>
  <c r="BA322" i="8" s="1"/>
  <c r="AZ121" i="8"/>
  <c r="AV8" i="7" s="1"/>
  <c r="AY103" i="8"/>
  <c r="AY107" i="8"/>
  <c r="AZ125" i="8"/>
  <c r="AV12" i="7" s="1"/>
  <c r="BA295" i="8"/>
  <c r="BA323" i="8" s="1"/>
  <c r="AZ118" i="8"/>
  <c r="AV5" i="7" s="1"/>
  <c r="AY100" i="8"/>
  <c r="AS63" i="7" l="1"/>
  <c r="AJ44" i="6"/>
  <c r="AS134" i="7" s="1"/>
  <c r="AS68" i="7"/>
  <c r="AR60" i="7"/>
  <c r="AS61" i="7"/>
  <c r="AS66" i="7"/>
  <c r="AP56" i="7"/>
  <c r="AS67" i="7"/>
  <c r="AS64" i="7"/>
  <c r="AS62" i="7"/>
  <c r="AS58" i="7"/>
  <c r="AS57" i="7"/>
  <c r="AV10" i="7"/>
  <c r="AM10" i="6"/>
  <c r="BA24" i="8"/>
  <c r="AV221" i="7"/>
  <c r="AX233" i="7"/>
  <c r="BB20" i="8"/>
  <c r="AN58" i="6"/>
  <c r="AN55" i="6"/>
  <c r="AO65" i="6"/>
  <c r="AO59" i="6"/>
  <c r="AN62" i="6"/>
  <c r="AO68" i="6"/>
  <c r="AO67" i="6"/>
  <c r="AO57" i="6"/>
  <c r="AO60" i="6"/>
  <c r="AN64" i="6"/>
  <c r="AO61" i="6"/>
  <c r="AO66" i="6"/>
  <c r="AO56" i="6"/>
  <c r="AY82" i="8"/>
  <c r="AY84" i="8"/>
  <c r="AY83" i="8"/>
  <c r="AY85" i="8"/>
  <c r="AY87" i="8"/>
  <c r="AY94" i="8"/>
  <c r="AY90" i="8"/>
  <c r="AY92" i="8"/>
  <c r="AY88" i="8"/>
  <c r="AY89" i="8"/>
  <c r="AY86" i="8"/>
  <c r="AY93" i="8"/>
  <c r="AY91" i="8"/>
  <c r="AZ49" i="8"/>
  <c r="AZ53" i="8"/>
  <c r="AZ42" i="8"/>
  <c r="BA47" i="8"/>
  <c r="BA50" i="8"/>
  <c r="BA45" i="8"/>
  <c r="BA48" i="8"/>
  <c r="AZ46" i="8"/>
  <c r="BA44" i="8"/>
  <c r="AZ54" i="8"/>
  <c r="BA52" i="8"/>
  <c r="AW25" i="7"/>
  <c r="AU253" i="7"/>
  <c r="AW28" i="7"/>
  <c r="AK21" i="6"/>
  <c r="AK38" i="6" s="1"/>
  <c r="AT128" i="7" s="1"/>
  <c r="AT41" i="7"/>
  <c r="AK32" i="6"/>
  <c r="AK49" i="6" s="1"/>
  <c r="AT139" i="7" s="1"/>
  <c r="AT52" i="7"/>
  <c r="AV82" i="7"/>
  <c r="AV98" i="7"/>
  <c r="AK27" i="6"/>
  <c r="AT47" i="7"/>
  <c r="AW99" i="7"/>
  <c r="AV83" i="7"/>
  <c r="AU15" i="7"/>
  <c r="AZ128" i="8"/>
  <c r="AZ110" i="8" s="1"/>
  <c r="BB55" i="8"/>
  <c r="BA51" i="8"/>
  <c r="AW24" i="7"/>
  <c r="AT49" i="7"/>
  <c r="AV79" i="7"/>
  <c r="AV95" i="7"/>
  <c r="AW75" i="7"/>
  <c r="AV84" i="7"/>
  <c r="AV100" i="7"/>
  <c r="AK24" i="6"/>
  <c r="AK41" i="6" s="1"/>
  <c r="AT131" i="7" s="1"/>
  <c r="AT44" i="7"/>
  <c r="AK28" i="6"/>
  <c r="AK45" i="6" s="1"/>
  <c r="AT135" i="7" s="1"/>
  <c r="AT48" i="7"/>
  <c r="AV4" i="7"/>
  <c r="AW20" i="7"/>
  <c r="AV99" i="7"/>
  <c r="AW29" i="7"/>
  <c r="AW85" i="7"/>
  <c r="AW26" i="7"/>
  <c r="AW104" i="7"/>
  <c r="AV88" i="7"/>
  <c r="AV80" i="7"/>
  <c r="AV96" i="7"/>
  <c r="AY22" i="7"/>
  <c r="AR90" i="7"/>
  <c r="AR74" i="7"/>
  <c r="AK22" i="6"/>
  <c r="AK39" i="6" s="1"/>
  <c r="AT129" i="7" s="1"/>
  <c r="AT42" i="7"/>
  <c r="AV86" i="7"/>
  <c r="AV102" i="7"/>
  <c r="AK26" i="6"/>
  <c r="AK43" i="6" s="1"/>
  <c r="AT133" i="7" s="1"/>
  <c r="AT46" i="7"/>
  <c r="AU7" i="7"/>
  <c r="AV23" i="7"/>
  <c r="AZ120" i="8"/>
  <c r="AO3" i="6"/>
  <c r="AX19" i="7"/>
  <c r="AX103" i="7"/>
  <c r="AW87" i="7"/>
  <c r="AW92" i="7"/>
  <c r="AV76" i="7"/>
  <c r="AV81" i="7"/>
  <c r="AV78" i="7"/>
  <c r="AV94" i="7"/>
  <c r="AJ24" i="6"/>
  <c r="AJ41" i="6" s="1"/>
  <c r="AS131" i="7" s="1"/>
  <c r="AS44" i="7"/>
  <c r="BA43" i="8"/>
  <c r="BB236" i="8"/>
  <c r="AW235" i="7"/>
  <c r="AK31" i="6"/>
  <c r="AK48" i="6" s="1"/>
  <c r="AT138" i="7" s="1"/>
  <c r="AT51" i="7"/>
  <c r="AK30" i="6"/>
  <c r="AK47" i="6" s="1"/>
  <c r="AT137" i="7" s="1"/>
  <c r="AT50" i="7"/>
  <c r="AK25" i="6"/>
  <c r="AK42" i="6" s="1"/>
  <c r="AT132" i="7" s="1"/>
  <c r="AT45" i="7"/>
  <c r="AH20" i="6"/>
  <c r="AH37" i="6" s="1"/>
  <c r="AQ127" i="7" s="1"/>
  <c r="AQ40" i="7"/>
  <c r="BA158" i="8"/>
  <c r="AV77" i="7"/>
  <c r="AT43" i="7"/>
  <c r="AY220" i="8"/>
  <c r="AX232" i="7"/>
  <c r="BA19" i="8"/>
  <c r="AY223" i="7"/>
  <c r="BB10" i="8"/>
  <c r="BB27" i="8"/>
  <c r="AX224" i="7" s="1"/>
  <c r="BA11" i="8"/>
  <c r="AO52" i="3"/>
  <c r="AP42" i="3"/>
  <c r="AP51" i="3"/>
  <c r="AP83" i="6" s="1"/>
  <c r="BB44" i="3"/>
  <c r="AP48" i="3"/>
  <c r="AP80" i="6" s="1"/>
  <c r="AO40" i="3"/>
  <c r="AP45" i="3"/>
  <c r="AO49" i="3"/>
  <c r="AO81" i="6" s="1"/>
  <c r="AW101" i="7"/>
  <c r="AO47" i="3"/>
  <c r="AP43" i="3"/>
  <c r="AP75" i="6" s="1"/>
  <c r="AP46" i="3"/>
  <c r="AP78" i="6" s="1"/>
  <c r="AO41" i="3"/>
  <c r="AP38" i="3"/>
  <c r="AO39" i="3"/>
  <c r="AO71" i="6" s="1"/>
  <c r="AW91" i="7"/>
  <c r="AP50" i="3"/>
  <c r="AP82" i="6" s="1"/>
  <c r="AY218" i="8"/>
  <c r="AY210" i="8"/>
  <c r="AY213" i="8"/>
  <c r="AY214" i="8"/>
  <c r="BA17" i="8"/>
  <c r="AX230" i="7"/>
  <c r="BA123" i="8"/>
  <c r="AZ105" i="8"/>
  <c r="BA126" i="8"/>
  <c r="AW13" i="7" s="1"/>
  <c r="AZ108" i="8"/>
  <c r="AZ38" i="8"/>
  <c r="AZ8" i="8"/>
  <c r="AZ99" i="8"/>
  <c r="AX228" i="7"/>
  <c r="BA15" i="8"/>
  <c r="AY225" i="7"/>
  <c r="BB12" i="8"/>
  <c r="AW6" i="7"/>
  <c r="AZ101" i="8"/>
  <c r="BA122" i="8"/>
  <c r="AW9" i="7" s="1"/>
  <c r="AZ104" i="8"/>
  <c r="BA121" i="8"/>
  <c r="AW8" i="7" s="1"/>
  <c r="AZ103" i="8"/>
  <c r="AV170" i="8"/>
  <c r="AW155" i="8"/>
  <c r="AV208" i="8"/>
  <c r="AX222" i="7"/>
  <c r="BA9" i="8"/>
  <c r="AY219" i="8"/>
  <c r="AZ107" i="8"/>
  <c r="BA125" i="8"/>
  <c r="AW12" i="7" s="1"/>
  <c r="BA13" i="8"/>
  <c r="AX226" i="7"/>
  <c r="AY216" i="8"/>
  <c r="AY212" i="8"/>
  <c r="BA127" i="8"/>
  <c r="AW14" i="7" s="1"/>
  <c r="AZ109" i="8"/>
  <c r="AX229" i="7"/>
  <c r="BA16" i="8"/>
  <c r="AZ204" i="8"/>
  <c r="AN54" i="6"/>
  <c r="AY215" i="8"/>
  <c r="BB295" i="8"/>
  <c r="BB323" i="8" s="1"/>
  <c r="AY231" i="7"/>
  <c r="BB18" i="8"/>
  <c r="AY217" i="8"/>
  <c r="BA124" i="8"/>
  <c r="AW11" i="7" s="1"/>
  <c r="AZ106" i="8"/>
  <c r="BA14" i="8"/>
  <c r="AX227" i="7"/>
  <c r="BA118" i="8"/>
  <c r="AW5" i="7" s="1"/>
  <c r="AZ100" i="8"/>
  <c r="BB21" i="8"/>
  <c r="AY234" i="7"/>
  <c r="AW3" i="7"/>
  <c r="AZ98" i="8"/>
  <c r="AY209" i="8"/>
  <c r="AY211" i="8"/>
  <c r="BA282" i="8"/>
  <c r="BA299" i="8" s="1"/>
  <c r="BA278" i="8"/>
  <c r="BA276" i="8"/>
  <c r="BB294" i="8"/>
  <c r="BB322" i="8" s="1"/>
  <c r="BA277" i="8"/>
  <c r="BB61" i="8"/>
  <c r="BE302" i="8"/>
  <c r="BC301" i="8"/>
  <c r="BA58" i="8"/>
  <c r="AZ72" i="8"/>
  <c r="AT63" i="7" l="1"/>
  <c r="AK44" i="6"/>
  <c r="AT134" i="7" s="1"/>
  <c r="AT61" i="7"/>
  <c r="AT66" i="7"/>
  <c r="AT64" i="7"/>
  <c r="AT58" i="7"/>
  <c r="AT57" i="7"/>
  <c r="AT67" i="7"/>
  <c r="AT60" i="7"/>
  <c r="AQ56" i="7"/>
  <c r="AS60" i="7"/>
  <c r="AT62" i="7"/>
  <c r="AT68" i="7"/>
  <c r="AW10" i="7"/>
  <c r="AN10" i="6"/>
  <c r="AX26" i="7" s="1"/>
  <c r="AY233" i="7"/>
  <c r="BC20" i="8"/>
  <c r="BB24" i="8"/>
  <c r="AW221" i="7"/>
  <c r="AP61" i="6"/>
  <c r="AP67" i="6"/>
  <c r="AP59" i="6"/>
  <c r="AO64" i="6"/>
  <c r="AP68" i="6"/>
  <c r="AP65" i="6"/>
  <c r="AP56" i="6"/>
  <c r="AP60" i="6"/>
  <c r="AO55" i="6"/>
  <c r="AP66" i="6"/>
  <c r="AP57" i="6"/>
  <c r="AO62" i="6"/>
  <c r="AO58" i="6"/>
  <c r="AZ85" i="8"/>
  <c r="AZ82" i="8"/>
  <c r="AZ84" i="8"/>
  <c r="AZ83" i="8"/>
  <c r="AZ92" i="8"/>
  <c r="AZ93" i="8"/>
  <c r="AZ88" i="8"/>
  <c r="AZ89" i="8"/>
  <c r="AZ87" i="8"/>
  <c r="AZ91" i="8"/>
  <c r="AZ90" i="8"/>
  <c r="AZ94" i="8"/>
  <c r="BB45" i="8"/>
  <c r="BA46" i="8"/>
  <c r="BA42" i="8"/>
  <c r="BA53" i="8"/>
  <c r="BA49" i="8"/>
  <c r="BB48" i="8"/>
  <c r="BB47" i="8"/>
  <c r="BB50" i="8"/>
  <c r="BB44" i="8"/>
  <c r="BA54" i="8"/>
  <c r="BB52" i="8"/>
  <c r="AV253" i="7"/>
  <c r="AL21" i="6"/>
  <c r="AL38" i="6" s="1"/>
  <c r="AU128" i="7" s="1"/>
  <c r="AU41" i="7"/>
  <c r="BB43" i="8"/>
  <c r="AL24" i="6"/>
  <c r="AL41" i="6" s="1"/>
  <c r="AU131" i="7" s="1"/>
  <c r="AU44" i="7"/>
  <c r="AL31" i="6"/>
  <c r="AL48" i="6" s="1"/>
  <c r="AU138" i="7" s="1"/>
  <c r="AU51" i="7"/>
  <c r="AL32" i="6"/>
  <c r="AL49" i="6" s="1"/>
  <c r="AU139" i="7" s="1"/>
  <c r="AU52" i="7"/>
  <c r="AX29" i="7"/>
  <c r="AP3" i="6"/>
  <c r="AY19" i="7"/>
  <c r="BB158" i="8"/>
  <c r="AX93" i="7" s="1"/>
  <c r="AW77" i="7"/>
  <c r="AW81" i="7"/>
  <c r="AV7" i="7"/>
  <c r="AW23" i="7"/>
  <c r="BA120" i="8"/>
  <c r="BA102" i="8" s="1"/>
  <c r="AZ102" i="8"/>
  <c r="AX85" i="7"/>
  <c r="AW79" i="7"/>
  <c r="AW95" i="7"/>
  <c r="AL25" i="6"/>
  <c r="AL42" i="6" s="1"/>
  <c r="AU132" i="7" s="1"/>
  <c r="AU45" i="7"/>
  <c r="BB51" i="8"/>
  <c r="AL28" i="6"/>
  <c r="AL45" i="6" s="1"/>
  <c r="AU135" i="7" s="1"/>
  <c r="AU48" i="7"/>
  <c r="AZ22" i="7"/>
  <c r="AV15" i="7"/>
  <c r="BA128" i="8"/>
  <c r="AL22" i="6"/>
  <c r="AL39" i="6" s="1"/>
  <c r="AU129" i="7" s="1"/>
  <c r="AU42" i="7"/>
  <c r="AW93" i="7"/>
  <c r="AW78" i="7"/>
  <c r="AW94" i="7"/>
  <c r="AX92" i="7"/>
  <c r="AW76" i="7"/>
  <c r="AW88" i="7"/>
  <c r="AX75" i="7"/>
  <c r="AX28" i="7"/>
  <c r="AW82" i="7"/>
  <c r="AW98" i="7"/>
  <c r="AI20" i="6"/>
  <c r="AI37" i="6" s="1"/>
  <c r="AR127" i="7" s="1"/>
  <c r="AR40" i="7"/>
  <c r="AW4" i="7"/>
  <c r="AX20" i="7"/>
  <c r="AW86" i="7"/>
  <c r="AW102" i="7"/>
  <c r="AX24" i="7"/>
  <c r="BC55" i="8"/>
  <c r="AU49" i="7"/>
  <c r="AL27" i="6"/>
  <c r="AU47" i="7"/>
  <c r="AS90" i="7"/>
  <c r="AS74" i="7"/>
  <c r="AL26" i="6"/>
  <c r="AL43" i="6" s="1"/>
  <c r="AU133" i="7" s="1"/>
  <c r="AU46" i="7"/>
  <c r="AL30" i="6"/>
  <c r="AL47" i="6" s="1"/>
  <c r="AU137" i="7" s="1"/>
  <c r="AU50" i="7"/>
  <c r="AX25" i="7"/>
  <c r="BC236" i="8"/>
  <c r="AX235" i="7"/>
  <c r="AY103" i="7"/>
  <c r="AX87" i="7"/>
  <c r="AW80" i="7"/>
  <c r="AW96" i="7"/>
  <c r="AW84" i="7"/>
  <c r="AW100" i="7"/>
  <c r="AW83" i="7"/>
  <c r="AU43" i="7"/>
  <c r="AZ220" i="8"/>
  <c r="BC27" i="8"/>
  <c r="AY224" i="7" s="1"/>
  <c r="BB11" i="8"/>
  <c r="BC10" i="8"/>
  <c r="AZ223" i="7"/>
  <c r="BB19" i="8"/>
  <c r="AY232" i="7"/>
  <c r="AP41" i="3"/>
  <c r="AP49" i="3"/>
  <c r="AP81" i="6" s="1"/>
  <c r="AX101" i="7"/>
  <c r="AQ46" i="3"/>
  <c r="AQ78" i="6" s="1"/>
  <c r="AP39" i="3"/>
  <c r="AP71" i="6" s="1"/>
  <c r="AX91" i="7"/>
  <c r="AQ43" i="3"/>
  <c r="AQ75" i="6" s="1"/>
  <c r="AP40" i="3"/>
  <c r="AQ42" i="3"/>
  <c r="AQ51" i="3"/>
  <c r="AQ83" i="6" s="1"/>
  <c r="AQ50" i="3"/>
  <c r="AQ82" i="6" s="1"/>
  <c r="AQ45" i="3"/>
  <c r="AQ38" i="3"/>
  <c r="AP47" i="3"/>
  <c r="AQ48" i="3"/>
  <c r="AQ80" i="6" s="1"/>
  <c r="AP52" i="3"/>
  <c r="BB124" i="8"/>
  <c r="AX11" i="7" s="1"/>
  <c r="BA106" i="8"/>
  <c r="BA100" i="8"/>
  <c r="BB118" i="8"/>
  <c r="AX5" i="7" s="1"/>
  <c r="BA104" i="8"/>
  <c r="BB122" i="8"/>
  <c r="AX9" i="7" s="1"/>
  <c r="AZ225" i="7"/>
  <c r="BC12" i="8"/>
  <c r="BA108" i="8"/>
  <c r="BB126" i="8"/>
  <c r="AX13" i="7" s="1"/>
  <c r="AZ219" i="8"/>
  <c r="BC61" i="8"/>
  <c r="BB125" i="8"/>
  <c r="AX12" i="7" s="1"/>
  <c r="BA107" i="8"/>
  <c r="BB9" i="8"/>
  <c r="AY222" i="7"/>
  <c r="AZ218" i="8"/>
  <c r="BB58" i="8"/>
  <c r="BA72" i="8"/>
  <c r="BC295" i="8"/>
  <c r="BC323" i="8" s="1"/>
  <c r="AW170" i="8"/>
  <c r="AX155" i="8"/>
  <c r="AW208" i="8"/>
  <c r="AX6" i="7"/>
  <c r="BA101" i="8"/>
  <c r="BB123" i="8"/>
  <c r="BA105" i="8"/>
  <c r="BD301" i="8"/>
  <c r="BB278" i="8"/>
  <c r="BB282" i="8"/>
  <c r="BB299" i="8" s="1"/>
  <c r="BB276" i="8"/>
  <c r="BB277" i="8"/>
  <c r="BB14" i="8"/>
  <c r="AY227" i="7"/>
  <c r="AZ209" i="8"/>
  <c r="BB17" i="8"/>
  <c r="AY230" i="7"/>
  <c r="BA204" i="8"/>
  <c r="AO54" i="6"/>
  <c r="BB121" i="8"/>
  <c r="AX8" i="7" s="1"/>
  <c r="BA103" i="8"/>
  <c r="BF302" i="8"/>
  <c r="AZ210" i="8"/>
  <c r="AZ231" i="7"/>
  <c r="BC18" i="8"/>
  <c r="BB127" i="8"/>
  <c r="AX14" i="7" s="1"/>
  <c r="BA109" i="8"/>
  <c r="AZ217" i="8"/>
  <c r="AZ214" i="8"/>
  <c r="AY229" i="7"/>
  <c r="BB16" i="8"/>
  <c r="AZ211" i="8"/>
  <c r="AZ215" i="8"/>
  <c r="AX3" i="7"/>
  <c r="BA98" i="8"/>
  <c r="BB13" i="8"/>
  <c r="AY226" i="7"/>
  <c r="BA99" i="8"/>
  <c r="BA38" i="8"/>
  <c r="BA8" i="8"/>
  <c r="AZ234" i="7"/>
  <c r="BC21" i="8"/>
  <c r="AZ216" i="8"/>
  <c r="AZ213" i="8"/>
  <c r="AY228" i="7"/>
  <c r="BB15" i="8"/>
  <c r="AU63" i="7" l="1"/>
  <c r="AL44" i="6"/>
  <c r="AU134" i="7" s="1"/>
  <c r="AU60" i="7"/>
  <c r="AU64" i="7"/>
  <c r="AU66" i="7"/>
  <c r="AU57" i="7"/>
  <c r="AU68" i="7"/>
  <c r="AR56" i="7"/>
  <c r="AU58" i="7"/>
  <c r="AU61" i="7"/>
  <c r="AU67" i="7"/>
  <c r="AU62" i="7"/>
  <c r="AX10" i="7"/>
  <c r="AO10" i="6"/>
  <c r="AY26" i="7" s="1"/>
  <c r="BC24" i="8"/>
  <c r="AX221" i="7"/>
  <c r="AZ233" i="7"/>
  <c r="BD20" i="8"/>
  <c r="AQ57" i="6"/>
  <c r="AQ60" i="6"/>
  <c r="AP64" i="6"/>
  <c r="AQ66" i="6"/>
  <c r="AQ56" i="6"/>
  <c r="AQ59" i="6"/>
  <c r="AP58" i="6"/>
  <c r="AP55" i="6"/>
  <c r="AQ65" i="6"/>
  <c r="AQ67" i="6"/>
  <c r="AP62" i="6"/>
  <c r="AQ68" i="6"/>
  <c r="AQ61" i="6"/>
  <c r="BA84" i="8"/>
  <c r="BA82" i="8"/>
  <c r="BA85" i="8"/>
  <c r="BA83" i="8"/>
  <c r="AZ86" i="8"/>
  <c r="BA87" i="8"/>
  <c r="BA88" i="8"/>
  <c r="BA89" i="8"/>
  <c r="BA93" i="8"/>
  <c r="BA92" i="8"/>
  <c r="BA90" i="8"/>
  <c r="BA86" i="8"/>
  <c r="BA91" i="8"/>
  <c r="AX104" i="7"/>
  <c r="BC45" i="8"/>
  <c r="BB53" i="8"/>
  <c r="BC47" i="8"/>
  <c r="BC44" i="8"/>
  <c r="BC48" i="8"/>
  <c r="BB42" i="8"/>
  <c r="BB49" i="8"/>
  <c r="BC50" i="8"/>
  <c r="BB46" i="8"/>
  <c r="BB54" i="8"/>
  <c r="BC52" i="8"/>
  <c r="AW253" i="7"/>
  <c r="AM27" i="6"/>
  <c r="AV47" i="7"/>
  <c r="AM32" i="6"/>
  <c r="AM49" i="6" s="1"/>
  <c r="AV139" i="7" s="1"/>
  <c r="AV52" i="7"/>
  <c r="AY99" i="7"/>
  <c r="AX83" i="7"/>
  <c r="AX80" i="7"/>
  <c r="AX96" i="7"/>
  <c r="AY75" i="7"/>
  <c r="AZ212" i="8"/>
  <c r="AM31" i="6"/>
  <c r="AM48" i="6" s="1"/>
  <c r="AV138" i="7" s="1"/>
  <c r="AV51" i="7"/>
  <c r="AY24" i="7"/>
  <c r="BA22" i="7"/>
  <c r="BC51" i="8"/>
  <c r="AW7" i="7"/>
  <c r="AX23" i="7"/>
  <c r="BB120" i="8"/>
  <c r="AY104" i="7"/>
  <c r="AX88" i="7"/>
  <c r="AW15" i="7"/>
  <c r="BB128" i="8"/>
  <c r="AX79" i="7"/>
  <c r="AX95" i="7"/>
  <c r="BC158" i="8"/>
  <c r="AY93" i="7" s="1"/>
  <c r="AX77" i="7"/>
  <c r="BC43" i="8"/>
  <c r="AX4" i="7"/>
  <c r="AY20" i="7"/>
  <c r="AX99" i="7"/>
  <c r="AZ103" i="7"/>
  <c r="AY87" i="7"/>
  <c r="AX86" i="7"/>
  <c r="AX102" i="7"/>
  <c r="AX76" i="7"/>
  <c r="AQ3" i="6"/>
  <c r="AZ19" i="7"/>
  <c r="AM26" i="6"/>
  <c r="AM43" i="6" s="1"/>
  <c r="AV133" i="7" s="1"/>
  <c r="AV46" i="7"/>
  <c r="BA110" i="8"/>
  <c r="AY25" i="7"/>
  <c r="AX84" i="7"/>
  <c r="AX100" i="7"/>
  <c r="BD55" i="8"/>
  <c r="AX82" i="7"/>
  <c r="AX98" i="7"/>
  <c r="AM25" i="6"/>
  <c r="AM42" i="6" s="1"/>
  <c r="AV132" i="7" s="1"/>
  <c r="AV45" i="7"/>
  <c r="AM22" i="6"/>
  <c r="AM39" i="6" s="1"/>
  <c r="AV129" i="7" s="1"/>
  <c r="AV42" i="7"/>
  <c r="AM21" i="6"/>
  <c r="AM38" i="6" s="1"/>
  <c r="AV128" i="7" s="1"/>
  <c r="AV41" i="7"/>
  <c r="AJ20" i="6"/>
  <c r="AJ37" i="6" s="1"/>
  <c r="AS127" i="7" s="1"/>
  <c r="AS40" i="7"/>
  <c r="BD236" i="8"/>
  <c r="AY235" i="7"/>
  <c r="AX81" i="7"/>
  <c r="AM28" i="6"/>
  <c r="AM45" i="6" s="1"/>
  <c r="AV135" i="7" s="1"/>
  <c r="AV48" i="7"/>
  <c r="AV49" i="7"/>
  <c r="AT90" i="7"/>
  <c r="AT74" i="7"/>
  <c r="AM30" i="6"/>
  <c r="AM47" i="6" s="1"/>
  <c r="AV137" i="7" s="1"/>
  <c r="AV50" i="7"/>
  <c r="AY29" i="7"/>
  <c r="AY28" i="7"/>
  <c r="AX78" i="7"/>
  <c r="AX94" i="7"/>
  <c r="AY85" i="7"/>
  <c r="AV43" i="7"/>
  <c r="BB110" i="8"/>
  <c r="BC19" i="8"/>
  <c r="AZ232" i="7"/>
  <c r="BA223" i="7"/>
  <c r="BD10" i="8"/>
  <c r="BC11" i="8"/>
  <c r="BD27" i="8"/>
  <c r="AZ224" i="7" s="1"/>
  <c r="AQ47" i="3"/>
  <c r="AQ39" i="3"/>
  <c r="AQ71" i="6" s="1"/>
  <c r="AY91" i="7"/>
  <c r="AR38" i="3"/>
  <c r="AQ52" i="3"/>
  <c r="AR45" i="3"/>
  <c r="AQ40" i="3"/>
  <c r="AY92" i="7"/>
  <c r="AQ49" i="3"/>
  <c r="AQ81" i="6" s="1"/>
  <c r="AY101" i="7"/>
  <c r="AR42" i="3"/>
  <c r="AR51" i="3"/>
  <c r="AR83" i="6" s="1"/>
  <c r="AR46" i="3"/>
  <c r="AR78" i="6" s="1"/>
  <c r="AR48" i="3"/>
  <c r="AR80" i="6" s="1"/>
  <c r="AR50" i="3"/>
  <c r="AR82" i="6" s="1"/>
  <c r="AR43" i="3"/>
  <c r="AR75" i="6" s="1"/>
  <c r="AQ41" i="3"/>
  <c r="BC122" i="8"/>
  <c r="AY9" i="7" s="1"/>
  <c r="BB104" i="8"/>
  <c r="AY3" i="7"/>
  <c r="BB98" i="8"/>
  <c r="BB204" i="8"/>
  <c r="AP54" i="6"/>
  <c r="BC276" i="8"/>
  <c r="BC282" i="8"/>
  <c r="BC278" i="8"/>
  <c r="BC277" i="8"/>
  <c r="BC123" i="8"/>
  <c r="BB105" i="8"/>
  <c r="BA214" i="8"/>
  <c r="BA231" i="7"/>
  <c r="BD18" i="8"/>
  <c r="BA217" i="8"/>
  <c r="BB108" i="8"/>
  <c r="BC126" i="8"/>
  <c r="AY13" i="7" s="1"/>
  <c r="BB100" i="8"/>
  <c r="BC118" i="8"/>
  <c r="AY5" i="7" s="1"/>
  <c r="BC127" i="8"/>
  <c r="AY14" i="7" s="1"/>
  <c r="BB109" i="8"/>
  <c r="BA215" i="8"/>
  <c r="BC17" i="8"/>
  <c r="AZ230" i="7"/>
  <c r="AY155" i="8"/>
  <c r="AX170" i="8"/>
  <c r="AX208" i="8"/>
  <c r="BC125" i="8"/>
  <c r="AY12" i="7" s="1"/>
  <c r="BB107" i="8"/>
  <c r="BC15" i="8"/>
  <c r="AZ228" i="7"/>
  <c r="BB38" i="8"/>
  <c r="BB8" i="8"/>
  <c r="AZ227" i="7"/>
  <c r="BC14" i="8"/>
  <c r="BD61" i="8"/>
  <c r="BA210" i="8"/>
  <c r="BC46" i="8"/>
  <c r="AZ229" i="7"/>
  <c r="BC16" i="8"/>
  <c r="BA218" i="8"/>
  <c r="AZ226" i="7"/>
  <c r="BC13" i="8"/>
  <c r="BA234" i="7"/>
  <c r="BD21" i="8"/>
  <c r="BB99" i="8"/>
  <c r="BG302" i="8"/>
  <c r="BE301" i="8"/>
  <c r="BA211" i="8"/>
  <c r="BD295" i="8"/>
  <c r="BD323" i="8" s="1"/>
  <c r="BC9" i="8"/>
  <c r="AZ222" i="7"/>
  <c r="BA216" i="8"/>
  <c r="BC121" i="8"/>
  <c r="AY8" i="7" s="1"/>
  <c r="BB103" i="8"/>
  <c r="BB72" i="8"/>
  <c r="BC58" i="8"/>
  <c r="BA209" i="8"/>
  <c r="BA219" i="8"/>
  <c r="BA213" i="8"/>
  <c r="BA212" i="8"/>
  <c r="BC294" i="8"/>
  <c r="BC322" i="8" s="1"/>
  <c r="AY6" i="7"/>
  <c r="BB101" i="8"/>
  <c r="BA225" i="7"/>
  <c r="BD12" i="8"/>
  <c r="BC124" i="8"/>
  <c r="AY11" i="7" s="1"/>
  <c r="BB106" i="8"/>
  <c r="AV63" i="7" l="1"/>
  <c r="AM44" i="6"/>
  <c r="AV134" i="7" s="1"/>
  <c r="AV64" i="7"/>
  <c r="AV68" i="7"/>
  <c r="AV61" i="7"/>
  <c r="AV58" i="7"/>
  <c r="AV62" i="7"/>
  <c r="AS56" i="7"/>
  <c r="AV66" i="7"/>
  <c r="AV57" i="7"/>
  <c r="AV67" i="7"/>
  <c r="AY10" i="7"/>
  <c r="AP10" i="6"/>
  <c r="BA233" i="7"/>
  <c r="BE20" i="8"/>
  <c r="BD24" i="8"/>
  <c r="AY221" i="7"/>
  <c r="AQ55" i="6"/>
  <c r="AR66" i="6"/>
  <c r="AQ62" i="6"/>
  <c r="AQ58" i="6"/>
  <c r="AQ64" i="6"/>
  <c r="AR61" i="6"/>
  <c r="AR67" i="6"/>
  <c r="AR59" i="6"/>
  <c r="AR60" i="6"/>
  <c r="AR68" i="6"/>
  <c r="AR65" i="6"/>
  <c r="AR56" i="6"/>
  <c r="AR57" i="6"/>
  <c r="BB83" i="8"/>
  <c r="BB85" i="8"/>
  <c r="BB82" i="8"/>
  <c r="BB84" i="8"/>
  <c r="BB94" i="8"/>
  <c r="BB91" i="8"/>
  <c r="BB87" i="8"/>
  <c r="BB90" i="8"/>
  <c r="BB89" i="8"/>
  <c r="BB88" i="8"/>
  <c r="BB93" i="8"/>
  <c r="BB92" i="8"/>
  <c r="BA94" i="8"/>
  <c r="AX253" i="7"/>
  <c r="BC49" i="8"/>
  <c r="BC53" i="8"/>
  <c r="BD47" i="8"/>
  <c r="BD50" i="8"/>
  <c r="BD45" i="8"/>
  <c r="BD44" i="8"/>
  <c r="BD48" i="8"/>
  <c r="BC42" i="8"/>
  <c r="BC54" i="8"/>
  <c r="BA220" i="8"/>
  <c r="AN32" i="6" s="1"/>
  <c r="AN49" i="6" s="1"/>
  <c r="AW139" i="7" s="1"/>
  <c r="BD52" i="8"/>
  <c r="AZ25" i="7"/>
  <c r="AZ85" i="7"/>
  <c r="AY81" i="7"/>
  <c r="AR3" i="6"/>
  <c r="BA19" i="7"/>
  <c r="BE55" i="8"/>
  <c r="AY86" i="7"/>
  <c r="AY102" i="7"/>
  <c r="AX15" i="7"/>
  <c r="BC128" i="8"/>
  <c r="BC110" i="8" s="1"/>
  <c r="AZ24" i="7"/>
  <c r="AY80" i="7"/>
  <c r="AY96" i="7"/>
  <c r="BE236" i="8"/>
  <c r="AZ235" i="7"/>
  <c r="BD43" i="8"/>
  <c r="BB22" i="7"/>
  <c r="AN28" i="6"/>
  <c r="AN45" i="6" s="1"/>
  <c r="AW135" i="7" s="1"/>
  <c r="AW48" i="7"/>
  <c r="AZ29" i="7"/>
  <c r="BA103" i="7"/>
  <c r="AZ87" i="7"/>
  <c r="AX7" i="7"/>
  <c r="AY23" i="7"/>
  <c r="BC120" i="8"/>
  <c r="BC102" i="8" s="1"/>
  <c r="BB102" i="8"/>
  <c r="AZ99" i="7"/>
  <c r="AY83" i="7"/>
  <c r="BD158" i="8"/>
  <c r="AZ93" i="7" s="1"/>
  <c r="AY77" i="7"/>
  <c r="AZ104" i="7"/>
  <c r="AY88" i="7"/>
  <c r="AZ75" i="7"/>
  <c r="AN25" i="6"/>
  <c r="AN42" i="6" s="1"/>
  <c r="AW132" i="7" s="1"/>
  <c r="AW45" i="7"/>
  <c r="AY4" i="7"/>
  <c r="AZ20" i="7"/>
  <c r="AZ28" i="7"/>
  <c r="AN30" i="6"/>
  <c r="AN47" i="6" s="1"/>
  <c r="AW137" i="7" s="1"/>
  <c r="AW50" i="7"/>
  <c r="AK20" i="6"/>
  <c r="AK37" i="6" s="1"/>
  <c r="AT127" i="7" s="1"/>
  <c r="AT40" i="7"/>
  <c r="AN21" i="6"/>
  <c r="AN38" i="6" s="1"/>
  <c r="AW128" i="7" s="1"/>
  <c r="AW41" i="7"/>
  <c r="AN22" i="6"/>
  <c r="AN39" i="6" s="1"/>
  <c r="AW129" i="7" s="1"/>
  <c r="AW42" i="7"/>
  <c r="AZ92" i="7"/>
  <c r="AY76" i="7"/>
  <c r="BD51" i="8"/>
  <c r="AN31" i="6"/>
  <c r="AN48" i="6" s="1"/>
  <c r="AW138" i="7" s="1"/>
  <c r="AW51" i="7"/>
  <c r="AN24" i="6"/>
  <c r="AN41" i="6" s="1"/>
  <c r="AW131" i="7" s="1"/>
  <c r="AW44" i="7"/>
  <c r="AU90" i="7"/>
  <c r="AU74" i="7"/>
  <c r="AN27" i="6"/>
  <c r="AW47" i="7"/>
  <c r="AW49" i="7"/>
  <c r="AN26" i="6"/>
  <c r="AN43" i="6" s="1"/>
  <c r="AW133" i="7" s="1"/>
  <c r="AW46" i="7"/>
  <c r="AY78" i="7"/>
  <c r="AY94" i="7"/>
  <c r="AY82" i="7"/>
  <c r="AY98" i="7"/>
  <c r="AY84" i="7"/>
  <c r="AY100" i="7"/>
  <c r="AY79" i="7"/>
  <c r="AY95" i="7"/>
  <c r="AZ26" i="7"/>
  <c r="AM24" i="6"/>
  <c r="AM41" i="6" s="1"/>
  <c r="AV131" i="7" s="1"/>
  <c r="AV44" i="7"/>
  <c r="AW43" i="7"/>
  <c r="BB220" i="8"/>
  <c r="BE27" i="8"/>
  <c r="BA224" i="7" s="1"/>
  <c r="BD11" i="8"/>
  <c r="BE10" i="8"/>
  <c r="BB223" i="7"/>
  <c r="BA232" i="7"/>
  <c r="BD19" i="8"/>
  <c r="AS42" i="3"/>
  <c r="AS38" i="3"/>
  <c r="AR41" i="3"/>
  <c r="AS46" i="3"/>
  <c r="AS78" i="6" s="1"/>
  <c r="AR40" i="3"/>
  <c r="AR39" i="3"/>
  <c r="AR71" i="6" s="1"/>
  <c r="AZ91" i="7"/>
  <c r="AS50" i="3"/>
  <c r="AS82" i="6" s="1"/>
  <c r="AR49" i="3"/>
  <c r="AR81" i="6" s="1"/>
  <c r="AZ101" i="7"/>
  <c r="AR52" i="3"/>
  <c r="AS48" i="3"/>
  <c r="AS80" i="6" s="1"/>
  <c r="AS43" i="3"/>
  <c r="AS75" i="6" s="1"/>
  <c r="AS51" i="3"/>
  <c r="AS83" i="6" s="1"/>
  <c r="AS45" i="3"/>
  <c r="AR47" i="3"/>
  <c r="BA227" i="7"/>
  <c r="BD14" i="8"/>
  <c r="BB215" i="8"/>
  <c r="BB225" i="7"/>
  <c r="BE12" i="8"/>
  <c r="BB209" i="8"/>
  <c r="BA226" i="7"/>
  <c r="BD13" i="8"/>
  <c r="AY170" i="8"/>
  <c r="AZ155" i="8"/>
  <c r="AY208" i="8"/>
  <c r="BD123" i="8"/>
  <c r="BC105" i="8"/>
  <c r="BE18" i="8"/>
  <c r="BB231" i="7"/>
  <c r="BA230" i="7"/>
  <c r="BD17" i="8"/>
  <c r="BD276" i="8"/>
  <c r="BD278" i="8"/>
  <c r="BD277" i="8"/>
  <c r="BD282" i="8"/>
  <c r="BE294" i="8"/>
  <c r="BE322" i="8" s="1"/>
  <c r="AZ3" i="7"/>
  <c r="BC98" i="8"/>
  <c r="BD124" i="8"/>
  <c r="AZ11" i="7" s="1"/>
  <c r="BC106" i="8"/>
  <c r="AZ6" i="7"/>
  <c r="BC101" i="8"/>
  <c r="BD58" i="8"/>
  <c r="BC72" i="8"/>
  <c r="BF301" i="8"/>
  <c r="BA228" i="7"/>
  <c r="BD15" i="8"/>
  <c r="BC109" i="8"/>
  <c r="BD127" i="8"/>
  <c r="AZ14" i="7" s="1"/>
  <c r="BD121" i="8"/>
  <c r="AZ8" i="7" s="1"/>
  <c r="BC103" i="8"/>
  <c r="BC204" i="8"/>
  <c r="AQ54" i="6"/>
  <c r="BE295" i="8"/>
  <c r="BE323" i="8" s="1"/>
  <c r="BC99" i="8"/>
  <c r="BE61" i="8"/>
  <c r="BB219" i="8"/>
  <c r="BD294" i="8"/>
  <c r="BD322" i="8" s="1"/>
  <c r="BE21" i="8"/>
  <c r="BB234" i="7"/>
  <c r="BC100" i="8"/>
  <c r="BD118" i="8"/>
  <c r="AZ5" i="7" s="1"/>
  <c r="BB218" i="8"/>
  <c r="BB211" i="8"/>
  <c r="BH302" i="8"/>
  <c r="BB210" i="8"/>
  <c r="BC299" i="8"/>
  <c r="BB214" i="8"/>
  <c r="BC38" i="8"/>
  <c r="BC8" i="8"/>
  <c r="BD9" i="8"/>
  <c r="BA222" i="7"/>
  <c r="BA229" i="7"/>
  <c r="BD16" i="8"/>
  <c r="BB217" i="8"/>
  <c r="BB216" i="8"/>
  <c r="BB213" i="8"/>
  <c r="BD125" i="8"/>
  <c r="AZ12" i="7" s="1"/>
  <c r="BC107" i="8"/>
  <c r="BC108" i="8"/>
  <c r="BD126" i="8"/>
  <c r="AZ13" i="7" s="1"/>
  <c r="BD122" i="8"/>
  <c r="AZ9" i="7" s="1"/>
  <c r="BC104" i="8"/>
  <c r="AW63" i="7" l="1"/>
  <c r="AN44" i="6"/>
  <c r="AW134" i="7" s="1"/>
  <c r="AV60" i="7"/>
  <c r="AW60" i="7"/>
  <c r="AW62" i="7"/>
  <c r="AW57" i="7"/>
  <c r="AW67" i="7"/>
  <c r="AW61" i="7"/>
  <c r="AW64" i="7"/>
  <c r="AT56" i="7"/>
  <c r="AW58" i="7"/>
  <c r="AW66" i="7"/>
  <c r="AW68" i="7"/>
  <c r="AZ10" i="7"/>
  <c r="AQ10" i="6"/>
  <c r="BA26" i="7" s="1"/>
  <c r="BE24" i="8"/>
  <c r="AZ221" i="7"/>
  <c r="BB233" i="7"/>
  <c r="BF20" i="8"/>
  <c r="AS65" i="6"/>
  <c r="AS67" i="6"/>
  <c r="AR62" i="6"/>
  <c r="AS68" i="6"/>
  <c r="AS61" i="6"/>
  <c r="AS66" i="6"/>
  <c r="AS57" i="6"/>
  <c r="AS60" i="6"/>
  <c r="AR64" i="6"/>
  <c r="AR55" i="6"/>
  <c r="AS56" i="6"/>
  <c r="AS59" i="6"/>
  <c r="AR58" i="6"/>
  <c r="BC83" i="8"/>
  <c r="BC85" i="8"/>
  <c r="BC82" i="8"/>
  <c r="BC84" i="8"/>
  <c r="BC92" i="8"/>
  <c r="BC87" i="8"/>
  <c r="BC91" i="8"/>
  <c r="BC94" i="8"/>
  <c r="BC89" i="8"/>
  <c r="BB86" i="8"/>
  <c r="BC86" i="8"/>
  <c r="BC88" i="8"/>
  <c r="BC93" i="8"/>
  <c r="BC90" i="8"/>
  <c r="AW52" i="7"/>
  <c r="BE44" i="8"/>
  <c r="BE50" i="8"/>
  <c r="BE48" i="8"/>
  <c r="BD53" i="8"/>
  <c r="BE47" i="8"/>
  <c r="BD49" i="8"/>
  <c r="BE45" i="8"/>
  <c r="BD46" i="8"/>
  <c r="BD42" i="8"/>
  <c r="BD54" i="8"/>
  <c r="BE52" i="8"/>
  <c r="AY253" i="7"/>
  <c r="AO26" i="6"/>
  <c r="AO43" i="6" s="1"/>
  <c r="AX133" i="7" s="1"/>
  <c r="AX46" i="7"/>
  <c r="AO30" i="6"/>
  <c r="AO47" i="6" s="1"/>
  <c r="AX137" i="7" s="1"/>
  <c r="AX50" i="7"/>
  <c r="BC212" i="8"/>
  <c r="BA29" i="7"/>
  <c r="AZ79" i="7"/>
  <c r="AZ95" i="7"/>
  <c r="BE51" i="8"/>
  <c r="AY7" i="7"/>
  <c r="AZ23" i="7"/>
  <c r="BD120" i="8"/>
  <c r="BD102" i="8" s="1"/>
  <c r="BC22" i="7"/>
  <c r="AS3" i="6"/>
  <c r="BB19" i="7"/>
  <c r="AO25" i="6"/>
  <c r="AO42" i="6" s="1"/>
  <c r="AX132" i="7" s="1"/>
  <c r="AX45" i="7"/>
  <c r="BA24" i="7"/>
  <c r="AY15" i="7"/>
  <c r="BD128" i="8"/>
  <c r="BD110" i="8" s="1"/>
  <c r="AZ84" i="7"/>
  <c r="AZ100" i="7"/>
  <c r="AZ78" i="7"/>
  <c r="AZ94" i="7"/>
  <c r="BA92" i="7"/>
  <c r="AZ76" i="7"/>
  <c r="BF236" i="8"/>
  <c r="BA235" i="7"/>
  <c r="AZ88" i="7"/>
  <c r="AO28" i="6"/>
  <c r="AO45" i="6" s="1"/>
  <c r="AX135" i="7" s="1"/>
  <c r="AX48" i="7"/>
  <c r="BE158" i="8"/>
  <c r="BA93" i="7" s="1"/>
  <c r="AZ77" i="7"/>
  <c r="BA99" i="7"/>
  <c r="AZ83" i="7"/>
  <c r="BA87" i="7"/>
  <c r="AO32" i="6"/>
  <c r="AO49" i="6" s="1"/>
  <c r="AX139" i="7" s="1"/>
  <c r="AX52" i="7"/>
  <c r="BA28" i="7"/>
  <c r="BE43" i="8"/>
  <c r="AZ86" i="7"/>
  <c r="AZ102" i="7"/>
  <c r="AZ81" i="7"/>
  <c r="AX49" i="7"/>
  <c r="AZ4" i="7"/>
  <c r="BA20" i="7"/>
  <c r="AL20" i="6"/>
  <c r="AL37" i="6" s="1"/>
  <c r="AU127" i="7" s="1"/>
  <c r="AU40" i="7"/>
  <c r="AO21" i="6"/>
  <c r="AO38" i="6" s="1"/>
  <c r="AX128" i="7" s="1"/>
  <c r="AX41" i="7"/>
  <c r="BA25" i="7"/>
  <c r="AZ82" i="7"/>
  <c r="AZ98" i="7"/>
  <c r="AZ80" i="7"/>
  <c r="AZ96" i="7"/>
  <c r="BF55" i="8"/>
  <c r="AO31" i="6"/>
  <c r="AO48" i="6" s="1"/>
  <c r="AX138" i="7" s="1"/>
  <c r="AX51" i="7"/>
  <c r="AO27" i="6"/>
  <c r="AX47" i="7"/>
  <c r="AO22" i="6"/>
  <c r="AO39" i="6" s="1"/>
  <c r="AX129" i="7" s="1"/>
  <c r="AX42" i="7"/>
  <c r="AV90" i="7"/>
  <c r="AV74" i="7"/>
  <c r="BA75" i="7"/>
  <c r="BB212" i="8"/>
  <c r="BA85" i="7"/>
  <c r="AX43" i="7"/>
  <c r="BD299" i="8"/>
  <c r="BC220" i="8"/>
  <c r="BB232" i="7"/>
  <c r="BE19" i="8"/>
  <c r="BF10" i="8"/>
  <c r="BC223" i="7"/>
  <c r="BE11" i="8"/>
  <c r="BF27" i="8"/>
  <c r="BB224" i="7" s="1"/>
  <c r="AS49" i="3"/>
  <c r="AS81" i="6" s="1"/>
  <c r="BA101" i="7"/>
  <c r="AT51" i="3"/>
  <c r="AT83" i="6" s="1"/>
  <c r="AS41" i="3"/>
  <c r="AS47" i="3"/>
  <c r="AT48" i="3"/>
  <c r="AT80" i="6" s="1"/>
  <c r="AS39" i="3"/>
  <c r="AS71" i="6" s="1"/>
  <c r="BA91" i="7"/>
  <c r="AT38" i="3"/>
  <c r="AT46" i="3"/>
  <c r="AT78" i="6" s="1"/>
  <c r="AT50" i="3"/>
  <c r="AT82" i="6" s="1"/>
  <c r="AT43" i="3"/>
  <c r="AT75" i="6" s="1"/>
  <c r="AT45" i="3"/>
  <c r="AS52" i="3"/>
  <c r="AS40" i="3"/>
  <c r="AT42" i="3"/>
  <c r="BF295" i="8"/>
  <c r="BF323" i="8" s="1"/>
  <c r="BD8" i="8"/>
  <c r="BD38" i="8"/>
  <c r="BI302" i="8"/>
  <c r="BD204" i="8"/>
  <c r="AR54" i="6"/>
  <c r="BE127" i="8"/>
  <c r="BA14" i="7" s="1"/>
  <c r="BD109" i="8"/>
  <c r="BC210" i="8"/>
  <c r="BG301" i="8"/>
  <c r="BF21" i="8"/>
  <c r="BC234" i="7"/>
  <c r="BC216" i="8"/>
  <c r="BC215" i="8"/>
  <c r="BB226" i="7"/>
  <c r="BE13" i="8"/>
  <c r="BC214" i="8"/>
  <c r="BB229" i="7"/>
  <c r="BE16" i="8"/>
  <c r="BC209" i="8"/>
  <c r="BC213" i="8"/>
  <c r="BD72" i="8"/>
  <c r="BE58" i="8"/>
  <c r="BE124" i="8"/>
  <c r="BA11" i="7" s="1"/>
  <c r="BD106" i="8"/>
  <c r="BE123" i="8"/>
  <c r="BD105" i="8"/>
  <c r="BE46" i="8"/>
  <c r="BE126" i="8"/>
  <c r="BA13" i="7" s="1"/>
  <c r="BD108" i="8"/>
  <c r="BF61" i="8"/>
  <c r="BC217" i="8"/>
  <c r="BD99" i="8"/>
  <c r="BD103" i="8"/>
  <c r="BE121" i="8"/>
  <c r="BA8" i="7" s="1"/>
  <c r="BE15" i="8"/>
  <c r="BB228" i="7"/>
  <c r="BC211" i="8"/>
  <c r="BB230" i="7"/>
  <c r="BE17" i="8"/>
  <c r="BB227" i="7"/>
  <c r="BE14" i="8"/>
  <c r="BE125" i="8"/>
  <c r="BA12" i="7" s="1"/>
  <c r="BD107" i="8"/>
  <c r="BD101" i="8"/>
  <c r="BA6" i="7"/>
  <c r="BA3" i="7"/>
  <c r="BD98" i="8"/>
  <c r="BF18" i="8"/>
  <c r="BC231" i="7"/>
  <c r="AZ170" i="8"/>
  <c r="BA155" i="8"/>
  <c r="AZ208" i="8"/>
  <c r="BD104" i="8"/>
  <c r="BE122" i="8"/>
  <c r="BA9" i="7" s="1"/>
  <c r="BC218" i="8"/>
  <c r="BC219" i="8"/>
  <c r="BE9" i="8"/>
  <c r="BB222" i="7"/>
  <c r="BE118" i="8"/>
  <c r="BA5" i="7" s="1"/>
  <c r="BD100" i="8"/>
  <c r="BE278" i="8"/>
  <c r="BE277" i="8"/>
  <c r="BF294" i="8"/>
  <c r="BF322" i="8" s="1"/>
  <c r="BE282" i="8"/>
  <c r="BE299" i="8" s="1"/>
  <c r="BE276" i="8"/>
  <c r="BC225" i="7"/>
  <c r="BF12" i="8"/>
  <c r="AX63" i="7" l="1"/>
  <c r="AO44" i="6"/>
  <c r="AX134" i="7" s="1"/>
  <c r="AU56" i="7"/>
  <c r="AX61" i="7"/>
  <c r="AX58" i="7"/>
  <c r="AX68" i="7"/>
  <c r="AX64" i="7"/>
  <c r="AX66" i="7"/>
  <c r="AX67" i="7"/>
  <c r="AX57" i="7"/>
  <c r="AX62" i="7"/>
  <c r="BA10" i="7"/>
  <c r="AR10" i="6"/>
  <c r="BB26" i="7" s="1"/>
  <c r="BC233" i="7"/>
  <c r="BG20" i="8"/>
  <c r="BF24" i="8"/>
  <c r="BA221" i="7"/>
  <c r="AT59" i="6"/>
  <c r="AT60" i="6"/>
  <c r="AT68" i="6"/>
  <c r="AT56" i="6"/>
  <c r="AT57" i="6"/>
  <c r="AS62" i="6"/>
  <c r="AS55" i="6"/>
  <c r="AT66" i="6"/>
  <c r="AT67" i="6"/>
  <c r="AS58" i="6"/>
  <c r="AS64" i="6"/>
  <c r="AT61" i="6"/>
  <c r="AT65" i="6"/>
  <c r="BD85" i="8"/>
  <c r="BD83" i="8"/>
  <c r="BD84" i="8"/>
  <c r="BD82" i="8"/>
  <c r="BA104" i="7"/>
  <c r="BD92" i="8"/>
  <c r="BD93" i="8"/>
  <c r="BD91" i="8"/>
  <c r="BD87" i="8"/>
  <c r="BD89" i="8"/>
  <c r="BD86" i="8"/>
  <c r="BD88" i="8"/>
  <c r="BD90" i="8"/>
  <c r="BD94" i="8"/>
  <c r="BE53" i="8"/>
  <c r="BF45" i="8"/>
  <c r="BE42" i="8"/>
  <c r="BF50" i="8"/>
  <c r="BF47" i="8"/>
  <c r="BF48" i="8"/>
  <c r="BE49" i="8"/>
  <c r="BF44" i="8"/>
  <c r="BE54" i="8"/>
  <c r="BF52" i="8"/>
  <c r="BB29" i="7"/>
  <c r="BB24" i="7"/>
  <c r="AZ253" i="7"/>
  <c r="BA79" i="7"/>
  <c r="BA95" i="7"/>
  <c r="BG236" i="8"/>
  <c r="BB235" i="7"/>
  <c r="AP22" i="6"/>
  <c r="AP39" i="6" s="1"/>
  <c r="AY129" i="7" s="1"/>
  <c r="AY42" i="7"/>
  <c r="AO24" i="6"/>
  <c r="AO41" i="6" s="1"/>
  <c r="AX131" i="7" s="1"/>
  <c r="AX44" i="7"/>
  <c r="BA86" i="7"/>
  <c r="BA102" i="7"/>
  <c r="BD22" i="7"/>
  <c r="BF51" i="8"/>
  <c r="BA82" i="7"/>
  <c r="BA98" i="7"/>
  <c r="BC103" i="7"/>
  <c r="BB87" i="7"/>
  <c r="AZ7" i="7"/>
  <c r="BA23" i="7"/>
  <c r="BE120" i="8"/>
  <c r="BE102" i="8" s="1"/>
  <c r="BE86" i="8" s="1"/>
  <c r="AP24" i="6"/>
  <c r="AP41" i="6" s="1"/>
  <c r="AY131" i="7" s="1"/>
  <c r="AY44" i="7"/>
  <c r="BB92" i="7"/>
  <c r="BA76" i="7"/>
  <c r="AM20" i="6"/>
  <c r="AM37" i="6" s="1"/>
  <c r="AV127" i="7" s="1"/>
  <c r="AV40" i="7"/>
  <c r="AZ15" i="7"/>
  <c r="BE128" i="8"/>
  <c r="BE110" i="8" s="1"/>
  <c r="BA4" i="7"/>
  <c r="BB20" i="7"/>
  <c r="AP27" i="6"/>
  <c r="AY47" i="7"/>
  <c r="BA80" i="7"/>
  <c r="BA96" i="7"/>
  <c r="BF43" i="8"/>
  <c r="BA84" i="7"/>
  <c r="BA100" i="7"/>
  <c r="AP31" i="6"/>
  <c r="AP48" i="6" s="1"/>
  <c r="AY138" i="7" s="1"/>
  <c r="AY51" i="7"/>
  <c r="AW90" i="7"/>
  <c r="AW74" i="7"/>
  <c r="AP25" i="6"/>
  <c r="AP42" i="6" s="1"/>
  <c r="AY132" i="7" s="1"/>
  <c r="AY45" i="7"/>
  <c r="AP28" i="6"/>
  <c r="AP45" i="6" s="1"/>
  <c r="AY135" i="7" s="1"/>
  <c r="AY48" i="7"/>
  <c r="AP32" i="6"/>
  <c r="AP49" i="6" s="1"/>
  <c r="AY139" i="7" s="1"/>
  <c r="AY52" i="7"/>
  <c r="BB25" i="7"/>
  <c r="BB75" i="7"/>
  <c r="BB28" i="7"/>
  <c r="BB99" i="7"/>
  <c r="BA83" i="7"/>
  <c r="AY49" i="7"/>
  <c r="BB103" i="7"/>
  <c r="BG55" i="8"/>
  <c r="BB104" i="7"/>
  <c r="BA88" i="7"/>
  <c r="AP30" i="6"/>
  <c r="AP47" i="6" s="1"/>
  <c r="AY137" i="7" s="1"/>
  <c r="AY50" i="7"/>
  <c r="AP21" i="6"/>
  <c r="AP38" i="6" s="1"/>
  <c r="AY128" i="7" s="1"/>
  <c r="AY41" i="7"/>
  <c r="BA81" i="7"/>
  <c r="BF158" i="8"/>
  <c r="BA77" i="7"/>
  <c r="AP26" i="6"/>
  <c r="AP43" i="6" s="1"/>
  <c r="AY133" i="7" s="1"/>
  <c r="AY46" i="7"/>
  <c r="BB85" i="7"/>
  <c r="BA78" i="7"/>
  <c r="BA94" i="7"/>
  <c r="AT3" i="6"/>
  <c r="BC19" i="7"/>
  <c r="AY43" i="7"/>
  <c r="BD220" i="8"/>
  <c r="BD223" i="7"/>
  <c r="BG10" i="8"/>
  <c r="BG27" i="8"/>
  <c r="BC224" i="7" s="1"/>
  <c r="BF11" i="8"/>
  <c r="BF19" i="8"/>
  <c r="BC232" i="7"/>
  <c r="AT52" i="3"/>
  <c r="AU45" i="3"/>
  <c r="AU42" i="3"/>
  <c r="AU43" i="3"/>
  <c r="AU75" i="6" s="1"/>
  <c r="AT39" i="3"/>
  <c r="AT71" i="6" s="1"/>
  <c r="BB91" i="7"/>
  <c r="AU51" i="3"/>
  <c r="AU83" i="6" s="1"/>
  <c r="AU46" i="3"/>
  <c r="AU78" i="6" s="1"/>
  <c r="AT41" i="3"/>
  <c r="AT47" i="3"/>
  <c r="AU38" i="3"/>
  <c r="AT40" i="3"/>
  <c r="AU50" i="3"/>
  <c r="AU82" i="6" s="1"/>
  <c r="AU48" i="3"/>
  <c r="AU80" i="6" s="1"/>
  <c r="AT49" i="3"/>
  <c r="AT81" i="6" s="1"/>
  <c r="BB101" i="7"/>
  <c r="BA170" i="8"/>
  <c r="BB155" i="8"/>
  <c r="BA208" i="8"/>
  <c r="BD209" i="8"/>
  <c r="BE106" i="8"/>
  <c r="BF124" i="8"/>
  <c r="BB11" i="7" s="1"/>
  <c r="BG21" i="8"/>
  <c r="BD234" i="7"/>
  <c r="BG61" i="8"/>
  <c r="BE99" i="8"/>
  <c r="BD218" i="8"/>
  <c r="BE72" i="8"/>
  <c r="BF58" i="8"/>
  <c r="BJ302" i="8"/>
  <c r="BG18" i="8"/>
  <c r="BD231" i="7"/>
  <c r="BD212" i="8"/>
  <c r="BD219" i="8"/>
  <c r="BF122" i="8"/>
  <c r="BB9" i="7" s="1"/>
  <c r="BE104" i="8"/>
  <c r="BF125" i="8"/>
  <c r="BB12" i="7" s="1"/>
  <c r="BE107" i="8"/>
  <c r="BC229" i="7"/>
  <c r="BF16" i="8"/>
  <c r="BF13" i="8"/>
  <c r="BC226" i="7"/>
  <c r="BH301" i="8"/>
  <c r="BE109" i="8"/>
  <c r="BF127" i="8"/>
  <c r="BB14" i="7" s="1"/>
  <c r="BD213" i="8"/>
  <c r="BD217" i="8"/>
  <c r="BF126" i="8"/>
  <c r="BB13" i="7" s="1"/>
  <c r="BE108" i="8"/>
  <c r="BD225" i="7"/>
  <c r="BG12" i="8"/>
  <c r="BD214" i="8"/>
  <c r="BC227" i="7"/>
  <c r="BF14" i="8"/>
  <c r="BF15" i="8"/>
  <c r="BC228" i="7"/>
  <c r="BE204" i="8"/>
  <c r="AS54" i="6"/>
  <c r="BE8" i="8"/>
  <c r="BE38" i="8"/>
  <c r="BD210" i="8"/>
  <c r="BD215" i="8"/>
  <c r="BD211" i="8"/>
  <c r="BD216" i="8"/>
  <c r="BF9" i="8"/>
  <c r="BC222" i="7"/>
  <c r="BB3" i="7"/>
  <c r="BE98" i="8"/>
  <c r="BF277" i="8"/>
  <c r="BF278" i="8"/>
  <c r="BG294" i="8"/>
  <c r="BG322" i="8" s="1"/>
  <c r="BF282" i="8"/>
  <c r="BF299" i="8" s="1"/>
  <c r="BF276" i="8"/>
  <c r="BF118" i="8"/>
  <c r="BB5" i="7" s="1"/>
  <c r="BE100" i="8"/>
  <c r="BE101" i="8"/>
  <c r="BB6" i="7"/>
  <c r="BF17" i="8"/>
  <c r="BC230" i="7"/>
  <c r="BF121" i="8"/>
  <c r="BB8" i="7" s="1"/>
  <c r="BE103" i="8"/>
  <c r="BF123" i="8"/>
  <c r="BE105" i="8"/>
  <c r="BG295" i="8"/>
  <c r="BG323" i="8" s="1"/>
  <c r="AY63" i="7" l="1"/>
  <c r="AP44" i="6"/>
  <c r="AY134" i="7" s="1"/>
  <c r="AY57" i="7"/>
  <c r="AY64" i="7"/>
  <c r="AY60" i="7"/>
  <c r="AY62" i="7"/>
  <c r="AY66" i="7"/>
  <c r="AV56" i="7"/>
  <c r="AX60" i="7"/>
  <c r="AY61" i="7"/>
  <c r="AY68" i="7"/>
  <c r="AY67" i="7"/>
  <c r="AY58" i="7"/>
  <c r="BB10" i="7"/>
  <c r="AS10" i="6"/>
  <c r="BC26" i="7" s="1"/>
  <c r="BG24" i="8"/>
  <c r="BB221" i="7"/>
  <c r="BD233" i="7"/>
  <c r="BH20" i="8"/>
  <c r="AT64" i="6"/>
  <c r="AT55" i="6"/>
  <c r="AU56" i="6"/>
  <c r="AT58" i="6"/>
  <c r="AU68" i="6"/>
  <c r="AU65" i="6"/>
  <c r="AU67" i="6"/>
  <c r="AT62" i="6"/>
  <c r="AU60" i="6"/>
  <c r="AU61" i="6"/>
  <c r="AU66" i="6"/>
  <c r="AU57" i="6"/>
  <c r="AU59" i="6"/>
  <c r="BE82" i="8"/>
  <c r="BE83" i="8"/>
  <c r="BE85" i="8"/>
  <c r="BE84" i="8"/>
  <c r="BE93" i="8"/>
  <c r="BE89" i="8"/>
  <c r="BE94" i="8"/>
  <c r="BE92" i="8"/>
  <c r="BE87" i="8"/>
  <c r="BE88" i="8"/>
  <c r="BE90" i="8"/>
  <c r="BE91" i="8"/>
  <c r="BF46" i="8"/>
  <c r="BG44" i="8"/>
  <c r="BG50" i="8"/>
  <c r="BG48" i="8"/>
  <c r="BG45" i="8"/>
  <c r="BG47" i="8"/>
  <c r="BF53" i="8"/>
  <c r="BF49" i="8"/>
  <c r="BF42" i="8"/>
  <c r="BF54" i="8"/>
  <c r="BG52" i="8"/>
  <c r="BE212" i="8"/>
  <c r="BA44" i="7" s="1"/>
  <c r="BC25" i="7"/>
  <c r="BA253" i="7"/>
  <c r="AQ27" i="6"/>
  <c r="AZ47" i="7"/>
  <c r="AN20" i="6"/>
  <c r="AN37" i="6" s="1"/>
  <c r="AW127" i="7" s="1"/>
  <c r="AW40" i="7"/>
  <c r="BC28" i="7"/>
  <c r="BC24" i="7"/>
  <c r="AQ31" i="6"/>
  <c r="AQ48" i="6" s="1"/>
  <c r="AZ138" i="7" s="1"/>
  <c r="AZ51" i="7"/>
  <c r="BB4" i="7"/>
  <c r="BC20" i="7"/>
  <c r="AX90" i="7"/>
  <c r="AX74" i="7"/>
  <c r="AU3" i="6"/>
  <c r="BD19" i="7"/>
  <c r="AQ22" i="6"/>
  <c r="AQ39" i="6" s="1"/>
  <c r="AZ129" i="7" s="1"/>
  <c r="AZ42" i="7"/>
  <c r="BC29" i="7"/>
  <c r="BG158" i="8"/>
  <c r="BC93" i="7" s="1"/>
  <c r="BB77" i="7"/>
  <c r="BB80" i="7"/>
  <c r="BB96" i="7"/>
  <c r="BA15" i="7"/>
  <c r="BF128" i="8"/>
  <c r="BB82" i="7"/>
  <c r="BB98" i="7"/>
  <c r="BH236" i="8"/>
  <c r="BC235" i="7"/>
  <c r="AQ24" i="6"/>
  <c r="AQ41" i="6" s="1"/>
  <c r="AZ131" i="7" s="1"/>
  <c r="AZ44" i="7"/>
  <c r="AQ21" i="6"/>
  <c r="AQ38" i="6" s="1"/>
  <c r="AZ128" i="7" s="1"/>
  <c r="AZ41" i="7"/>
  <c r="BC85" i="7"/>
  <c r="BH55" i="8"/>
  <c r="BB83" i="7"/>
  <c r="BA7" i="7"/>
  <c r="BB23" i="7"/>
  <c r="BF120" i="8"/>
  <c r="BF102" i="8" s="1"/>
  <c r="BG51" i="8"/>
  <c r="AQ28" i="6"/>
  <c r="AQ45" i="6" s="1"/>
  <c r="AZ135" i="7" s="1"/>
  <c r="AZ48" i="7"/>
  <c r="AQ32" i="6"/>
  <c r="AQ49" i="6" s="1"/>
  <c r="AZ139" i="7" s="1"/>
  <c r="AZ52" i="7"/>
  <c r="BC75" i="7"/>
  <c r="BB84" i="7"/>
  <c r="BB100" i="7"/>
  <c r="BC92" i="7"/>
  <c r="BB76" i="7"/>
  <c r="BB86" i="7"/>
  <c r="BB102" i="7"/>
  <c r="AQ25" i="6"/>
  <c r="AQ42" i="6" s="1"/>
  <c r="AZ132" i="7" s="1"/>
  <c r="AZ45" i="7"/>
  <c r="AQ26" i="6"/>
  <c r="AQ43" i="6" s="1"/>
  <c r="AZ133" i="7" s="1"/>
  <c r="AZ46" i="7"/>
  <c r="BB88" i="7"/>
  <c r="AZ49" i="7"/>
  <c r="BB93" i="7"/>
  <c r="BB78" i="7"/>
  <c r="BB94" i="7"/>
  <c r="BG43" i="8"/>
  <c r="AQ30" i="6"/>
  <c r="AQ47" i="6" s="1"/>
  <c r="AZ137" i="7" s="1"/>
  <c r="AZ50" i="7"/>
  <c r="BB81" i="7"/>
  <c r="BC87" i="7"/>
  <c r="BE22" i="7"/>
  <c r="BB79" i="7"/>
  <c r="BB95" i="7"/>
  <c r="AZ43" i="7"/>
  <c r="BE220" i="8"/>
  <c r="BF110" i="8"/>
  <c r="BG19" i="8"/>
  <c r="BD232" i="7"/>
  <c r="BG11" i="8"/>
  <c r="BH27" i="8"/>
  <c r="BD224" i="7" s="1"/>
  <c r="BH10" i="8"/>
  <c r="BE223" i="7"/>
  <c r="AU41" i="3"/>
  <c r="AV43" i="3"/>
  <c r="AV75" i="6" s="1"/>
  <c r="AU40" i="3"/>
  <c r="AV42" i="3"/>
  <c r="AU49" i="3"/>
  <c r="AU81" i="6" s="1"/>
  <c r="BC101" i="7"/>
  <c r="AV38" i="3"/>
  <c r="AV51" i="3"/>
  <c r="AV83" i="6" s="1"/>
  <c r="BD103" i="7"/>
  <c r="AV45" i="3"/>
  <c r="AV50" i="3"/>
  <c r="AV82" i="6" s="1"/>
  <c r="AV46" i="3"/>
  <c r="AV78" i="6" s="1"/>
  <c r="AV48" i="3"/>
  <c r="AV80" i="6" s="1"/>
  <c r="AU47" i="3"/>
  <c r="BC99" i="7"/>
  <c r="AU39" i="3"/>
  <c r="AU71" i="6" s="1"/>
  <c r="BC91" i="7"/>
  <c r="AU52" i="3"/>
  <c r="BG16" i="8"/>
  <c r="BD229" i="7"/>
  <c r="BF72" i="8"/>
  <c r="BG58" i="8"/>
  <c r="BE213" i="8"/>
  <c r="BE210" i="8"/>
  <c r="BC3" i="7"/>
  <c r="BF98" i="8"/>
  <c r="BF8" i="8"/>
  <c r="BF38" i="8"/>
  <c r="BE218" i="8"/>
  <c r="BF109" i="8"/>
  <c r="BG127" i="8"/>
  <c r="BC14" i="7" s="1"/>
  <c r="BE216" i="8"/>
  <c r="BE219" i="8"/>
  <c r="BK302" i="8"/>
  <c r="BH295" i="8"/>
  <c r="BH323" i="8" s="1"/>
  <c r="BF106" i="8"/>
  <c r="BG124" i="8"/>
  <c r="BC11" i="7" s="1"/>
  <c r="BG118" i="8"/>
  <c r="BC5" i="7" s="1"/>
  <c r="BF100" i="8"/>
  <c r="BF204" i="8"/>
  <c r="AT54" i="6"/>
  <c r="BE217" i="8"/>
  <c r="BC155" i="8"/>
  <c r="BB170" i="8"/>
  <c r="BB208" i="8"/>
  <c r="BF105" i="8"/>
  <c r="BG123" i="8"/>
  <c r="BG121" i="8"/>
  <c r="BC8" i="7" s="1"/>
  <c r="BF103" i="8"/>
  <c r="BI301" i="8"/>
  <c r="BG125" i="8"/>
  <c r="BC12" i="7" s="1"/>
  <c r="BF107" i="8"/>
  <c r="BE209" i="8"/>
  <c r="BH61" i="8"/>
  <c r="BE215" i="8"/>
  <c r="BE225" i="7"/>
  <c r="BH12" i="8"/>
  <c r="BD222" i="7"/>
  <c r="BG9" i="8"/>
  <c r="BG126" i="8"/>
  <c r="BC13" i="7" s="1"/>
  <c r="BF108" i="8"/>
  <c r="BD230" i="7"/>
  <c r="BG17" i="8"/>
  <c r="BC6" i="7"/>
  <c r="BF101" i="8"/>
  <c r="BG277" i="8"/>
  <c r="BG282" i="8"/>
  <c r="BG299" i="8" s="1"/>
  <c r="BH294" i="8"/>
  <c r="BH322" i="8" s="1"/>
  <c r="BG278" i="8"/>
  <c r="BG276" i="8"/>
  <c r="BG13" i="8"/>
  <c r="BD226" i="7"/>
  <c r="BE214" i="8"/>
  <c r="BH18" i="8"/>
  <c r="BE231" i="7"/>
  <c r="BF99" i="8"/>
  <c r="BD228" i="7"/>
  <c r="BG15" i="8"/>
  <c r="BD227" i="7"/>
  <c r="BG14" i="8"/>
  <c r="BE211" i="8"/>
  <c r="BG122" i="8"/>
  <c r="BC9" i="7" s="1"/>
  <c r="BF104" i="8"/>
  <c r="BH21" i="8"/>
  <c r="BE234" i="7"/>
  <c r="AZ63" i="7" l="1"/>
  <c r="AQ44" i="6"/>
  <c r="AZ134" i="7" s="1"/>
  <c r="AZ68" i="7"/>
  <c r="AZ64" i="7"/>
  <c r="AZ58" i="7"/>
  <c r="AZ67" i="7"/>
  <c r="AZ57" i="7"/>
  <c r="AZ62" i="7"/>
  <c r="AZ60" i="7"/>
  <c r="AZ66" i="7"/>
  <c r="AZ61" i="7"/>
  <c r="AW56" i="7"/>
  <c r="BC10" i="7"/>
  <c r="AT10" i="6"/>
  <c r="BD26" i="7" s="1"/>
  <c r="BE233" i="7"/>
  <c r="BI20" i="8"/>
  <c r="BH24" i="8"/>
  <c r="BC221" i="7"/>
  <c r="AV66" i="6"/>
  <c r="AV67" i="6"/>
  <c r="AU58" i="6"/>
  <c r="AV61" i="6"/>
  <c r="AV65" i="6"/>
  <c r="AV56" i="6"/>
  <c r="AV59" i="6"/>
  <c r="AV60" i="6"/>
  <c r="AV68" i="6"/>
  <c r="AU55" i="6"/>
  <c r="AV57" i="6"/>
  <c r="AU62" i="6"/>
  <c r="AU64" i="6"/>
  <c r="BF82" i="8"/>
  <c r="BF83" i="8"/>
  <c r="BF85" i="8"/>
  <c r="BF84" i="8"/>
  <c r="BF89" i="8"/>
  <c r="BF88" i="8"/>
  <c r="BF91" i="8"/>
  <c r="BF90" i="8"/>
  <c r="BF94" i="8"/>
  <c r="BF92" i="8"/>
  <c r="BF86" i="8"/>
  <c r="BF87" i="8"/>
  <c r="BF93" i="8"/>
  <c r="BC104" i="7"/>
  <c r="AR24" i="6"/>
  <c r="AR41" i="6" s="1"/>
  <c r="BA131" i="7" s="1"/>
  <c r="BH44" i="8"/>
  <c r="BH48" i="8"/>
  <c r="BH50" i="8"/>
  <c r="BG42" i="8"/>
  <c r="BG53" i="8"/>
  <c r="BH45" i="8"/>
  <c r="BG49" i="8"/>
  <c r="BH47" i="8"/>
  <c r="BG46" i="8"/>
  <c r="BG54" i="8"/>
  <c r="BH52" i="8"/>
  <c r="BB253" i="7"/>
  <c r="AR31" i="6"/>
  <c r="AR48" i="6" s="1"/>
  <c r="BA138" i="7" s="1"/>
  <c r="BA51" i="7"/>
  <c r="AR25" i="6"/>
  <c r="AR42" i="6" s="1"/>
  <c r="BA132" i="7" s="1"/>
  <c r="BA45" i="7"/>
  <c r="BD92" i="7"/>
  <c r="BC76" i="7"/>
  <c r="BC82" i="7"/>
  <c r="BC98" i="7"/>
  <c r="BD28" i="7"/>
  <c r="AR27" i="6"/>
  <c r="BA47" i="7"/>
  <c r="AY90" i="7"/>
  <c r="AY74" i="7"/>
  <c r="BF22" i="7"/>
  <c r="BH43" i="8"/>
  <c r="BC80" i="7"/>
  <c r="BC96" i="7"/>
  <c r="BD24" i="7"/>
  <c r="BE103" i="7"/>
  <c r="BD87" i="7"/>
  <c r="BD85" i="7"/>
  <c r="AR32" i="6"/>
  <c r="AR49" i="6" s="1"/>
  <c r="BA139" i="7" s="1"/>
  <c r="BA52" i="7"/>
  <c r="BD25" i="7"/>
  <c r="BC81" i="7"/>
  <c r="BH51" i="8"/>
  <c r="BD99" i="7"/>
  <c r="BC83" i="7"/>
  <c r="AR21" i="6"/>
  <c r="AR38" i="6" s="1"/>
  <c r="BA128" i="7" s="1"/>
  <c r="BA41" i="7"/>
  <c r="BA49" i="7"/>
  <c r="AR30" i="6"/>
  <c r="AR47" i="6" s="1"/>
  <c r="BA137" i="7" s="1"/>
  <c r="BA50" i="7"/>
  <c r="BC84" i="7"/>
  <c r="BC100" i="7"/>
  <c r="BI236" i="8"/>
  <c r="BD235" i="7"/>
  <c r="BC4" i="7"/>
  <c r="BD20" i="7"/>
  <c r="AR22" i="6"/>
  <c r="AR39" i="6" s="1"/>
  <c r="BA129" i="7" s="1"/>
  <c r="BA42" i="7"/>
  <c r="BD29" i="7"/>
  <c r="BC78" i="7"/>
  <c r="BC94" i="7"/>
  <c r="BC86" i="7"/>
  <c r="BC102" i="7"/>
  <c r="BB7" i="7"/>
  <c r="BC23" i="7"/>
  <c r="BG120" i="8"/>
  <c r="BG102" i="8" s="1"/>
  <c r="BI55" i="8"/>
  <c r="BB15" i="7"/>
  <c r="BG128" i="8"/>
  <c r="BG110" i="8" s="1"/>
  <c r="BH158" i="8"/>
  <c r="BD93" i="7" s="1"/>
  <c r="BC77" i="7"/>
  <c r="AR26" i="6"/>
  <c r="AR43" i="6" s="1"/>
  <c r="BA133" i="7" s="1"/>
  <c r="BA46" i="7"/>
  <c r="AO20" i="6"/>
  <c r="AO37" i="6" s="1"/>
  <c r="AX127" i="7" s="1"/>
  <c r="AX40" i="7"/>
  <c r="AR28" i="6"/>
  <c r="AR45" i="6" s="1"/>
  <c r="BA135" i="7" s="1"/>
  <c r="BA48" i="7"/>
  <c r="BC79" i="7"/>
  <c r="BC95" i="7"/>
  <c r="BC88" i="7"/>
  <c r="BD75" i="7"/>
  <c r="AV3" i="6"/>
  <c r="BE19" i="7"/>
  <c r="BA43" i="7"/>
  <c r="BF220" i="8"/>
  <c r="BF223" i="7"/>
  <c r="BI10" i="8"/>
  <c r="BI27" i="8"/>
  <c r="BE224" i="7" s="1"/>
  <c r="BH11" i="8"/>
  <c r="BH19" i="8"/>
  <c r="BE232" i="7"/>
  <c r="AV47" i="3"/>
  <c r="AW45" i="3"/>
  <c r="AW42" i="3"/>
  <c r="AW48" i="3"/>
  <c r="AW80" i="6" s="1"/>
  <c r="AW51" i="3"/>
  <c r="AW83" i="6" s="1"/>
  <c r="AV40" i="3"/>
  <c r="AV52" i="3"/>
  <c r="AW46" i="3"/>
  <c r="AW78" i="6" s="1"/>
  <c r="AW38" i="3"/>
  <c r="AW43" i="3"/>
  <c r="AW75" i="6" s="1"/>
  <c r="AV39" i="3"/>
  <c r="AV71" i="6" s="1"/>
  <c r="BD91" i="7"/>
  <c r="AW50" i="3"/>
  <c r="AW82" i="6" s="1"/>
  <c r="AV49" i="3"/>
  <c r="AV81" i="6" s="1"/>
  <c r="BD101" i="7"/>
  <c r="AV41" i="3"/>
  <c r="BF218" i="8"/>
  <c r="BH123" i="8"/>
  <c r="BG105" i="8"/>
  <c r="BG38" i="8"/>
  <c r="BG8" i="8"/>
  <c r="BH126" i="8"/>
  <c r="BD13" i="7" s="1"/>
  <c r="BG108" i="8"/>
  <c r="BG107" i="8"/>
  <c r="BH125" i="8"/>
  <c r="BD12" i="7" s="1"/>
  <c r="BF215" i="8"/>
  <c r="BH46" i="8"/>
  <c r="BF217" i="8"/>
  <c r="BF214" i="8"/>
  <c r="BF211" i="8"/>
  <c r="BJ301" i="8"/>
  <c r="BI295" i="8"/>
  <c r="BI323" i="8" s="1"/>
  <c r="BH127" i="8"/>
  <c r="BD14" i="7" s="1"/>
  <c r="BG109" i="8"/>
  <c r="BH58" i="8"/>
  <c r="BG72" i="8"/>
  <c r="BI18" i="8"/>
  <c r="BF231" i="7"/>
  <c r="BG104" i="8"/>
  <c r="BH122" i="8"/>
  <c r="BD9" i="7" s="1"/>
  <c r="AU54" i="6"/>
  <c r="BG204" i="8"/>
  <c r="BL302" i="8"/>
  <c r="BF219" i="8"/>
  <c r="BH13" i="8"/>
  <c r="BE226" i="7"/>
  <c r="BD155" i="8"/>
  <c r="BC170" i="8"/>
  <c r="BC208" i="8"/>
  <c r="BD3" i="7"/>
  <c r="BG98" i="8"/>
  <c r="BH16" i="8"/>
  <c r="BE229" i="7"/>
  <c r="BF216" i="8"/>
  <c r="BF210" i="8"/>
  <c r="BE222" i="7"/>
  <c r="BH9" i="8"/>
  <c r="BF212" i="8"/>
  <c r="BH14" i="8"/>
  <c r="BE227" i="7"/>
  <c r="BF213" i="8"/>
  <c r="BH118" i="8"/>
  <c r="BD5" i="7" s="1"/>
  <c r="BG100" i="8"/>
  <c r="BH15" i="8"/>
  <c r="BE228" i="7"/>
  <c r="BG101" i="8"/>
  <c r="BD6" i="7"/>
  <c r="BI61" i="8"/>
  <c r="BF234" i="7"/>
  <c r="BI21" i="8"/>
  <c r="BF209" i="8"/>
  <c r="BG99" i="8"/>
  <c r="BH282" i="8"/>
  <c r="BH299" i="8" s="1"/>
  <c r="BH278" i="8"/>
  <c r="BH277" i="8"/>
  <c r="BH276" i="8"/>
  <c r="BI294" i="8"/>
  <c r="BI322" i="8" s="1"/>
  <c r="BE230" i="7"/>
  <c r="BH17" i="8"/>
  <c r="BI12" i="8"/>
  <c r="BF225" i="7"/>
  <c r="BG103" i="8"/>
  <c r="BH121" i="8"/>
  <c r="BD8" i="7" s="1"/>
  <c r="BG106" i="8"/>
  <c r="BH124" i="8"/>
  <c r="BD11" i="7" s="1"/>
  <c r="BA63" i="7" l="1"/>
  <c r="AR44" i="6"/>
  <c r="BA134" i="7" s="1"/>
  <c r="AX56" i="7"/>
  <c r="BA66" i="7"/>
  <c r="BA62" i="7"/>
  <c r="BA68" i="7"/>
  <c r="BA57" i="7"/>
  <c r="BA58" i="7"/>
  <c r="BA67" i="7"/>
  <c r="BA64" i="7"/>
  <c r="BA60" i="7"/>
  <c r="BA61" i="7"/>
  <c r="BD10" i="7"/>
  <c r="AU10" i="6"/>
  <c r="BI24" i="8"/>
  <c r="BD221" i="7"/>
  <c r="BF233" i="7"/>
  <c r="BJ20" i="8"/>
  <c r="AV62" i="6"/>
  <c r="AW60" i="6"/>
  <c r="AW61" i="6"/>
  <c r="AW57" i="6"/>
  <c r="AW59" i="6"/>
  <c r="AV58" i="6"/>
  <c r="AV64" i="6"/>
  <c r="AV55" i="6"/>
  <c r="AW56" i="6"/>
  <c r="AW67" i="6"/>
  <c r="AW68" i="6"/>
  <c r="AW65" i="6"/>
  <c r="AW66" i="6"/>
  <c r="BG83" i="8"/>
  <c r="BG82" i="8"/>
  <c r="BG85" i="8"/>
  <c r="BG84" i="8"/>
  <c r="BG87" i="8"/>
  <c r="BG91" i="8"/>
  <c r="BG94" i="8"/>
  <c r="BG93" i="8"/>
  <c r="BG88" i="8"/>
  <c r="BG90" i="8"/>
  <c r="BG86" i="8"/>
  <c r="BG92" i="8"/>
  <c r="BG89" i="8"/>
  <c r="BH49" i="8"/>
  <c r="BI50" i="8"/>
  <c r="BH42" i="8"/>
  <c r="BI45" i="8"/>
  <c r="BH53" i="8"/>
  <c r="BI47" i="8"/>
  <c r="BI44" i="8"/>
  <c r="BI48" i="8"/>
  <c r="BH54" i="8"/>
  <c r="BI52" i="8"/>
  <c r="BC253" i="7"/>
  <c r="BE29" i="7"/>
  <c r="AS22" i="6"/>
  <c r="AS39" i="6" s="1"/>
  <c r="BB129" i="7" s="1"/>
  <c r="BB42" i="7"/>
  <c r="AP20" i="6"/>
  <c r="AP37" i="6" s="1"/>
  <c r="AY127" i="7" s="1"/>
  <c r="AY40" i="7"/>
  <c r="BC15" i="7"/>
  <c r="BH128" i="8"/>
  <c r="BH110" i="8" s="1"/>
  <c r="BD80" i="7"/>
  <c r="BD96" i="7"/>
  <c r="AS30" i="6"/>
  <c r="AS47" i="6" s="1"/>
  <c r="BB137" i="7" s="1"/>
  <c r="BB50" i="7"/>
  <c r="AS32" i="6"/>
  <c r="AS49" i="6" s="1"/>
  <c r="BB139" i="7" s="1"/>
  <c r="BB52" i="7"/>
  <c r="BE99" i="7"/>
  <c r="BD83" i="7"/>
  <c r="BD81" i="7"/>
  <c r="BE92" i="7"/>
  <c r="BD76" i="7"/>
  <c r="AS31" i="6"/>
  <c r="AS48" i="6" s="1"/>
  <c r="BB138" i="7" s="1"/>
  <c r="BB51" i="7"/>
  <c r="AS27" i="6"/>
  <c r="BB47" i="7"/>
  <c r="BJ55" i="8"/>
  <c r="BJ236" i="8"/>
  <c r="BE235" i="7"/>
  <c r="BE85" i="7"/>
  <c r="BF103" i="7"/>
  <c r="BE87" i="7"/>
  <c r="BE28" i="7"/>
  <c r="AW3" i="6"/>
  <c r="BF19" i="7"/>
  <c r="BD88" i="7"/>
  <c r="BI51" i="8"/>
  <c r="AS25" i="6"/>
  <c r="AS42" i="6" s="1"/>
  <c r="BB132" i="7" s="1"/>
  <c r="BB45" i="7"/>
  <c r="AS24" i="6"/>
  <c r="AS41" i="6" s="1"/>
  <c r="BB131" i="7" s="1"/>
  <c r="BB44" i="7"/>
  <c r="AS26" i="6"/>
  <c r="AS43" i="6" s="1"/>
  <c r="BB133" i="7" s="1"/>
  <c r="BB46" i="7"/>
  <c r="BD86" i="7"/>
  <c r="BD102" i="7"/>
  <c r="BE26" i="7"/>
  <c r="AZ90" i="7"/>
  <c r="AZ74" i="7"/>
  <c r="BC7" i="7"/>
  <c r="BD23" i="7"/>
  <c r="BH120" i="8"/>
  <c r="BE24" i="7"/>
  <c r="AS21" i="6"/>
  <c r="AS38" i="6" s="1"/>
  <c r="BB128" i="7" s="1"/>
  <c r="BB41" i="7"/>
  <c r="AS28" i="6"/>
  <c r="AS45" i="6" s="1"/>
  <c r="BB135" i="7" s="1"/>
  <c r="BB48" i="7"/>
  <c r="BB49" i="7"/>
  <c r="BD79" i="7"/>
  <c r="BD95" i="7"/>
  <c r="BI158" i="8"/>
  <c r="BE93" i="7" s="1"/>
  <c r="BD77" i="7"/>
  <c r="BI43" i="8"/>
  <c r="BD4" i="7"/>
  <c r="BE20" i="7"/>
  <c r="BD104" i="7"/>
  <c r="BE25" i="7"/>
  <c r="BE75" i="7"/>
  <c r="BD78" i="7"/>
  <c r="BD94" i="7"/>
  <c r="BD84" i="7"/>
  <c r="BD100" i="7"/>
  <c r="BG22" i="7"/>
  <c r="BD82" i="7"/>
  <c r="BD98" i="7"/>
  <c r="BB43" i="7"/>
  <c r="BG220" i="8"/>
  <c r="BF232" i="7"/>
  <c r="BI19" i="8"/>
  <c r="BI11" i="8"/>
  <c r="BJ27" i="8"/>
  <c r="BF224" i="7" s="1"/>
  <c r="BJ10" i="8"/>
  <c r="BG223" i="7"/>
  <c r="AX45" i="3"/>
  <c r="AX50" i="3"/>
  <c r="AX82" i="6" s="1"/>
  <c r="AX48" i="3"/>
  <c r="AX80" i="6" s="1"/>
  <c r="AW39" i="3"/>
  <c r="AW71" i="6" s="1"/>
  <c r="BE91" i="7"/>
  <c r="AW52" i="3"/>
  <c r="AX42" i="3"/>
  <c r="AX43" i="3"/>
  <c r="AX75" i="6" s="1"/>
  <c r="AX46" i="3"/>
  <c r="AX78" i="6" s="1"/>
  <c r="AW41" i="3"/>
  <c r="AW40" i="3"/>
  <c r="AW49" i="3"/>
  <c r="AW81" i="6" s="1"/>
  <c r="BE101" i="7"/>
  <c r="AX38" i="3"/>
  <c r="AX51" i="3"/>
  <c r="AX83" i="6" s="1"/>
  <c r="AW47" i="3"/>
  <c r="BG212" i="8"/>
  <c r="BF222" i="7"/>
  <c r="BI9" i="8"/>
  <c r="BI13" i="8"/>
  <c r="BF226" i="7"/>
  <c r="BJ295" i="8"/>
  <c r="BJ323" i="8" s="1"/>
  <c r="BH107" i="8"/>
  <c r="BI125" i="8"/>
  <c r="BE12" i="7" s="1"/>
  <c r="BJ61" i="8"/>
  <c r="BG210" i="8"/>
  <c r="BH204" i="8"/>
  <c r="AV54" i="6"/>
  <c r="BG217" i="8"/>
  <c r="BH38" i="8"/>
  <c r="BH8" i="8"/>
  <c r="BI122" i="8"/>
  <c r="BE9" i="7" s="1"/>
  <c r="BH104" i="8"/>
  <c r="BI58" i="8"/>
  <c r="BH72" i="8"/>
  <c r="BK301" i="8"/>
  <c r="BG218" i="8"/>
  <c r="BI14" i="8"/>
  <c r="BF227" i="7"/>
  <c r="BI16" i="8"/>
  <c r="BF229" i="7"/>
  <c r="BD170" i="8"/>
  <c r="BE155" i="8"/>
  <c r="BD208" i="8"/>
  <c r="BG214" i="8"/>
  <c r="BI126" i="8"/>
  <c r="BE13" i="7" s="1"/>
  <c r="BH108" i="8"/>
  <c r="BG215" i="8"/>
  <c r="BJ12" i="8"/>
  <c r="BG225" i="7"/>
  <c r="BJ21" i="8"/>
  <c r="BG234" i="7"/>
  <c r="BE6" i="7"/>
  <c r="BH101" i="8"/>
  <c r="BI118" i="8"/>
  <c r="BE5" i="7" s="1"/>
  <c r="BH100" i="8"/>
  <c r="BG211" i="8"/>
  <c r="BH106" i="8"/>
  <c r="BI124" i="8"/>
  <c r="BE11" i="7" s="1"/>
  <c r="BF228" i="7"/>
  <c r="BI15" i="8"/>
  <c r="BH105" i="8"/>
  <c r="BI123" i="8"/>
  <c r="BG216" i="8"/>
  <c r="BI17" i="8"/>
  <c r="BF230" i="7"/>
  <c r="BH99" i="8"/>
  <c r="BG219" i="8"/>
  <c r="BG213" i="8"/>
  <c r="BH103" i="8"/>
  <c r="BI121" i="8"/>
  <c r="BE8" i="7" s="1"/>
  <c r="BI282" i="8"/>
  <c r="BI299" i="8" s="1"/>
  <c r="BI278" i="8"/>
  <c r="BI277" i="8"/>
  <c r="BI276" i="8"/>
  <c r="BG209" i="8"/>
  <c r="BE3" i="7"/>
  <c r="BH98" i="8"/>
  <c r="BM302" i="8"/>
  <c r="BG231" i="7"/>
  <c r="BJ18" i="8"/>
  <c r="BI127" i="8"/>
  <c r="BE14" i="7" s="1"/>
  <c r="BH109" i="8"/>
  <c r="BB63" i="7" l="1"/>
  <c r="AS44" i="6"/>
  <c r="BB134" i="7" s="1"/>
  <c r="BB68" i="7"/>
  <c r="BB66" i="7"/>
  <c r="BB60" i="7"/>
  <c r="BB67" i="7"/>
  <c r="BB58" i="7"/>
  <c r="BB57" i="7"/>
  <c r="AY56" i="7"/>
  <c r="BB64" i="7"/>
  <c r="BB61" i="7"/>
  <c r="BB62" i="7"/>
  <c r="BE10" i="7"/>
  <c r="AV10" i="6"/>
  <c r="BF26" i="7" s="1"/>
  <c r="BG233" i="7"/>
  <c r="BK20" i="8"/>
  <c r="BJ24" i="8"/>
  <c r="BE221" i="7"/>
  <c r="AX68" i="6"/>
  <c r="AW55" i="6"/>
  <c r="AX57" i="6"/>
  <c r="AW64" i="6"/>
  <c r="AX61" i="6"/>
  <c r="AX66" i="6"/>
  <c r="AX67" i="6"/>
  <c r="AW58" i="6"/>
  <c r="AX60" i="6"/>
  <c r="AX65" i="6"/>
  <c r="AX56" i="6"/>
  <c r="AX59" i="6"/>
  <c r="AW62" i="6"/>
  <c r="BH84" i="8"/>
  <c r="BH83" i="8"/>
  <c r="BH85" i="8"/>
  <c r="BH82" i="8"/>
  <c r="BH88" i="8"/>
  <c r="BH89" i="8"/>
  <c r="BH92" i="8"/>
  <c r="BH94" i="8"/>
  <c r="BH91" i="8"/>
  <c r="BH87" i="8"/>
  <c r="BH90" i="8"/>
  <c r="BH93" i="8"/>
  <c r="BJ44" i="8"/>
  <c r="BJ48" i="8"/>
  <c r="BI42" i="8"/>
  <c r="BJ45" i="8"/>
  <c r="BI46" i="8"/>
  <c r="BJ47" i="8"/>
  <c r="BI49" i="8"/>
  <c r="BI53" i="8"/>
  <c r="BJ50" i="8"/>
  <c r="BI54" i="8"/>
  <c r="BJ52" i="8"/>
  <c r="BF28" i="7"/>
  <c r="BF29" i="7"/>
  <c r="BD253" i="7"/>
  <c r="BF92" i="7"/>
  <c r="BE76" i="7"/>
  <c r="BE80" i="7"/>
  <c r="BE96" i="7"/>
  <c r="BF104" i="7"/>
  <c r="BE88" i="7"/>
  <c r="AT25" i="6"/>
  <c r="AT42" i="6" s="1"/>
  <c r="BC132" i="7" s="1"/>
  <c r="BC45" i="7"/>
  <c r="BF85" i="7"/>
  <c r="AQ20" i="6"/>
  <c r="AQ37" i="6" s="1"/>
  <c r="AZ127" i="7" s="1"/>
  <c r="AZ40" i="7"/>
  <c r="BE4" i="7"/>
  <c r="BF20" i="7"/>
  <c r="BE79" i="7"/>
  <c r="BE95" i="7"/>
  <c r="BA90" i="7"/>
  <c r="BA74" i="7"/>
  <c r="AT22" i="6"/>
  <c r="AT39" i="6" s="1"/>
  <c r="BC129" i="7" s="1"/>
  <c r="BC42" i="7"/>
  <c r="BE104" i="7"/>
  <c r="BF24" i="7"/>
  <c r="BD7" i="7"/>
  <c r="BE23" i="7"/>
  <c r="BI120" i="8"/>
  <c r="BI102" i="8" s="1"/>
  <c r="AX3" i="6"/>
  <c r="BG19" i="7"/>
  <c r="BK236" i="8"/>
  <c r="BF235" i="7"/>
  <c r="BE81" i="7"/>
  <c r="BH102" i="8"/>
  <c r="AT31" i="6"/>
  <c r="AT48" i="6" s="1"/>
  <c r="BC138" i="7" s="1"/>
  <c r="BC51" i="7"/>
  <c r="BE82" i="7"/>
  <c r="BE98" i="7"/>
  <c r="BE84" i="7"/>
  <c r="BE100" i="7"/>
  <c r="BJ51" i="8"/>
  <c r="AT24" i="6"/>
  <c r="AT41" i="6" s="1"/>
  <c r="BC131" i="7" s="1"/>
  <c r="BC44" i="7"/>
  <c r="AT32" i="6"/>
  <c r="AT49" i="6" s="1"/>
  <c r="BC139" i="7" s="1"/>
  <c r="BC52" i="7"/>
  <c r="AT28" i="6"/>
  <c r="AT45" i="6" s="1"/>
  <c r="BC135" i="7" s="1"/>
  <c r="BC48" i="7"/>
  <c r="AT27" i="6"/>
  <c r="BC47" i="7"/>
  <c r="BF99" i="7"/>
  <c r="BE83" i="7"/>
  <c r="BF75" i="7"/>
  <c r="AT30" i="6"/>
  <c r="AT47" i="6" s="1"/>
  <c r="BC137" i="7" s="1"/>
  <c r="BC50" i="7"/>
  <c r="BH22" i="7"/>
  <c r="BJ158" i="8"/>
  <c r="BF93" i="7" s="1"/>
  <c r="BE77" i="7"/>
  <c r="BE86" i="7"/>
  <c r="BE102" i="7"/>
  <c r="BK55" i="8"/>
  <c r="BD15" i="7"/>
  <c r="BI128" i="8"/>
  <c r="BI110" i="8" s="1"/>
  <c r="AT26" i="6"/>
  <c r="AT43" i="6" s="1"/>
  <c r="BC133" i="7" s="1"/>
  <c r="BC46" i="7"/>
  <c r="AT21" i="6"/>
  <c r="AT38" i="6" s="1"/>
  <c r="BC128" i="7" s="1"/>
  <c r="BC41" i="7"/>
  <c r="BC49" i="7"/>
  <c r="BF25" i="7"/>
  <c r="BE78" i="7"/>
  <c r="BE94" i="7"/>
  <c r="BJ43" i="8"/>
  <c r="BG103" i="7"/>
  <c r="BF87" i="7"/>
  <c r="BC43" i="7"/>
  <c r="BH220" i="8"/>
  <c r="BH223" i="7"/>
  <c r="BK10" i="8"/>
  <c r="BJ11" i="8"/>
  <c r="BK27" i="8"/>
  <c r="BG224" i="7" s="1"/>
  <c r="BJ19" i="8"/>
  <c r="BG232" i="7"/>
  <c r="AY46" i="3"/>
  <c r="AY78" i="6" s="1"/>
  <c r="AY48" i="3"/>
  <c r="AY80" i="6" s="1"/>
  <c r="AY38" i="3"/>
  <c r="AX49" i="3"/>
  <c r="AX81" i="6" s="1"/>
  <c r="BF101" i="7"/>
  <c r="AX47" i="3"/>
  <c r="AX40" i="3"/>
  <c r="AY42" i="3"/>
  <c r="AY50" i="3"/>
  <c r="AY82" i="6" s="1"/>
  <c r="AX39" i="3"/>
  <c r="AX71" i="6" s="1"/>
  <c r="BF91" i="7"/>
  <c r="AY43" i="3"/>
  <c r="AY75" i="6" s="1"/>
  <c r="AY51" i="3"/>
  <c r="AY83" i="6" s="1"/>
  <c r="AX41" i="3"/>
  <c r="AX52" i="3"/>
  <c r="AY45" i="3"/>
  <c r="BI204" i="8"/>
  <c r="AW54" i="6"/>
  <c r="BJ17" i="8"/>
  <c r="BG230" i="7"/>
  <c r="BJ15" i="8"/>
  <c r="BG228" i="7"/>
  <c r="BI100" i="8"/>
  <c r="BJ118" i="8"/>
  <c r="BF5" i="7" s="1"/>
  <c r="BG229" i="7"/>
  <c r="BJ16" i="8"/>
  <c r="BI107" i="8"/>
  <c r="BJ125" i="8"/>
  <c r="BF12" i="7" s="1"/>
  <c r="BE170" i="8"/>
  <c r="BF155" i="8"/>
  <c r="BE208" i="8"/>
  <c r="BJ46" i="8"/>
  <c r="BH218" i="8"/>
  <c r="BH214" i="8"/>
  <c r="BH217" i="8"/>
  <c r="BG222" i="7"/>
  <c r="BJ9" i="8"/>
  <c r="BF6" i="7"/>
  <c r="BI101" i="8"/>
  <c r="BJ126" i="8"/>
  <c r="BF13" i="7" s="1"/>
  <c r="BI108" i="8"/>
  <c r="BJ14" i="8"/>
  <c r="BG227" i="7"/>
  <c r="BJ122" i="8"/>
  <c r="BF9" i="7" s="1"/>
  <c r="BI104" i="8"/>
  <c r="BI38" i="8"/>
  <c r="BI8" i="8"/>
  <c r="BH209" i="8"/>
  <c r="BI99" i="8"/>
  <c r="BJ58" i="8"/>
  <c r="BI72" i="8"/>
  <c r="BF3" i="7"/>
  <c r="BI98" i="8"/>
  <c r="BJ127" i="8"/>
  <c r="BF14" i="7" s="1"/>
  <c r="BI109" i="8"/>
  <c r="BJ124" i="8"/>
  <c r="BF11" i="7" s="1"/>
  <c r="BI106" i="8"/>
  <c r="BH234" i="7"/>
  <c r="BK21" i="8"/>
  <c r="BK295" i="8"/>
  <c r="BK323" i="8" s="1"/>
  <c r="BN302" i="8"/>
  <c r="BH210" i="8"/>
  <c r="BI103" i="8"/>
  <c r="BJ121" i="8"/>
  <c r="BF8" i="7" s="1"/>
  <c r="BJ123" i="8"/>
  <c r="BI105" i="8"/>
  <c r="BH211" i="8"/>
  <c r="BH219" i="8"/>
  <c r="BH215" i="8"/>
  <c r="BH216" i="8"/>
  <c r="BL301" i="8"/>
  <c r="BJ13" i="8"/>
  <c r="BG226" i="7"/>
  <c r="BH213" i="8"/>
  <c r="BJ278" i="8"/>
  <c r="BJ277" i="8"/>
  <c r="BJ276" i="8"/>
  <c r="BK294" i="8"/>
  <c r="BK322" i="8" s="1"/>
  <c r="BJ282" i="8"/>
  <c r="BH231" i="7"/>
  <c r="BK18" i="8"/>
  <c r="BK12" i="8"/>
  <c r="BH225" i="7"/>
  <c r="BJ294" i="8"/>
  <c r="BJ322" i="8" s="1"/>
  <c r="BK61" i="8"/>
  <c r="BC63" i="7" l="1"/>
  <c r="AT44" i="6"/>
  <c r="BC134" i="7" s="1"/>
  <c r="BC66" i="7"/>
  <c r="BC64" i="7"/>
  <c r="BC58" i="7"/>
  <c r="AZ56" i="7"/>
  <c r="BC62" i="7"/>
  <c r="BC68" i="7"/>
  <c r="BC67" i="7"/>
  <c r="BC61" i="7"/>
  <c r="BC60" i="7"/>
  <c r="BC57" i="7"/>
  <c r="BF10" i="7"/>
  <c r="AW10" i="6"/>
  <c r="BK24" i="8"/>
  <c r="BF221" i="7"/>
  <c r="BH233" i="7"/>
  <c r="BL20" i="8"/>
  <c r="AY56" i="6"/>
  <c r="AY67" i="6"/>
  <c r="AY65" i="6"/>
  <c r="AY66" i="6"/>
  <c r="AY57" i="6"/>
  <c r="AX62" i="6"/>
  <c r="AY60" i="6"/>
  <c r="AY61" i="6"/>
  <c r="AX55" i="6"/>
  <c r="AY59" i="6"/>
  <c r="AX58" i="6"/>
  <c r="AX64" i="6"/>
  <c r="AY68" i="6"/>
  <c r="BI85" i="8"/>
  <c r="BI82" i="8"/>
  <c r="BI84" i="8"/>
  <c r="BI83" i="8"/>
  <c r="BI94" i="8"/>
  <c r="BI90" i="8"/>
  <c r="BI86" i="8"/>
  <c r="BI93" i="8"/>
  <c r="BI92" i="8"/>
  <c r="BI87" i="8"/>
  <c r="BI91" i="8"/>
  <c r="BH86" i="8"/>
  <c r="BI89" i="8"/>
  <c r="BI88" i="8"/>
  <c r="BK50" i="8"/>
  <c r="BK45" i="8"/>
  <c r="BJ42" i="8"/>
  <c r="BK47" i="8"/>
  <c r="BJ53" i="8"/>
  <c r="BK48" i="8"/>
  <c r="BJ49" i="8"/>
  <c r="BK44" i="8"/>
  <c r="BJ54" i="8"/>
  <c r="BK52" i="8"/>
  <c r="BE253" i="7"/>
  <c r="BK43" i="8"/>
  <c r="BF84" i="7"/>
  <c r="BF100" i="7"/>
  <c r="AU31" i="6"/>
  <c r="AU48" i="6" s="1"/>
  <c r="BD138" i="7" s="1"/>
  <c r="BD51" i="7"/>
  <c r="AU22" i="6"/>
  <c r="AU39" i="6" s="1"/>
  <c r="BD129" i="7" s="1"/>
  <c r="BD42" i="7"/>
  <c r="BE15" i="7"/>
  <c r="BJ128" i="8"/>
  <c r="BJ110" i="8" s="1"/>
  <c r="BG75" i="7"/>
  <c r="BG28" i="7"/>
  <c r="AU26" i="6"/>
  <c r="AU43" i="6" s="1"/>
  <c r="BD133" i="7" s="1"/>
  <c r="BD46" i="7"/>
  <c r="AR20" i="6"/>
  <c r="AR37" i="6" s="1"/>
  <c r="BA127" i="7" s="1"/>
  <c r="BA40" i="7"/>
  <c r="BK158" i="8"/>
  <c r="BG93" i="7" s="1"/>
  <c r="BF77" i="7"/>
  <c r="BE7" i="7"/>
  <c r="BF23" i="7"/>
  <c r="BJ120" i="8"/>
  <c r="BJ102" i="8" s="1"/>
  <c r="BJ86" i="8" s="1"/>
  <c r="BD49" i="7"/>
  <c r="BB90" i="7"/>
  <c r="BB74" i="7"/>
  <c r="BG25" i="7"/>
  <c r="BF82" i="7"/>
  <c r="BF98" i="7"/>
  <c r="BF81" i="7"/>
  <c r="BF80" i="7"/>
  <c r="BF96" i="7"/>
  <c r="AU28" i="6"/>
  <c r="AU45" i="6" s="1"/>
  <c r="BD135" i="7" s="1"/>
  <c r="BD48" i="7"/>
  <c r="AU32" i="6"/>
  <c r="AU49" i="6" s="1"/>
  <c r="BD139" i="7" s="1"/>
  <c r="BD52" i="7"/>
  <c r="BF86" i="7"/>
  <c r="BF102" i="7"/>
  <c r="BI22" i="7"/>
  <c r="BG24" i="7"/>
  <c r="BF79" i="7"/>
  <c r="BF95" i="7"/>
  <c r="BG85" i="7"/>
  <c r="BF88" i="7"/>
  <c r="BF4" i="7"/>
  <c r="BG20" i="7"/>
  <c r="AU30" i="6"/>
  <c r="AU47" i="6" s="1"/>
  <c r="BD137" i="7" s="1"/>
  <c r="BD50" i="7"/>
  <c r="BG29" i="7"/>
  <c r="BF78" i="7"/>
  <c r="BF94" i="7"/>
  <c r="BL55" i="8"/>
  <c r="BG26" i="7"/>
  <c r="BL236" i="8"/>
  <c r="BG235" i="7"/>
  <c r="BG92" i="7"/>
  <c r="BF76" i="7"/>
  <c r="AU25" i="6"/>
  <c r="AU42" i="6" s="1"/>
  <c r="BD132" i="7" s="1"/>
  <c r="BD45" i="7"/>
  <c r="BG99" i="7"/>
  <c r="BF83" i="7"/>
  <c r="BH212" i="8"/>
  <c r="AU27" i="6"/>
  <c r="BD47" i="7"/>
  <c r="AU21" i="6"/>
  <c r="AU38" i="6" s="1"/>
  <c r="BD128" i="7" s="1"/>
  <c r="BD41" i="7"/>
  <c r="BH103" i="7"/>
  <c r="BG87" i="7"/>
  <c r="BK51" i="8"/>
  <c r="AY3" i="6"/>
  <c r="BH19" i="7"/>
  <c r="BD43" i="7"/>
  <c r="BI220" i="8"/>
  <c r="BH232" i="7"/>
  <c r="BK19" i="8"/>
  <c r="BL27" i="8"/>
  <c r="BH224" i="7" s="1"/>
  <c r="BK11" i="8"/>
  <c r="BL10" i="8"/>
  <c r="BI223" i="7"/>
  <c r="AZ50" i="3"/>
  <c r="AZ82" i="6" s="1"/>
  <c r="AY49" i="3"/>
  <c r="AY81" i="6" s="1"/>
  <c r="BG101" i="7"/>
  <c r="AZ42" i="3"/>
  <c r="AZ51" i="3"/>
  <c r="AZ83" i="6" s="1"/>
  <c r="AZ45" i="3"/>
  <c r="AZ43" i="3"/>
  <c r="AZ75" i="6" s="1"/>
  <c r="AY40" i="3"/>
  <c r="AZ48" i="3"/>
  <c r="AZ80" i="6" s="1"/>
  <c r="AY41" i="3"/>
  <c r="AZ38" i="3"/>
  <c r="AY52" i="3"/>
  <c r="AY39" i="3"/>
  <c r="AY71" i="6" s="1"/>
  <c r="BG91" i="7"/>
  <c r="AY47" i="3"/>
  <c r="AZ46" i="3"/>
  <c r="AZ78" i="6" s="1"/>
  <c r="BI212" i="8"/>
  <c r="BI218" i="8"/>
  <c r="BL12" i="8"/>
  <c r="BI225" i="7"/>
  <c r="BL295" i="8"/>
  <c r="BL323" i="8" s="1"/>
  <c r="BG3" i="7"/>
  <c r="BJ98" i="8"/>
  <c r="BJ108" i="8"/>
  <c r="BK126" i="8"/>
  <c r="BG13" i="7" s="1"/>
  <c r="BJ204" i="8"/>
  <c r="AX54" i="6"/>
  <c r="BF170" i="8"/>
  <c r="BG155" i="8"/>
  <c r="BF208" i="8"/>
  <c r="BK16" i="8"/>
  <c r="BH229" i="7"/>
  <c r="BK127" i="8"/>
  <c r="BG14" i="7" s="1"/>
  <c r="BJ109" i="8"/>
  <c r="BI215" i="8"/>
  <c r="BI214" i="8"/>
  <c r="BK118" i="8"/>
  <c r="BG5" i="7" s="1"/>
  <c r="BJ100" i="8"/>
  <c r="BK17" i="8"/>
  <c r="BH230" i="7"/>
  <c r="BI211" i="8"/>
  <c r="BO302" i="8"/>
  <c r="BG6" i="7"/>
  <c r="BJ101" i="8"/>
  <c r="BI231" i="7"/>
  <c r="BL18" i="8"/>
  <c r="BI216" i="8"/>
  <c r="BJ107" i="8"/>
  <c r="BK125" i="8"/>
  <c r="BG12" i="7" s="1"/>
  <c r="BL61" i="8"/>
  <c r="BJ299" i="8"/>
  <c r="BK123" i="8"/>
  <c r="BJ105" i="8"/>
  <c r="BJ106" i="8"/>
  <c r="BK124" i="8"/>
  <c r="BG11" i="7" s="1"/>
  <c r="BI209" i="8"/>
  <c r="BK122" i="8"/>
  <c r="BG9" i="7" s="1"/>
  <c r="BJ104" i="8"/>
  <c r="BI217" i="8"/>
  <c r="BI210" i="8"/>
  <c r="BI213" i="8"/>
  <c r="BK9" i="8"/>
  <c r="BH222" i="7"/>
  <c r="BM301" i="8"/>
  <c r="BJ38" i="8"/>
  <c r="BJ8" i="8"/>
  <c r="BI234" i="7"/>
  <c r="BL21" i="8"/>
  <c r="BJ72" i="8"/>
  <c r="BK58" i="8"/>
  <c r="BK276" i="8"/>
  <c r="BK278" i="8"/>
  <c r="BK277" i="8"/>
  <c r="BK282" i="8"/>
  <c r="BK299" i="8" s="1"/>
  <c r="BH226" i="7"/>
  <c r="BK13" i="8"/>
  <c r="BK121" i="8"/>
  <c r="BG8" i="7" s="1"/>
  <c r="BJ103" i="8"/>
  <c r="BI219" i="8"/>
  <c r="BJ99" i="8"/>
  <c r="BH227" i="7"/>
  <c r="BK14" i="8"/>
  <c r="BH228" i="7"/>
  <c r="BK15" i="8"/>
  <c r="BD63" i="7" l="1"/>
  <c r="AU44" i="6"/>
  <c r="BD134" i="7" s="1"/>
  <c r="BD66" i="7"/>
  <c r="BD62" i="7"/>
  <c r="BD67" i="7"/>
  <c r="BD68" i="7"/>
  <c r="BD61" i="7"/>
  <c r="BD64" i="7"/>
  <c r="BA56" i="7"/>
  <c r="BD58" i="7"/>
  <c r="BD57" i="7"/>
  <c r="BG10" i="7"/>
  <c r="AX10" i="6"/>
  <c r="BI233" i="7"/>
  <c r="BM20" i="8"/>
  <c r="BL24" i="8"/>
  <c r="BG221" i="7"/>
  <c r="AY58" i="6"/>
  <c r="AZ60" i="6"/>
  <c r="AZ65" i="6"/>
  <c r="AZ59" i="6"/>
  <c r="AY62" i="6"/>
  <c r="AZ68" i="6"/>
  <c r="AY55" i="6"/>
  <c r="AZ57" i="6"/>
  <c r="AZ67" i="6"/>
  <c r="AY64" i="6"/>
  <c r="AZ61" i="6"/>
  <c r="AZ66" i="6"/>
  <c r="AZ56" i="6"/>
  <c r="BJ82" i="8"/>
  <c r="BJ83" i="8"/>
  <c r="BJ84" i="8"/>
  <c r="BJ85" i="8"/>
  <c r="BJ91" i="8"/>
  <c r="BJ93" i="8"/>
  <c r="BJ90" i="8"/>
  <c r="BJ89" i="8"/>
  <c r="BJ88" i="8"/>
  <c r="BJ92" i="8"/>
  <c r="BJ94" i="8"/>
  <c r="BJ87" i="8"/>
  <c r="BK49" i="8"/>
  <c r="BL45" i="8"/>
  <c r="BK53" i="8"/>
  <c r="BL47" i="8"/>
  <c r="BL48" i="8"/>
  <c r="BK46" i="8"/>
  <c r="BL50" i="8"/>
  <c r="BL44" i="8"/>
  <c r="BK42" i="8"/>
  <c r="BK54" i="8"/>
  <c r="BL52" i="8"/>
  <c r="BJ212" i="8"/>
  <c r="AW24" i="6" s="1"/>
  <c r="AW41" i="6" s="1"/>
  <c r="BF131" i="7" s="1"/>
  <c r="BF253" i="7"/>
  <c r="AV31" i="6"/>
  <c r="AV48" i="6" s="1"/>
  <c r="BE138" i="7" s="1"/>
  <c r="BE51" i="7"/>
  <c r="BC90" i="7"/>
  <c r="BC74" i="7"/>
  <c r="AV24" i="6"/>
  <c r="AV41" i="6" s="1"/>
  <c r="BE131" i="7" s="1"/>
  <c r="BE44" i="7"/>
  <c r="BH29" i="7"/>
  <c r="BH24" i="7"/>
  <c r="BG78" i="7"/>
  <c r="BG94" i="7"/>
  <c r="BG86" i="7"/>
  <c r="BG102" i="7"/>
  <c r="AV26" i="6"/>
  <c r="AV43" i="6" s="1"/>
  <c r="BE133" i="7" s="1"/>
  <c r="BE46" i="7"/>
  <c r="AV32" i="6"/>
  <c r="AV49" i="6" s="1"/>
  <c r="BE139" i="7" s="1"/>
  <c r="BE52" i="7"/>
  <c r="AZ3" i="6"/>
  <c r="BI19" i="7"/>
  <c r="BH104" i="7"/>
  <c r="BG88" i="7"/>
  <c r="BG80" i="7"/>
  <c r="BG96" i="7"/>
  <c r="BG82" i="7"/>
  <c r="BG98" i="7"/>
  <c r="BG84" i="7"/>
  <c r="BG100" i="7"/>
  <c r="AV25" i="6"/>
  <c r="AV42" i="6" s="1"/>
  <c r="BE132" i="7" s="1"/>
  <c r="BE45" i="7"/>
  <c r="AV30" i="6"/>
  <c r="AV47" i="6" s="1"/>
  <c r="BE137" i="7" s="1"/>
  <c r="BE50" i="7"/>
  <c r="AV27" i="6"/>
  <c r="BE47" i="7"/>
  <c r="BI103" i="7"/>
  <c r="BH87" i="7"/>
  <c r="BG4" i="7"/>
  <c r="BH20" i="7"/>
  <c r="AV22" i="6"/>
  <c r="AV39" i="6" s="1"/>
  <c r="BE129" i="7" s="1"/>
  <c r="BE42" i="7"/>
  <c r="AV28" i="6"/>
  <c r="AV45" i="6" s="1"/>
  <c r="BE135" i="7" s="1"/>
  <c r="BE48" i="7"/>
  <c r="BL51" i="8"/>
  <c r="BH99" i="7"/>
  <c r="BG83" i="7"/>
  <c r="BG76" i="7"/>
  <c r="BM55" i="8"/>
  <c r="BH85" i="7"/>
  <c r="BH75" i="7"/>
  <c r="BH28" i="7"/>
  <c r="BL158" i="8"/>
  <c r="BH93" i="7" s="1"/>
  <c r="BG77" i="7"/>
  <c r="BE49" i="7"/>
  <c r="AV21" i="6"/>
  <c r="AV38" i="6" s="1"/>
  <c r="BE128" i="7" s="1"/>
  <c r="BE41" i="7"/>
  <c r="BH25" i="7"/>
  <c r="BM236" i="8"/>
  <c r="BH235" i="7"/>
  <c r="BJ22" i="7"/>
  <c r="BF15" i="7"/>
  <c r="BK128" i="8"/>
  <c r="BK110" i="8" s="1"/>
  <c r="BL43" i="8"/>
  <c r="AS20" i="6"/>
  <c r="AS37" i="6" s="1"/>
  <c r="BB127" i="7" s="1"/>
  <c r="BB40" i="7"/>
  <c r="BG104" i="7"/>
  <c r="AU24" i="6"/>
  <c r="AU41" i="6" s="1"/>
  <c r="BD131" i="7" s="1"/>
  <c r="BD44" i="7"/>
  <c r="BH26" i="7"/>
  <c r="BG79" i="7"/>
  <c r="BG95" i="7"/>
  <c r="BG81" i="7"/>
  <c r="BF7" i="7"/>
  <c r="BG23" i="7"/>
  <c r="BK120" i="8"/>
  <c r="BK102" i="8" s="1"/>
  <c r="BE43" i="7"/>
  <c r="BJ220" i="8"/>
  <c r="BM10" i="8"/>
  <c r="BJ223" i="7"/>
  <c r="BL11" i="8"/>
  <c r="BM27" i="8"/>
  <c r="BI224" i="7" s="1"/>
  <c r="BL19" i="8"/>
  <c r="BI232" i="7"/>
  <c r="BA51" i="3"/>
  <c r="BA83" i="6" s="1"/>
  <c r="BA48" i="3"/>
  <c r="BA80" i="6" s="1"/>
  <c r="AZ52" i="3"/>
  <c r="BA46" i="3"/>
  <c r="BA78" i="6" s="1"/>
  <c r="BA38" i="3"/>
  <c r="BA43" i="3"/>
  <c r="BA75" i="6" s="1"/>
  <c r="AZ49" i="3"/>
  <c r="AZ81" i="6" s="1"/>
  <c r="BH101" i="7"/>
  <c r="BA42" i="3"/>
  <c r="AZ39" i="3"/>
  <c r="AZ71" i="6" s="1"/>
  <c r="BH91" i="7"/>
  <c r="AZ40" i="3"/>
  <c r="AZ47" i="3"/>
  <c r="AZ41" i="3"/>
  <c r="BA45" i="3"/>
  <c r="BA50" i="3"/>
  <c r="BA82" i="6" s="1"/>
  <c r="BJ213" i="8"/>
  <c r="BJ216" i="8"/>
  <c r="BM61" i="8"/>
  <c r="BM21" i="8"/>
  <c r="BJ234" i="7"/>
  <c r="BI227" i="7"/>
  <c r="BL14" i="8"/>
  <c r="BK103" i="8"/>
  <c r="BL121" i="8"/>
  <c r="BH8" i="7" s="1"/>
  <c r="BM18" i="8"/>
  <c r="BJ231" i="7"/>
  <c r="BL9" i="8"/>
  <c r="BI222" i="7"/>
  <c r="BL17" i="8"/>
  <c r="BI230" i="7"/>
  <c r="BK108" i="8"/>
  <c r="BL126" i="8"/>
  <c r="BH13" i="7" s="1"/>
  <c r="BJ225" i="7"/>
  <c r="BM12" i="8"/>
  <c r="BK109" i="8"/>
  <c r="BL127" i="8"/>
  <c r="BH14" i="7" s="1"/>
  <c r="BJ211" i="8"/>
  <c r="BL15" i="8"/>
  <c r="BI228" i="7"/>
  <c r="BI226" i="7"/>
  <c r="BL13" i="8"/>
  <c r="BK38" i="8"/>
  <c r="BK8" i="8"/>
  <c r="BJ214" i="8"/>
  <c r="BJ215" i="8"/>
  <c r="BJ217" i="8"/>
  <c r="BH6" i="7"/>
  <c r="BK101" i="8"/>
  <c r="BG170" i="8"/>
  <c r="BH155" i="8"/>
  <c r="BG208" i="8"/>
  <c r="BJ218" i="8"/>
  <c r="BL58" i="8"/>
  <c r="BK72" i="8"/>
  <c r="BL122" i="8"/>
  <c r="BH9" i="7" s="1"/>
  <c r="BK104" i="8"/>
  <c r="BL123" i="8"/>
  <c r="BK105" i="8"/>
  <c r="BJ210" i="8"/>
  <c r="BI229" i="7"/>
  <c r="BL16" i="8"/>
  <c r="BL124" i="8"/>
  <c r="BH11" i="7" s="1"/>
  <c r="BK106" i="8"/>
  <c r="BM295" i="8"/>
  <c r="BM323" i="8" s="1"/>
  <c r="BJ209" i="8"/>
  <c r="BL125" i="8"/>
  <c r="BH12" i="7" s="1"/>
  <c r="BK107" i="8"/>
  <c r="BK99" i="8"/>
  <c r="BN301" i="8"/>
  <c r="BL118" i="8"/>
  <c r="BH5" i="7" s="1"/>
  <c r="BK100" i="8"/>
  <c r="AY54" i="6"/>
  <c r="BK204" i="8"/>
  <c r="BH3" i="7"/>
  <c r="BK98" i="8"/>
  <c r="BL276" i="8"/>
  <c r="BL278" i="8"/>
  <c r="BL282" i="8"/>
  <c r="BL277" i="8"/>
  <c r="BL294" i="8"/>
  <c r="BL322" i="8" s="1"/>
  <c r="BJ219" i="8"/>
  <c r="BE63" i="7" l="1"/>
  <c r="AV44" i="6"/>
  <c r="BE134" i="7" s="1"/>
  <c r="BE66" i="7"/>
  <c r="BE57" i="7"/>
  <c r="BE60" i="7"/>
  <c r="BB56" i="7"/>
  <c r="BE67" i="7"/>
  <c r="BE58" i="7"/>
  <c r="BE61" i="7"/>
  <c r="BD60" i="7"/>
  <c r="BE62" i="7"/>
  <c r="BE64" i="7"/>
  <c r="BE68" i="7"/>
  <c r="BF60" i="7"/>
  <c r="BH10" i="7"/>
  <c r="AY10" i="6"/>
  <c r="BM24" i="8"/>
  <c r="BH221" i="7"/>
  <c r="BJ233" i="7"/>
  <c r="BN20" i="8"/>
  <c r="BB61" i="6"/>
  <c r="BA61" i="6"/>
  <c r="AZ55" i="6"/>
  <c r="BB59" i="6"/>
  <c r="BA59" i="6"/>
  <c r="AZ64" i="6"/>
  <c r="BB68" i="6"/>
  <c r="BA68" i="6"/>
  <c r="BB65" i="6"/>
  <c r="BA65" i="6"/>
  <c r="BB56" i="6"/>
  <c r="BA56" i="6"/>
  <c r="BB67" i="6"/>
  <c r="BA67" i="6"/>
  <c r="BB60" i="6"/>
  <c r="BA60" i="6"/>
  <c r="BB66" i="6"/>
  <c r="BA66" i="6"/>
  <c r="BB57" i="6"/>
  <c r="BA57" i="6"/>
  <c r="AZ62" i="6"/>
  <c r="AZ58" i="6"/>
  <c r="BF44" i="7"/>
  <c r="BK82" i="8"/>
  <c r="BK85" i="8"/>
  <c r="BK84" i="8"/>
  <c r="BK83" i="8"/>
  <c r="BK94" i="8"/>
  <c r="BK89" i="8"/>
  <c r="BK90" i="8"/>
  <c r="BK92" i="8"/>
  <c r="BK88" i="8"/>
  <c r="BK87" i="8"/>
  <c r="BK91" i="8"/>
  <c r="BK93" i="8"/>
  <c r="BK86" i="8"/>
  <c r="BG253" i="7"/>
  <c r="BL46" i="8"/>
  <c r="BM45" i="8"/>
  <c r="BL49" i="8"/>
  <c r="BL53" i="8"/>
  <c r="BM44" i="8"/>
  <c r="BM50" i="8"/>
  <c r="BL42" i="8"/>
  <c r="BM48" i="8"/>
  <c r="BM47" i="8"/>
  <c r="BL54" i="8"/>
  <c r="BM52" i="8"/>
  <c r="AT20" i="6"/>
  <c r="AT37" i="6" s="1"/>
  <c r="BC127" i="7" s="1"/>
  <c r="BC40" i="7"/>
  <c r="BF49" i="7"/>
  <c r="BI75" i="7"/>
  <c r="AW31" i="6"/>
  <c r="AW48" i="6" s="1"/>
  <c r="BF138" i="7" s="1"/>
  <c r="BF51" i="7"/>
  <c r="BD90" i="7"/>
  <c r="BD74" i="7"/>
  <c r="BH79" i="7"/>
  <c r="BH95" i="7"/>
  <c r="BG15" i="7"/>
  <c r="BL128" i="8"/>
  <c r="BL110" i="8" s="1"/>
  <c r="BI92" i="7"/>
  <c r="BH76" i="7"/>
  <c r="BH80" i="7"/>
  <c r="BH96" i="7"/>
  <c r="AW27" i="6"/>
  <c r="BF47" i="7"/>
  <c r="AW28" i="6"/>
  <c r="AW45" i="6" s="1"/>
  <c r="BF135" i="7" s="1"/>
  <c r="BF48" i="7"/>
  <c r="BN236" i="8"/>
  <c r="BI235" i="7"/>
  <c r="BI85" i="7"/>
  <c r="AW22" i="6"/>
  <c r="AW39" i="6" s="1"/>
  <c r="BF129" i="7" s="1"/>
  <c r="BF42" i="7"/>
  <c r="BI28" i="7"/>
  <c r="BI99" i="7"/>
  <c r="BH83" i="7"/>
  <c r="BA3" i="6"/>
  <c r="BJ19" i="7"/>
  <c r="AW26" i="6"/>
  <c r="AW43" i="6" s="1"/>
  <c r="BF133" i="7" s="1"/>
  <c r="BF46" i="7"/>
  <c r="AW25" i="6"/>
  <c r="AW42" i="6" s="1"/>
  <c r="BF132" i="7" s="1"/>
  <c r="BF45" i="7"/>
  <c r="AW32" i="6"/>
  <c r="AW49" i="6" s="1"/>
  <c r="BF139" i="7" s="1"/>
  <c r="BF52" i="7"/>
  <c r="BI25" i="7"/>
  <c r="BH81" i="7"/>
  <c r="BM43" i="8"/>
  <c r="BH86" i="7"/>
  <c r="BH102" i="7"/>
  <c r="BH4" i="7"/>
  <c r="BI20" i="7"/>
  <c r="BM51" i="8"/>
  <c r="BI104" i="7"/>
  <c r="BH88" i="7"/>
  <c r="BI26" i="7"/>
  <c r="BI29" i="7"/>
  <c r="BK22" i="7"/>
  <c r="BN55" i="8"/>
  <c r="BJ103" i="7"/>
  <c r="BI87" i="7"/>
  <c r="BH82" i="7"/>
  <c r="BH98" i="7"/>
  <c r="BI24" i="7"/>
  <c r="AW21" i="6"/>
  <c r="AW38" i="6" s="1"/>
  <c r="BF128" i="7" s="1"/>
  <c r="BF41" i="7"/>
  <c r="AW30" i="6"/>
  <c r="AW47" i="6" s="1"/>
  <c r="BF137" i="7" s="1"/>
  <c r="BF50" i="7"/>
  <c r="BH92" i="7"/>
  <c r="BG7" i="7"/>
  <c r="BH23" i="7"/>
  <c r="BL120" i="8"/>
  <c r="BM158" i="8"/>
  <c r="BH77" i="7"/>
  <c r="BH84" i="7"/>
  <c r="BH100" i="7"/>
  <c r="BH78" i="7"/>
  <c r="BH94" i="7"/>
  <c r="BF43" i="7"/>
  <c r="BL299" i="8"/>
  <c r="BK220" i="8"/>
  <c r="BM11" i="8"/>
  <c r="BN27" i="8"/>
  <c r="BJ224" i="7" s="1"/>
  <c r="BM19" i="8"/>
  <c r="BJ232" i="7"/>
  <c r="BN10" i="8"/>
  <c r="BA47" i="3"/>
  <c r="BA49" i="3"/>
  <c r="BA81" i="6" s="1"/>
  <c r="BI101" i="7"/>
  <c r="BA52" i="3"/>
  <c r="BB42" i="3"/>
  <c r="BB50" i="3"/>
  <c r="BB82" i="6" s="1"/>
  <c r="BA40" i="3"/>
  <c r="BB43" i="3"/>
  <c r="BB75" i="6" s="1"/>
  <c r="BB48" i="3"/>
  <c r="BB80" i="6" s="1"/>
  <c r="BB46" i="3"/>
  <c r="BB78" i="6" s="1"/>
  <c r="BA41" i="3"/>
  <c r="BB45" i="3"/>
  <c r="BA39" i="3"/>
  <c r="BA71" i="6" s="1"/>
  <c r="BI91" i="7"/>
  <c r="BB38" i="3"/>
  <c r="BB51" i="3"/>
  <c r="BB83" i="6" s="1"/>
  <c r="BO301" i="8"/>
  <c r="BK211" i="8"/>
  <c r="BK209" i="8"/>
  <c r="BM124" i="8"/>
  <c r="BI11" i="7" s="1"/>
  <c r="BL106" i="8"/>
  <c r="BK219" i="8"/>
  <c r="BK213" i="8"/>
  <c r="BN61" i="8"/>
  <c r="BL104" i="8"/>
  <c r="BM122" i="8"/>
  <c r="BI9" i="7" s="1"/>
  <c r="BL204" i="8"/>
  <c r="AZ54" i="6"/>
  <c r="BK216" i="8"/>
  <c r="BI6" i="7"/>
  <c r="BL101" i="8"/>
  <c r="BM127" i="8"/>
  <c r="BI14" i="7" s="1"/>
  <c r="BL109" i="8"/>
  <c r="BJ230" i="7"/>
  <c r="BM17" i="8"/>
  <c r="BL103" i="8"/>
  <c r="BM121" i="8"/>
  <c r="BI8" i="7" s="1"/>
  <c r="BL99" i="8"/>
  <c r="BM278" i="8"/>
  <c r="BM282" i="8"/>
  <c r="BM277" i="8"/>
  <c r="BM276" i="8"/>
  <c r="BK217" i="8"/>
  <c r="BL72" i="8"/>
  <c r="BM58" i="8"/>
  <c r="BM9" i="8"/>
  <c r="BJ222" i="7"/>
  <c r="BN18" i="8"/>
  <c r="BK218" i="8"/>
  <c r="BK210" i="8"/>
  <c r="BH170" i="8"/>
  <c r="BI155" i="8"/>
  <c r="BH208" i="8"/>
  <c r="BJ226" i="7"/>
  <c r="BM13" i="8"/>
  <c r="BJ227" i="7"/>
  <c r="BM14" i="8"/>
  <c r="BM118" i="8"/>
  <c r="BI5" i="7" s="1"/>
  <c r="BL100" i="8"/>
  <c r="BK215" i="8"/>
  <c r="BN21" i="8"/>
  <c r="BM123" i="8"/>
  <c r="BL105" i="8"/>
  <c r="BN12" i="8"/>
  <c r="BO295" i="8"/>
  <c r="BO323" i="8" s="1"/>
  <c r="BN295" i="8"/>
  <c r="BN323" i="8" s="1"/>
  <c r="BL8" i="8"/>
  <c r="BL38" i="8"/>
  <c r="BM125" i="8"/>
  <c r="BI12" i="7" s="1"/>
  <c r="BL107" i="8"/>
  <c r="BJ228" i="7"/>
  <c r="BM15" i="8"/>
  <c r="BK212" i="8"/>
  <c r="BL98" i="8"/>
  <c r="BI3" i="7"/>
  <c r="BM294" i="8"/>
  <c r="BM322" i="8" s="1"/>
  <c r="BJ229" i="7"/>
  <c r="BM16" i="8"/>
  <c r="BK214" i="8"/>
  <c r="BL108" i="8"/>
  <c r="BM126" i="8"/>
  <c r="BI13" i="7" s="1"/>
  <c r="BF63" i="7" l="1"/>
  <c r="AW44" i="6"/>
  <c r="BF134" i="7" s="1"/>
  <c r="BF64" i="7"/>
  <c r="BF68" i="7"/>
  <c r="BF66" i="7"/>
  <c r="BF61" i="7"/>
  <c r="BC56" i="7"/>
  <c r="BF67" i="7"/>
  <c r="BF57" i="7"/>
  <c r="BF58" i="7"/>
  <c r="BF62" i="7"/>
  <c r="BI10" i="7"/>
  <c r="AZ10" i="6"/>
  <c r="BJ26" i="7" s="1"/>
  <c r="BO20" i="8"/>
  <c r="BK233" i="7"/>
  <c r="BO21" i="8"/>
  <c r="BK234" i="7"/>
  <c r="BO18" i="8"/>
  <c r="BK231" i="7"/>
  <c r="BO10" i="8"/>
  <c r="BK223" i="7"/>
  <c r="BO12" i="8"/>
  <c r="BK225" i="7"/>
  <c r="BN24" i="8"/>
  <c r="BI221" i="7"/>
  <c r="BB64" i="6"/>
  <c r="BA64" i="6"/>
  <c r="BB58" i="6"/>
  <c r="BA58" i="6"/>
  <c r="BB55" i="6"/>
  <c r="BA55" i="6"/>
  <c r="BB62" i="6"/>
  <c r="BA62" i="6"/>
  <c r="BL83" i="8"/>
  <c r="BL82" i="8"/>
  <c r="BL85" i="8"/>
  <c r="BL84" i="8"/>
  <c r="BL88" i="8"/>
  <c r="BL92" i="8"/>
  <c r="BL94" i="8"/>
  <c r="BL90" i="8"/>
  <c r="BL91" i="8"/>
  <c r="BL87" i="8"/>
  <c r="BL89" i="8"/>
  <c r="BL93" i="8"/>
  <c r="BN48" i="8"/>
  <c r="BM42" i="8"/>
  <c r="BM49" i="8"/>
  <c r="BN44" i="8"/>
  <c r="BN47" i="8"/>
  <c r="BM53" i="8"/>
  <c r="BM46" i="8"/>
  <c r="BN45" i="8"/>
  <c r="BN50" i="8"/>
  <c r="BM54" i="8"/>
  <c r="BN52" i="8"/>
  <c r="BH253" i="7"/>
  <c r="AX27" i="6"/>
  <c r="BG47" i="7"/>
  <c r="AX21" i="6"/>
  <c r="AX38" i="6" s="1"/>
  <c r="BG128" i="7" s="1"/>
  <c r="BG41" i="7"/>
  <c r="BI84" i="7"/>
  <c r="BI100" i="7"/>
  <c r="BO55" i="8"/>
  <c r="BK85" i="7"/>
  <c r="BJ85" i="7"/>
  <c r="BI78" i="7"/>
  <c r="BI94" i="7"/>
  <c r="AX31" i="6"/>
  <c r="AX48" i="6" s="1"/>
  <c r="BG138" i="7" s="1"/>
  <c r="BG51" i="7"/>
  <c r="AX32" i="6"/>
  <c r="AX49" i="6" s="1"/>
  <c r="BG139" i="7" s="1"/>
  <c r="BG52" i="7"/>
  <c r="BN158" i="8"/>
  <c r="BJ93" i="7" s="1"/>
  <c r="BI77" i="7"/>
  <c r="BJ235" i="7"/>
  <c r="BJ92" i="7"/>
  <c r="BI76" i="7"/>
  <c r="BI79" i="7"/>
  <c r="BI95" i="7"/>
  <c r="BK75" i="7"/>
  <c r="BJ75" i="7"/>
  <c r="BE90" i="7"/>
  <c r="BE74" i="7"/>
  <c r="AX22" i="6"/>
  <c r="AX39" i="6" s="1"/>
  <c r="BG129" i="7" s="1"/>
  <c r="BG42" i="7"/>
  <c r="AX28" i="6"/>
  <c r="AX45" i="6" s="1"/>
  <c r="BG135" i="7" s="1"/>
  <c r="BG48" i="7"/>
  <c r="BJ25" i="7"/>
  <c r="BJ24" i="7"/>
  <c r="BI82" i="7"/>
  <c r="BI98" i="7"/>
  <c r="BJ28" i="7"/>
  <c r="BI80" i="7"/>
  <c r="BI96" i="7"/>
  <c r="AX26" i="6"/>
  <c r="AX43" i="6" s="1"/>
  <c r="BG133" i="7" s="1"/>
  <c r="BG46" i="7"/>
  <c r="AX30" i="6"/>
  <c r="AX47" i="6" s="1"/>
  <c r="BG137" i="7" s="1"/>
  <c r="BG50" i="7"/>
  <c r="BI93" i="7"/>
  <c r="BH7" i="7"/>
  <c r="BI23" i="7"/>
  <c r="BM120" i="8"/>
  <c r="BM102" i="8" s="1"/>
  <c r="BL102" i="8"/>
  <c r="BL86" i="8" s="1"/>
  <c r="BJ104" i="7"/>
  <c r="BI88" i="7"/>
  <c r="BI86" i="7"/>
  <c r="BI102" i="7"/>
  <c r="BI81" i="7"/>
  <c r="BJ99" i="7"/>
  <c r="BI83" i="7"/>
  <c r="AX24" i="6"/>
  <c r="AX41" i="6" s="1"/>
  <c r="BG131" i="7" s="1"/>
  <c r="BG44" i="7"/>
  <c r="BG49" i="7"/>
  <c r="BJ29" i="7"/>
  <c r="BK87" i="7"/>
  <c r="BJ87" i="7"/>
  <c r="BN43" i="8"/>
  <c r="BB3" i="6"/>
  <c r="BK19" i="7"/>
  <c r="BH15" i="7"/>
  <c r="BM128" i="8"/>
  <c r="BM110" i="8" s="1"/>
  <c r="AU20" i="6"/>
  <c r="AU37" i="6" s="1"/>
  <c r="BD127" i="7" s="1"/>
  <c r="BD40" i="7"/>
  <c r="BI4" i="7"/>
  <c r="BJ20" i="7"/>
  <c r="AX25" i="6"/>
  <c r="AX42" i="6" s="1"/>
  <c r="BG132" i="7" s="1"/>
  <c r="BG45" i="7"/>
  <c r="BN51" i="8"/>
  <c r="BG43" i="7"/>
  <c r="BL220" i="8"/>
  <c r="BO52" i="8"/>
  <c r="BO44" i="8"/>
  <c r="BN19" i="8"/>
  <c r="BN11" i="8"/>
  <c r="BO27" i="8"/>
  <c r="BB52" i="3"/>
  <c r="BB39" i="3"/>
  <c r="BB71" i="6" s="1"/>
  <c r="BJ91" i="7"/>
  <c r="BB41" i="3"/>
  <c r="BB40" i="3"/>
  <c r="BB49" i="3"/>
  <c r="BB81" i="6" s="1"/>
  <c r="BJ101" i="7"/>
  <c r="BB47" i="3"/>
  <c r="BN118" i="8"/>
  <c r="BJ5" i="7" s="1"/>
  <c r="BM100" i="8"/>
  <c r="BN121" i="8"/>
  <c r="BJ8" i="7" s="1"/>
  <c r="BM103" i="8"/>
  <c r="BN15" i="8"/>
  <c r="BN58" i="8"/>
  <c r="BM72" i="8"/>
  <c r="BN277" i="8"/>
  <c r="BN282" i="8"/>
  <c r="BN276" i="8"/>
  <c r="BO294" i="8"/>
  <c r="BO322" i="8" s="1"/>
  <c r="BN278" i="8"/>
  <c r="BL213" i="8"/>
  <c r="BL214" i="8"/>
  <c r="BM104" i="8"/>
  <c r="BN122" i="8"/>
  <c r="BJ9" i="7" s="1"/>
  <c r="BN16" i="8"/>
  <c r="BM38" i="8"/>
  <c r="BM8" i="8"/>
  <c r="BN14" i="8"/>
  <c r="BM299" i="8"/>
  <c r="BM204" i="8"/>
  <c r="BA54" i="6"/>
  <c r="BL216" i="8"/>
  <c r="BL215" i="8"/>
  <c r="BM106" i="8"/>
  <c r="BN124" i="8"/>
  <c r="BJ11" i="7" s="1"/>
  <c r="BM99" i="8"/>
  <c r="BM109" i="8"/>
  <c r="BN127" i="8"/>
  <c r="BJ14" i="7" s="1"/>
  <c r="BO48" i="8"/>
  <c r="BN17" i="8"/>
  <c r="BO61" i="8"/>
  <c r="BO45" i="8" s="1"/>
  <c r="BO50" i="8"/>
  <c r="BM98" i="8"/>
  <c r="BJ3" i="7"/>
  <c r="BN123" i="8"/>
  <c r="BM105" i="8"/>
  <c r="BN13" i="8"/>
  <c r="BL209" i="8"/>
  <c r="BL219" i="8"/>
  <c r="BN126" i="8"/>
  <c r="BJ13" i="7" s="1"/>
  <c r="BM108" i="8"/>
  <c r="BL218" i="8"/>
  <c r="BL217" i="8"/>
  <c r="BI170" i="8"/>
  <c r="BJ155" i="8"/>
  <c r="BI208" i="8"/>
  <c r="BN9" i="8"/>
  <c r="BL211" i="8"/>
  <c r="BO47" i="8"/>
  <c r="BN294" i="8"/>
  <c r="BN322" i="8" s="1"/>
  <c r="BN125" i="8"/>
  <c r="BJ12" i="7" s="1"/>
  <c r="BM107" i="8"/>
  <c r="BL210" i="8"/>
  <c r="BM101" i="8"/>
  <c r="BJ6" i="7"/>
  <c r="BG63" i="7" l="1"/>
  <c r="AX44" i="6"/>
  <c r="BG134" i="7" s="1"/>
  <c r="BG64" i="7"/>
  <c r="BG67" i="7"/>
  <c r="BG57" i="7"/>
  <c r="BD56" i="7"/>
  <c r="BG66" i="7"/>
  <c r="BG61" i="7"/>
  <c r="BG58" i="7"/>
  <c r="BG60" i="7"/>
  <c r="BG62" i="7"/>
  <c r="BG68" i="7"/>
  <c r="BJ10" i="7"/>
  <c r="BA10" i="6"/>
  <c r="BK26" i="7" s="1"/>
  <c r="BO9" i="8"/>
  <c r="BK222" i="7"/>
  <c r="BO14" i="8"/>
  <c r="BK227" i="7"/>
  <c r="BO11" i="8"/>
  <c r="BK224" i="7"/>
  <c r="BO13" i="8"/>
  <c r="BK226" i="7"/>
  <c r="BO17" i="8"/>
  <c r="BK230" i="7"/>
  <c r="BO15" i="8"/>
  <c r="BK228" i="7"/>
  <c r="BO24" i="8"/>
  <c r="BK221" i="7" s="1"/>
  <c r="BJ221" i="7"/>
  <c r="BO19" i="8"/>
  <c r="BK232" i="7"/>
  <c r="BO16" i="8"/>
  <c r="BK229" i="7"/>
  <c r="BM83" i="8"/>
  <c r="BM84" i="8"/>
  <c r="BM85" i="8"/>
  <c r="BM82" i="8"/>
  <c r="BK235" i="7"/>
  <c r="BO236" i="8"/>
  <c r="BM92" i="8"/>
  <c r="BM88" i="8"/>
  <c r="BM94" i="8"/>
  <c r="BM91" i="8"/>
  <c r="BM90" i="8"/>
  <c r="BM86" i="8"/>
  <c r="BM93" i="8"/>
  <c r="BM89" i="8"/>
  <c r="BM87" i="8"/>
  <c r="BK103" i="7"/>
  <c r="BK101" i="7"/>
  <c r="BN42" i="8"/>
  <c r="BN46" i="8"/>
  <c r="BN53" i="8"/>
  <c r="BN49" i="8"/>
  <c r="BN54" i="8"/>
  <c r="BK91" i="7"/>
  <c r="BI253" i="7"/>
  <c r="AY30" i="6"/>
  <c r="AY47" i="6" s="1"/>
  <c r="BH137" i="7" s="1"/>
  <c r="BH50" i="7"/>
  <c r="BK29" i="7"/>
  <c r="BI7" i="7"/>
  <c r="BJ23" i="7"/>
  <c r="BN120" i="8"/>
  <c r="BN102" i="8" s="1"/>
  <c r="BJ79" i="7"/>
  <c r="BJ95" i="7"/>
  <c r="BJ84" i="7"/>
  <c r="BJ100" i="7"/>
  <c r="AY27" i="6"/>
  <c r="BH47" i="7"/>
  <c r="BO43" i="8"/>
  <c r="BF90" i="7"/>
  <c r="BF74" i="7"/>
  <c r="AY28" i="6"/>
  <c r="AY45" i="6" s="1"/>
  <c r="BH135" i="7" s="1"/>
  <c r="BH48" i="7"/>
  <c r="AY26" i="6"/>
  <c r="AY43" i="6" s="1"/>
  <c r="BH133" i="7" s="1"/>
  <c r="BH46" i="7"/>
  <c r="AY32" i="6"/>
  <c r="AY49" i="6" s="1"/>
  <c r="BH139" i="7" s="1"/>
  <c r="BH52" i="7"/>
  <c r="BJ78" i="7"/>
  <c r="BJ94" i="7"/>
  <c r="BL212" i="8"/>
  <c r="AY21" i="6"/>
  <c r="AY38" i="6" s="1"/>
  <c r="BH128" i="7" s="1"/>
  <c r="BH41" i="7"/>
  <c r="BI15" i="7"/>
  <c r="BN128" i="8"/>
  <c r="BN110" i="8" s="1"/>
  <c r="BK83" i="7"/>
  <c r="BJ83" i="7"/>
  <c r="BJ86" i="7"/>
  <c r="BJ102" i="7"/>
  <c r="BK76" i="7"/>
  <c r="BJ76" i="7"/>
  <c r="AY25" i="6"/>
  <c r="AY42" i="6" s="1"/>
  <c r="BH132" i="7" s="1"/>
  <c r="BH45" i="7"/>
  <c r="BO51" i="8"/>
  <c r="BK24" i="7"/>
  <c r="AV20" i="6"/>
  <c r="AV37" i="6" s="1"/>
  <c r="BE127" i="7" s="1"/>
  <c r="BE40" i="7"/>
  <c r="BK88" i="7"/>
  <c r="BJ88" i="7"/>
  <c r="BJ80" i="7"/>
  <c r="BJ96" i="7"/>
  <c r="AY22" i="6"/>
  <c r="AY39" i="6" s="1"/>
  <c r="BH129" i="7" s="1"/>
  <c r="BH42" i="7"/>
  <c r="BH49" i="7"/>
  <c r="BJ81" i="7"/>
  <c r="BJ82" i="7"/>
  <c r="BJ98" i="7"/>
  <c r="BO158" i="8"/>
  <c r="BK77" i="7" s="1"/>
  <c r="BJ77" i="7"/>
  <c r="BJ4" i="7"/>
  <c r="BK20" i="7"/>
  <c r="AY31" i="6"/>
  <c r="AY48" i="6" s="1"/>
  <c r="BH138" i="7" s="1"/>
  <c r="BH51" i="7"/>
  <c r="BK25" i="7"/>
  <c r="BK28" i="7"/>
  <c r="BH43" i="7"/>
  <c r="BM220" i="8"/>
  <c r="BM218" i="8"/>
  <c r="BM215" i="8"/>
  <c r="BO46" i="8"/>
  <c r="BN72" i="8"/>
  <c r="BO58" i="8"/>
  <c r="BO126" i="8"/>
  <c r="BK13" i="7" s="1"/>
  <c r="BN108" i="8"/>
  <c r="BO123" i="8"/>
  <c r="BN105" i="8"/>
  <c r="BN109" i="8"/>
  <c r="BO127" i="8"/>
  <c r="BN106" i="8"/>
  <c r="BO124" i="8"/>
  <c r="BM216" i="8"/>
  <c r="BM211" i="8"/>
  <c r="BM209" i="8"/>
  <c r="BN104" i="8"/>
  <c r="BO122" i="8"/>
  <c r="BK9" i="7" s="1"/>
  <c r="BM213" i="8"/>
  <c r="BN204" i="8"/>
  <c r="BN101" i="8"/>
  <c r="BJ170" i="8"/>
  <c r="BK155" i="8"/>
  <c r="BJ208" i="8"/>
  <c r="BM212" i="8"/>
  <c r="BN99" i="8"/>
  <c r="BM214" i="8"/>
  <c r="BN299" i="8"/>
  <c r="BO121" i="8"/>
  <c r="BK8" i="7" s="1"/>
  <c r="BN103" i="8"/>
  <c r="BM219" i="8"/>
  <c r="BO49" i="8"/>
  <c r="BO53" i="8"/>
  <c r="BM210" i="8"/>
  <c r="BO125" i="8"/>
  <c r="BK12" i="7" s="1"/>
  <c r="BN107" i="8"/>
  <c r="BN98" i="8"/>
  <c r="BK3" i="7"/>
  <c r="BO277" i="8"/>
  <c r="BO282" i="8"/>
  <c r="BO299" i="8" s="1"/>
  <c r="BO276" i="8"/>
  <c r="BO278" i="8"/>
  <c r="BM217" i="8"/>
  <c r="BN8" i="8"/>
  <c r="BN38" i="8"/>
  <c r="BO118" i="8"/>
  <c r="BK5" i="7" s="1"/>
  <c r="BN100" i="8"/>
  <c r="BH63" i="7" l="1"/>
  <c r="AY44" i="6"/>
  <c r="BH134" i="7" s="1"/>
  <c r="BE56" i="7"/>
  <c r="BH67" i="7"/>
  <c r="BH66" i="7"/>
  <c r="BH64" i="7"/>
  <c r="BH58" i="7"/>
  <c r="BH68" i="7"/>
  <c r="BH61" i="7"/>
  <c r="BH57" i="7"/>
  <c r="BH62" i="7"/>
  <c r="BK11" i="7"/>
  <c r="BB11" i="6"/>
  <c r="BK14" i="7"/>
  <c r="BB14" i="6"/>
  <c r="BK10" i="7"/>
  <c r="BB10" i="6"/>
  <c r="BO204" i="8"/>
  <c r="BB54" i="6"/>
  <c r="BN85" i="8"/>
  <c r="BN82" i="8"/>
  <c r="BN84" i="8"/>
  <c r="BN83" i="8"/>
  <c r="BN86" i="8"/>
  <c r="BN94" i="8"/>
  <c r="BN90" i="8"/>
  <c r="BN93" i="8"/>
  <c r="BN92" i="8"/>
  <c r="BN91" i="8"/>
  <c r="BN87" i="8"/>
  <c r="BN88" i="8"/>
  <c r="BN89" i="8"/>
  <c r="BJ253" i="7"/>
  <c r="BO42" i="8"/>
  <c r="BO54" i="8"/>
  <c r="AW20" i="6"/>
  <c r="AW37" i="6" s="1"/>
  <c r="BF127" i="7" s="1"/>
  <c r="BF40" i="7"/>
  <c r="AZ25" i="6"/>
  <c r="AZ42" i="6" s="1"/>
  <c r="BI132" i="7" s="1"/>
  <c r="BI45" i="7"/>
  <c r="AZ28" i="6"/>
  <c r="AZ45" i="6" s="1"/>
  <c r="BI135" i="7" s="1"/>
  <c r="BI48" i="7"/>
  <c r="BJ15" i="7"/>
  <c r="BO128" i="8"/>
  <c r="BB15" i="6" s="1"/>
  <c r="BJ7" i="7"/>
  <c r="BK23" i="7"/>
  <c r="BO120" i="8"/>
  <c r="BO102" i="8" s="1"/>
  <c r="AZ30" i="6"/>
  <c r="AZ47" i="6" s="1"/>
  <c r="BI137" i="7" s="1"/>
  <c r="BI50" i="7"/>
  <c r="BK84" i="7"/>
  <c r="BK100" i="7"/>
  <c r="BI49" i="7"/>
  <c r="BK86" i="7"/>
  <c r="BK102" i="7"/>
  <c r="BK81" i="7"/>
  <c r="AY24" i="6"/>
  <c r="AY41" i="6" s="1"/>
  <c r="BH131" i="7" s="1"/>
  <c r="BH44" i="7"/>
  <c r="AZ26" i="6"/>
  <c r="AZ43" i="6" s="1"/>
  <c r="BI133" i="7" s="1"/>
  <c r="BI46" i="7"/>
  <c r="BG90" i="7"/>
  <c r="BG74" i="7"/>
  <c r="AZ22" i="6"/>
  <c r="AZ39" i="6" s="1"/>
  <c r="BI129" i="7" s="1"/>
  <c r="BI42" i="7"/>
  <c r="BK4" i="7"/>
  <c r="AZ21" i="6"/>
  <c r="AZ38" i="6" s="1"/>
  <c r="BI128" i="7" s="1"/>
  <c r="BI41" i="7"/>
  <c r="BK82" i="7"/>
  <c r="BK98" i="7"/>
  <c r="BK104" i="7"/>
  <c r="BK78" i="7"/>
  <c r="BK94" i="7"/>
  <c r="BK92" i="7"/>
  <c r="BK80" i="7"/>
  <c r="BK96" i="7"/>
  <c r="BK99" i="7"/>
  <c r="AZ31" i="6"/>
  <c r="AZ48" i="6" s="1"/>
  <c r="BI138" i="7" s="1"/>
  <c r="BI51" i="7"/>
  <c r="AZ32" i="6"/>
  <c r="AZ49" i="6" s="1"/>
  <c r="BI139" i="7" s="1"/>
  <c r="BI52" i="7"/>
  <c r="AZ24" i="6"/>
  <c r="AZ41" i="6" s="1"/>
  <c r="BI131" i="7" s="1"/>
  <c r="BI44" i="7"/>
  <c r="AZ27" i="6"/>
  <c r="BI47" i="7"/>
  <c r="BK93" i="7"/>
  <c r="BK79" i="7"/>
  <c r="BK95" i="7"/>
  <c r="BI43" i="7"/>
  <c r="BO101" i="8"/>
  <c r="BK6" i="7"/>
  <c r="BO104" i="8"/>
  <c r="BO106" i="8"/>
  <c r="BO109" i="8"/>
  <c r="BO93" i="8" s="1"/>
  <c r="BO105" i="8"/>
  <c r="BO99" i="8"/>
  <c r="BN220" i="8"/>
  <c r="BO98" i="8"/>
  <c r="BO82" i="8" s="1"/>
  <c r="BO107" i="8"/>
  <c r="BO100" i="8"/>
  <c r="BO84" i="8" s="1"/>
  <c r="BO103" i="8"/>
  <c r="BO87" i="8" s="1"/>
  <c r="BO108" i="8"/>
  <c r="BO92" i="8" s="1"/>
  <c r="BN219" i="8"/>
  <c r="BN209" i="8"/>
  <c r="BN215" i="8"/>
  <c r="BN210" i="8"/>
  <c r="BN211" i="8"/>
  <c r="BN213" i="8"/>
  <c r="BN218" i="8"/>
  <c r="BN217" i="8"/>
  <c r="BK170" i="8"/>
  <c r="BL155" i="8"/>
  <c r="BK208" i="8"/>
  <c r="BN212" i="8"/>
  <c r="BO38" i="8"/>
  <c r="BO8" i="8"/>
  <c r="BN214" i="8"/>
  <c r="BN216" i="8"/>
  <c r="BO72" i="8"/>
  <c r="BI63" i="7" l="1"/>
  <c r="AZ44" i="6"/>
  <c r="BI134" i="7" s="1"/>
  <c r="BF56" i="7"/>
  <c r="BI67" i="7"/>
  <c r="BI62" i="7"/>
  <c r="BI66" i="7"/>
  <c r="BI57" i="7"/>
  <c r="BI60" i="7"/>
  <c r="BH60" i="7"/>
  <c r="BI61" i="7"/>
  <c r="BI64" i="7"/>
  <c r="BI68" i="7"/>
  <c r="BI58" i="7"/>
  <c r="I15" i="6"/>
  <c r="S31" i="7" s="1"/>
  <c r="R15" i="6"/>
  <c r="AB31" i="7" s="1"/>
  <c r="V15" i="6"/>
  <c r="AF31" i="7" s="1"/>
  <c r="Z15" i="6"/>
  <c r="AJ31" i="7" s="1"/>
  <c r="AH15" i="6"/>
  <c r="AR31" i="7" s="1"/>
  <c r="AL15" i="6"/>
  <c r="AV31" i="7" s="1"/>
  <c r="AP15" i="6"/>
  <c r="AZ31" i="7" s="1"/>
  <c r="AX15" i="6"/>
  <c r="BH31" i="7" s="1"/>
  <c r="H15" i="6"/>
  <c r="R31" i="7" s="1"/>
  <c r="AW15" i="6"/>
  <c r="BG31" i="7" s="1"/>
  <c r="AG15" i="6"/>
  <c r="AQ31" i="7" s="1"/>
  <c r="Q15" i="6"/>
  <c r="AA31" i="7" s="1"/>
  <c r="AT15" i="6"/>
  <c r="BD31" i="7" s="1"/>
  <c r="AD15" i="6"/>
  <c r="AN31" i="7" s="1"/>
  <c r="N15" i="6"/>
  <c r="X31" i="7" s="1"/>
  <c r="AS15" i="6"/>
  <c r="BC31" i="7" s="1"/>
  <c r="AC15" i="6"/>
  <c r="AM31" i="7" s="1"/>
  <c r="J15" i="6"/>
  <c r="T31" i="7" s="1"/>
  <c r="K15" i="6"/>
  <c r="U31" i="7" s="1"/>
  <c r="AO15" i="6"/>
  <c r="AY31" i="7" s="1"/>
  <c r="Y15" i="6"/>
  <c r="AI31" i="7" s="1"/>
  <c r="BA15" i="6"/>
  <c r="BK31" i="7" s="1"/>
  <c r="AK15" i="6"/>
  <c r="AU31" i="7" s="1"/>
  <c r="AV15" i="6"/>
  <c r="BF31" i="7" s="1"/>
  <c r="AN15" i="6"/>
  <c r="AX31" i="7" s="1"/>
  <c r="AF15" i="6"/>
  <c r="AP31" i="7" s="1"/>
  <c r="X15" i="6"/>
  <c r="AH31" i="7" s="1"/>
  <c r="P15" i="6"/>
  <c r="Z31" i="7" s="1"/>
  <c r="AU15" i="6"/>
  <c r="BE31" i="7" s="1"/>
  <c r="AM15" i="6"/>
  <c r="AW31" i="7" s="1"/>
  <c r="AE15" i="6"/>
  <c r="AO31" i="7" s="1"/>
  <c r="W15" i="6"/>
  <c r="AG31" i="7" s="1"/>
  <c r="O15" i="6"/>
  <c r="Y31" i="7" s="1"/>
  <c r="M15" i="6"/>
  <c r="W31" i="7" s="1"/>
  <c r="AZ15" i="6"/>
  <c r="BJ31" i="7" s="1"/>
  <c r="AR15" i="6"/>
  <c r="BB31" i="7" s="1"/>
  <c r="AJ15" i="6"/>
  <c r="AT31" i="7" s="1"/>
  <c r="AB15" i="6"/>
  <c r="AL31" i="7" s="1"/>
  <c r="T15" i="6"/>
  <c r="AD31" i="7" s="1"/>
  <c r="L15" i="6"/>
  <c r="V31" i="7" s="1"/>
  <c r="AY15" i="6"/>
  <c r="BI31" i="7" s="1"/>
  <c r="AQ15" i="6"/>
  <c r="BA31" i="7" s="1"/>
  <c r="AI15" i="6"/>
  <c r="AS31" i="7" s="1"/>
  <c r="AA15" i="6"/>
  <c r="AK31" i="7" s="1"/>
  <c r="S15" i="6"/>
  <c r="AC31" i="7" s="1"/>
  <c r="U15" i="6"/>
  <c r="AE31" i="7" s="1"/>
  <c r="K14" i="6"/>
  <c r="U30" i="7" s="1"/>
  <c r="AX14" i="6"/>
  <c r="BH30" i="7" s="1"/>
  <c r="AP14" i="6"/>
  <c r="AZ30" i="7" s="1"/>
  <c r="AH14" i="6"/>
  <c r="AR30" i="7" s="1"/>
  <c r="Z14" i="6"/>
  <c r="AJ30" i="7" s="1"/>
  <c r="R14" i="6"/>
  <c r="AB30" i="7" s="1"/>
  <c r="AW14" i="6"/>
  <c r="BG30" i="7" s="1"/>
  <c r="AO14" i="6"/>
  <c r="AY30" i="7" s="1"/>
  <c r="AG14" i="6"/>
  <c r="AQ30" i="7" s="1"/>
  <c r="Y14" i="6"/>
  <c r="AI30" i="7" s="1"/>
  <c r="Q14" i="6"/>
  <c r="AA30" i="7" s="1"/>
  <c r="I14" i="6"/>
  <c r="S30" i="7" s="1"/>
  <c r="AV14" i="6"/>
  <c r="BF30" i="7" s="1"/>
  <c r="AN14" i="6"/>
  <c r="AX30" i="7" s="1"/>
  <c r="AF14" i="6"/>
  <c r="AP30" i="7" s="1"/>
  <c r="X14" i="6"/>
  <c r="AH30" i="7" s="1"/>
  <c r="P14" i="6"/>
  <c r="Z30" i="7" s="1"/>
  <c r="J14" i="6"/>
  <c r="T30" i="7" s="1"/>
  <c r="AU14" i="6"/>
  <c r="BE30" i="7" s="1"/>
  <c r="AM14" i="6"/>
  <c r="AW30" i="7" s="1"/>
  <c r="AE14" i="6"/>
  <c r="AO30" i="7" s="1"/>
  <c r="W14" i="6"/>
  <c r="AG30" i="7" s="1"/>
  <c r="O14" i="6"/>
  <c r="Y30" i="7" s="1"/>
  <c r="AT14" i="6"/>
  <c r="BD30" i="7" s="1"/>
  <c r="AL14" i="6"/>
  <c r="AV30" i="7" s="1"/>
  <c r="AD14" i="6"/>
  <c r="AN30" i="7" s="1"/>
  <c r="V14" i="6"/>
  <c r="AF30" i="7" s="1"/>
  <c r="N14" i="6"/>
  <c r="X30" i="7" s="1"/>
  <c r="H14" i="6"/>
  <c r="R30" i="7" s="1"/>
  <c r="BA14" i="6"/>
  <c r="BK30" i="7" s="1"/>
  <c r="AS14" i="6"/>
  <c r="BC30" i="7" s="1"/>
  <c r="AK14" i="6"/>
  <c r="AU30" i="7" s="1"/>
  <c r="AC14" i="6"/>
  <c r="AM30" i="7" s="1"/>
  <c r="U14" i="6"/>
  <c r="AE30" i="7" s="1"/>
  <c r="M14" i="6"/>
  <c r="W30" i="7" s="1"/>
  <c r="AZ14" i="6"/>
  <c r="BJ30" i="7" s="1"/>
  <c r="AR14" i="6"/>
  <c r="BB30" i="7" s="1"/>
  <c r="AJ14" i="6"/>
  <c r="AT30" i="7" s="1"/>
  <c r="AB14" i="6"/>
  <c r="AL30" i="7" s="1"/>
  <c r="T14" i="6"/>
  <c r="AD30" i="7" s="1"/>
  <c r="L14" i="6"/>
  <c r="V30" i="7" s="1"/>
  <c r="AY14" i="6"/>
  <c r="BI30" i="7" s="1"/>
  <c r="AQ14" i="6"/>
  <c r="BA30" i="7" s="1"/>
  <c r="AI14" i="6"/>
  <c r="AS30" i="7" s="1"/>
  <c r="AA14" i="6"/>
  <c r="AK30" i="7" s="1"/>
  <c r="S14" i="6"/>
  <c r="AC30" i="7" s="1"/>
  <c r="J11" i="6"/>
  <c r="T27" i="7" s="1"/>
  <c r="Q11" i="6"/>
  <c r="AA27" i="7" s="1"/>
  <c r="S11" i="6"/>
  <c r="AC27" i="7" s="1"/>
  <c r="U11" i="6"/>
  <c r="AE27" i="7" s="1"/>
  <c r="Y11" i="6"/>
  <c r="AI27" i="7" s="1"/>
  <c r="AA11" i="6"/>
  <c r="AK27" i="7" s="1"/>
  <c r="AC11" i="6"/>
  <c r="AM27" i="7" s="1"/>
  <c r="AG11" i="6"/>
  <c r="AQ27" i="7" s="1"/>
  <c r="AI11" i="6"/>
  <c r="AS27" i="7" s="1"/>
  <c r="AK11" i="6"/>
  <c r="AU27" i="7" s="1"/>
  <c r="AO11" i="6"/>
  <c r="AY27" i="7" s="1"/>
  <c r="AQ11" i="6"/>
  <c r="BA27" i="7" s="1"/>
  <c r="AS11" i="6"/>
  <c r="BC27" i="7" s="1"/>
  <c r="AW11" i="6"/>
  <c r="BG27" i="7" s="1"/>
  <c r="AY11" i="6"/>
  <c r="BI27" i="7" s="1"/>
  <c r="BA11" i="6"/>
  <c r="BK27" i="7" s="1"/>
  <c r="H11" i="6"/>
  <c r="R27" i="7" s="1"/>
  <c r="AV11" i="6"/>
  <c r="BF27" i="7" s="1"/>
  <c r="AN11" i="6"/>
  <c r="AX27" i="7" s="1"/>
  <c r="AF11" i="6"/>
  <c r="AP27" i="7" s="1"/>
  <c r="X11" i="6"/>
  <c r="AH27" i="7" s="1"/>
  <c r="P11" i="6"/>
  <c r="Z27" i="7" s="1"/>
  <c r="AU11" i="6"/>
  <c r="BE27" i="7" s="1"/>
  <c r="AM11" i="6"/>
  <c r="AW27" i="7" s="1"/>
  <c r="AE11" i="6"/>
  <c r="AO27" i="7" s="1"/>
  <c r="W11" i="6"/>
  <c r="AG27" i="7" s="1"/>
  <c r="O11" i="6"/>
  <c r="Y27" i="7" s="1"/>
  <c r="AT11" i="6"/>
  <c r="BD27" i="7" s="1"/>
  <c r="AL11" i="6"/>
  <c r="AV27" i="7" s="1"/>
  <c r="AD11" i="6"/>
  <c r="AN27" i="7" s="1"/>
  <c r="V11" i="6"/>
  <c r="AF27" i="7" s="1"/>
  <c r="K11" i="6"/>
  <c r="U27" i="7" s="1"/>
  <c r="L11" i="6"/>
  <c r="V27" i="7" s="1"/>
  <c r="AZ11" i="6"/>
  <c r="BJ27" i="7" s="1"/>
  <c r="AR11" i="6"/>
  <c r="BB27" i="7" s="1"/>
  <c r="AJ11" i="6"/>
  <c r="AT27" i="7" s="1"/>
  <c r="AB11" i="6"/>
  <c r="AL27" i="7" s="1"/>
  <c r="T11" i="6"/>
  <c r="AD27" i="7" s="1"/>
  <c r="I11" i="6"/>
  <c r="S27" i="7" s="1"/>
  <c r="AX11" i="6"/>
  <c r="BH27" i="7" s="1"/>
  <c r="AP11" i="6"/>
  <c r="AZ27" i="7" s="1"/>
  <c r="AH11" i="6"/>
  <c r="AR27" i="7" s="1"/>
  <c r="Z11" i="6"/>
  <c r="AJ27" i="7" s="1"/>
  <c r="N11" i="6"/>
  <c r="X27" i="7" s="1"/>
  <c r="M11" i="6"/>
  <c r="W27" i="7" s="1"/>
  <c r="R11" i="6"/>
  <c r="AB27" i="7" s="1"/>
  <c r="BO85" i="8"/>
  <c r="BO83" i="8"/>
  <c r="BO215" i="8"/>
  <c r="BK47" i="7" s="1"/>
  <c r="BO89" i="8"/>
  <c r="BO91" i="8"/>
  <c r="BO86" i="8"/>
  <c r="BO90" i="8"/>
  <c r="BO88" i="8"/>
  <c r="BO216" i="8"/>
  <c r="BB28" i="6" s="1"/>
  <c r="BB45" i="6" s="1"/>
  <c r="BK135" i="7" s="1"/>
  <c r="BO211" i="8"/>
  <c r="BK43" i="7" s="1"/>
  <c r="BO209" i="8"/>
  <c r="BK41" i="7" s="1"/>
  <c r="BK253" i="7"/>
  <c r="BO214" i="8"/>
  <c r="BB26" i="6" s="1"/>
  <c r="BB43" i="6" s="1"/>
  <c r="BK133" i="7" s="1"/>
  <c r="BO210" i="8"/>
  <c r="BK15" i="7"/>
  <c r="BO219" i="8"/>
  <c r="BO217" i="8"/>
  <c r="BJ49" i="7"/>
  <c r="BA22" i="6"/>
  <c r="BA39" i="6" s="1"/>
  <c r="BJ129" i="7" s="1"/>
  <c r="BJ42" i="7"/>
  <c r="BA31" i="6"/>
  <c r="BA48" i="6" s="1"/>
  <c r="BJ138" i="7" s="1"/>
  <c r="BJ51" i="7"/>
  <c r="BA32" i="6"/>
  <c r="BA49" i="6" s="1"/>
  <c r="BJ139" i="7" s="1"/>
  <c r="BJ52" i="7"/>
  <c r="AX20" i="6"/>
  <c r="AX37" i="6" s="1"/>
  <c r="BG127" i="7" s="1"/>
  <c r="BG40" i="7"/>
  <c r="BA30" i="6"/>
  <c r="BA47" i="6" s="1"/>
  <c r="BJ137" i="7" s="1"/>
  <c r="BJ50" i="7"/>
  <c r="BK7" i="7"/>
  <c r="BA26" i="6"/>
  <c r="BA43" i="6" s="1"/>
  <c r="BJ133" i="7" s="1"/>
  <c r="BJ46" i="7"/>
  <c r="BA27" i="6"/>
  <c r="BJ47" i="7"/>
  <c r="BA28" i="6"/>
  <c r="BA45" i="6" s="1"/>
  <c r="BJ135" i="7" s="1"/>
  <c r="BJ48" i="7"/>
  <c r="BA24" i="6"/>
  <c r="BA41" i="6" s="1"/>
  <c r="BJ131" i="7" s="1"/>
  <c r="BJ44" i="7"/>
  <c r="BA25" i="6"/>
  <c r="BA42" i="6" s="1"/>
  <c r="BJ132" i="7" s="1"/>
  <c r="BJ45" i="7"/>
  <c r="BO218" i="8"/>
  <c r="BO110" i="8"/>
  <c r="BH90" i="7"/>
  <c r="BH74" i="7"/>
  <c r="BA21" i="6"/>
  <c r="BA38" i="6" s="1"/>
  <c r="BJ128" i="7" s="1"/>
  <c r="BJ41" i="7"/>
  <c r="BO213" i="8"/>
  <c r="BJ43" i="7"/>
  <c r="BL170" i="8"/>
  <c r="BM155" i="8"/>
  <c r="BL208" i="8"/>
  <c r="BO212" i="8"/>
  <c r="G144" i="6"/>
  <c r="H144" i="6"/>
  <c r="I144" i="6"/>
  <c r="J144" i="6"/>
  <c r="K144" i="6"/>
  <c r="L144" i="6"/>
  <c r="O144" i="6"/>
  <c r="P144" i="6"/>
  <c r="Q144" i="6"/>
  <c r="R144" i="6"/>
  <c r="S144" i="6"/>
  <c r="BJ63" i="7" l="1"/>
  <c r="BA44" i="6"/>
  <c r="BJ134" i="7" s="1"/>
  <c r="BJ60" i="7"/>
  <c r="BJ61" i="7"/>
  <c r="BJ62" i="7"/>
  <c r="BJ58" i="7"/>
  <c r="BK64" i="7"/>
  <c r="BG56" i="7"/>
  <c r="BK62" i="7"/>
  <c r="BJ57" i="7"/>
  <c r="BJ64" i="7"/>
  <c r="BJ67" i="7"/>
  <c r="BJ66" i="7"/>
  <c r="BJ68" i="7"/>
  <c r="BB27" i="6"/>
  <c r="BO94" i="8"/>
  <c r="BK48" i="7"/>
  <c r="BB21" i="6"/>
  <c r="BB38" i="6" s="1"/>
  <c r="BK128" i="7" s="1"/>
  <c r="BK46" i="7"/>
  <c r="BO220" i="8"/>
  <c r="BB30" i="6"/>
  <c r="BB47" i="6" s="1"/>
  <c r="BK137" i="7" s="1"/>
  <c r="BM137" i="7" s="1"/>
  <c r="BK50" i="7"/>
  <c r="BK49" i="7"/>
  <c r="BB24" i="6"/>
  <c r="BB41" i="6" s="1"/>
  <c r="BK131" i="7" s="1"/>
  <c r="BK44" i="7"/>
  <c r="AY20" i="6"/>
  <c r="AY37" i="6" s="1"/>
  <c r="BH127" i="7" s="1"/>
  <c r="BH40" i="7"/>
  <c r="BB31" i="6"/>
  <c r="BB48" i="6" s="1"/>
  <c r="BK138" i="7" s="1"/>
  <c r="BK51" i="7"/>
  <c r="BI90" i="7"/>
  <c r="BI74" i="7"/>
  <c r="BB25" i="6"/>
  <c r="BB42" i="6" s="1"/>
  <c r="BK132" i="7" s="1"/>
  <c r="BK45" i="7"/>
  <c r="BB22" i="6"/>
  <c r="BB39" i="6" s="1"/>
  <c r="BK129" i="7" s="1"/>
  <c r="BK42" i="7"/>
  <c r="BM170" i="8"/>
  <c r="BN155" i="8"/>
  <c r="BM208" i="8"/>
  <c r="M144" i="6"/>
  <c r="N144" i="6"/>
  <c r="BK63" i="7" l="1"/>
  <c r="BB44" i="6"/>
  <c r="BK134" i="7" s="1"/>
  <c r="BK67" i="7"/>
  <c r="BK66" i="7"/>
  <c r="BH56" i="7"/>
  <c r="BK61" i="7"/>
  <c r="BK58" i="7"/>
  <c r="BK57" i="7"/>
  <c r="BK60" i="7"/>
  <c r="BJ90" i="7"/>
  <c r="BJ74" i="7"/>
  <c r="AZ20" i="6"/>
  <c r="AZ37" i="6" s="1"/>
  <c r="BI127" i="7" s="1"/>
  <c r="BI40" i="7"/>
  <c r="BB32" i="6"/>
  <c r="BB49" i="6" s="1"/>
  <c r="BK139" i="7" s="1"/>
  <c r="BK52" i="7"/>
  <c r="BN170" i="8"/>
  <c r="BO155" i="8"/>
  <c r="BN208" i="8"/>
  <c r="N164" i="6"/>
  <c r="O164" i="6" s="1"/>
  <c r="P164" i="6" s="1"/>
  <c r="Q164" i="6" s="1"/>
  <c r="R164" i="6" s="1"/>
  <c r="S164" i="6" s="1"/>
  <c r="T164" i="6" s="1"/>
  <c r="U164" i="6" s="1"/>
  <c r="V164" i="6" s="1"/>
  <c r="W164" i="6" s="1"/>
  <c r="X164" i="6" s="1"/>
  <c r="Y164" i="6" s="1"/>
  <c r="Z164" i="6" s="1"/>
  <c r="AA164" i="6" s="1"/>
  <c r="AB164" i="6" s="1"/>
  <c r="AC164" i="6" s="1"/>
  <c r="AD164" i="6" s="1"/>
  <c r="AE164" i="6" s="1"/>
  <c r="AF164" i="6" s="1"/>
  <c r="AG164" i="6" s="1"/>
  <c r="AH164" i="6" s="1"/>
  <c r="AI164" i="6" s="1"/>
  <c r="AJ164" i="6" s="1"/>
  <c r="AK164" i="6" s="1"/>
  <c r="AL164" i="6" s="1"/>
  <c r="AM164" i="6" s="1"/>
  <c r="AN164" i="6" s="1"/>
  <c r="AO164" i="6" s="1"/>
  <c r="AP164" i="6" s="1"/>
  <c r="AQ164" i="6" s="1"/>
  <c r="AR164" i="6" s="1"/>
  <c r="AS164" i="6" s="1"/>
  <c r="AT164" i="6" s="1"/>
  <c r="AU164" i="6" s="1"/>
  <c r="AV164" i="6" s="1"/>
  <c r="AW164" i="6" s="1"/>
  <c r="AX164" i="6" s="1"/>
  <c r="AY164" i="6" s="1"/>
  <c r="AZ164" i="6" s="1"/>
  <c r="BA164" i="6" s="1"/>
  <c r="BB164" i="6" s="1"/>
  <c r="G162" i="6"/>
  <c r="H162" i="6"/>
  <c r="I162" i="6"/>
  <c r="N341" i="7" s="1"/>
  <c r="J162" i="6"/>
  <c r="K162" i="6"/>
  <c r="L162" i="6"/>
  <c r="M162" i="6"/>
  <c r="N162" i="6"/>
  <c r="O341" i="7" s="1"/>
  <c r="O162" i="6"/>
  <c r="P162" i="6"/>
  <c r="Q162" i="6"/>
  <c r="R162" i="6"/>
  <c r="S162" i="6"/>
  <c r="G163" i="6"/>
  <c r="H163" i="6"/>
  <c r="I163" i="6"/>
  <c r="N344" i="7" s="1"/>
  <c r="J163" i="6"/>
  <c r="K163" i="6"/>
  <c r="L163" i="6"/>
  <c r="M163" i="6"/>
  <c r="N163" i="6"/>
  <c r="O344" i="7" s="1"/>
  <c r="O163" i="6"/>
  <c r="P163" i="6"/>
  <c r="Q163" i="6"/>
  <c r="R163" i="6"/>
  <c r="S163" i="6"/>
  <c r="BK68" i="7" l="1"/>
  <c r="BI56" i="7"/>
  <c r="BA20" i="6"/>
  <c r="BA37" i="6" s="1"/>
  <c r="BJ127" i="7" s="1"/>
  <c r="BJ40" i="7"/>
  <c r="BK90" i="7"/>
  <c r="BK74" i="7"/>
  <c r="BO170" i="8"/>
  <c r="BO208" i="8"/>
  <c r="BJ56" i="7" l="1"/>
  <c r="BB20" i="6"/>
  <c r="BB37" i="6" s="1"/>
  <c r="BK127" i="7" s="1"/>
  <c r="BK40" i="7"/>
  <c r="F20" i="3"/>
  <c r="P211" i="7" s="1"/>
  <c r="F19" i="3"/>
  <c r="F18" i="3"/>
  <c r="F17" i="3"/>
  <c r="F16" i="3"/>
  <c r="F15" i="3"/>
  <c r="F14" i="3"/>
  <c r="F13" i="3"/>
  <c r="F12" i="3"/>
  <c r="F11" i="3"/>
  <c r="F10" i="3"/>
  <c r="F9" i="3"/>
  <c r="F8" i="3"/>
  <c r="F7" i="3"/>
  <c r="F6" i="3"/>
  <c r="BF71" i="3"/>
  <c r="O71" i="3" s="1"/>
  <c r="P71" i="3" s="1"/>
  <c r="Q71" i="3" s="1"/>
  <c r="R71" i="3" s="1"/>
  <c r="S71" i="3" s="1"/>
  <c r="T71" i="3" s="1"/>
  <c r="U71" i="3" s="1"/>
  <c r="V71" i="3" s="1"/>
  <c r="W71" i="3" s="1"/>
  <c r="X71" i="3" s="1"/>
  <c r="Y71" i="3" s="1"/>
  <c r="Z71" i="3" s="1"/>
  <c r="AA71" i="3" s="1"/>
  <c r="AB71" i="3" s="1"/>
  <c r="AC71" i="3" s="1"/>
  <c r="AD71" i="3" s="1"/>
  <c r="AE71" i="3" s="1"/>
  <c r="AF71" i="3" s="1"/>
  <c r="AG71" i="3" s="1"/>
  <c r="AH71" i="3" s="1"/>
  <c r="AI71" i="3" s="1"/>
  <c r="AJ71" i="3" s="1"/>
  <c r="AK71" i="3" s="1"/>
  <c r="AL71" i="3" s="1"/>
  <c r="AM71" i="3" s="1"/>
  <c r="AN71" i="3" s="1"/>
  <c r="AO71" i="3" s="1"/>
  <c r="AP71" i="3" s="1"/>
  <c r="AQ71" i="3" s="1"/>
  <c r="AR71" i="3" s="1"/>
  <c r="AS71" i="3" s="1"/>
  <c r="AT71" i="3" s="1"/>
  <c r="AU71" i="3" s="1"/>
  <c r="AV71" i="3" s="1"/>
  <c r="AW71" i="3" s="1"/>
  <c r="AX71" i="3" s="1"/>
  <c r="AY71" i="3" s="1"/>
  <c r="AZ71" i="3" s="1"/>
  <c r="BA71" i="3" s="1"/>
  <c r="BB71" i="3" s="1"/>
  <c r="BF70" i="3"/>
  <c r="O70" i="3" s="1"/>
  <c r="P70" i="3" s="1"/>
  <c r="Q70" i="3" s="1"/>
  <c r="R70" i="3" s="1"/>
  <c r="S70" i="3" s="1"/>
  <c r="T70" i="3" s="1"/>
  <c r="U70" i="3" s="1"/>
  <c r="V70" i="3" s="1"/>
  <c r="W70" i="3" s="1"/>
  <c r="X70" i="3" s="1"/>
  <c r="Y70" i="3" s="1"/>
  <c r="Z70" i="3" s="1"/>
  <c r="AA70" i="3" s="1"/>
  <c r="AB70" i="3" s="1"/>
  <c r="AC70" i="3" s="1"/>
  <c r="AD70" i="3" s="1"/>
  <c r="AE70" i="3" s="1"/>
  <c r="AF70" i="3" s="1"/>
  <c r="AG70" i="3" s="1"/>
  <c r="AH70" i="3" s="1"/>
  <c r="AI70" i="3" s="1"/>
  <c r="AJ70" i="3" s="1"/>
  <c r="AK70" i="3" s="1"/>
  <c r="AL70" i="3" s="1"/>
  <c r="AM70" i="3" s="1"/>
  <c r="AN70" i="3" s="1"/>
  <c r="AO70" i="3" s="1"/>
  <c r="AP70" i="3" s="1"/>
  <c r="AQ70" i="3" s="1"/>
  <c r="AR70" i="3" s="1"/>
  <c r="AS70" i="3" s="1"/>
  <c r="AT70" i="3" s="1"/>
  <c r="AU70" i="3" s="1"/>
  <c r="AV70" i="3" s="1"/>
  <c r="AW70" i="3" s="1"/>
  <c r="AX70" i="3" s="1"/>
  <c r="AY70" i="3" s="1"/>
  <c r="AZ70" i="3" s="1"/>
  <c r="BA70" i="3" s="1"/>
  <c r="BB70" i="3" s="1"/>
  <c r="O69" i="3"/>
  <c r="P69" i="3" s="1"/>
  <c r="Q69" i="3" s="1"/>
  <c r="R69" i="3" s="1"/>
  <c r="S69" i="3" s="1"/>
  <c r="T69" i="3" s="1"/>
  <c r="U69" i="3" s="1"/>
  <c r="V69" i="3" s="1"/>
  <c r="W69" i="3" s="1"/>
  <c r="X69" i="3" s="1"/>
  <c r="Y69" i="3" s="1"/>
  <c r="Z69" i="3" s="1"/>
  <c r="AA69" i="3" s="1"/>
  <c r="AB69" i="3" s="1"/>
  <c r="AC69" i="3" s="1"/>
  <c r="AD69" i="3" s="1"/>
  <c r="AE69" i="3" s="1"/>
  <c r="AF69" i="3" s="1"/>
  <c r="AG69" i="3" s="1"/>
  <c r="AH69" i="3" s="1"/>
  <c r="AI69" i="3" s="1"/>
  <c r="AJ69" i="3" s="1"/>
  <c r="AK69" i="3" s="1"/>
  <c r="AL69" i="3" s="1"/>
  <c r="AM69" i="3" s="1"/>
  <c r="AN69" i="3" s="1"/>
  <c r="AO69" i="3" s="1"/>
  <c r="AP69" i="3" s="1"/>
  <c r="AQ69" i="3" s="1"/>
  <c r="AR69" i="3" s="1"/>
  <c r="AS69" i="3" s="1"/>
  <c r="AT69" i="3" s="1"/>
  <c r="AU69" i="3" s="1"/>
  <c r="AV69" i="3" s="1"/>
  <c r="AW69" i="3" s="1"/>
  <c r="AX69" i="3" s="1"/>
  <c r="AY69" i="3" s="1"/>
  <c r="AZ69" i="3" s="1"/>
  <c r="BA69" i="3" s="1"/>
  <c r="BB69" i="3" s="1"/>
  <c r="BK56" i="7" l="1"/>
  <c r="G10" i="3"/>
  <c r="P201" i="7"/>
  <c r="G11" i="3"/>
  <c r="P202" i="7"/>
  <c r="G12" i="3"/>
  <c r="P203" i="7"/>
  <c r="G13" i="3"/>
  <c r="P204" i="7"/>
  <c r="P200" i="7"/>
  <c r="G18" i="3"/>
  <c r="P209" i="7"/>
  <c r="P210" i="7"/>
  <c r="G6" i="3"/>
  <c r="P197" i="7"/>
  <c r="G14" i="3"/>
  <c r="P205" i="7"/>
  <c r="G7" i="3"/>
  <c r="P198" i="7"/>
  <c r="G15" i="3"/>
  <c r="P206" i="7"/>
  <c r="G17" i="3"/>
  <c r="P208" i="7"/>
  <c r="P199" i="7"/>
  <c r="G16" i="3"/>
  <c r="P207" i="7"/>
  <c r="G19" i="3"/>
  <c r="G117" i="6" s="1"/>
  <c r="Q178" i="7" s="1"/>
  <c r="G20" i="3"/>
  <c r="G118" i="6" s="1"/>
  <c r="Q179" i="7" s="1"/>
  <c r="G8" i="3"/>
  <c r="G106" i="6" s="1"/>
  <c r="Q167" i="7" s="1"/>
  <c r="G9" i="3"/>
  <c r="G107" i="6" s="1"/>
  <c r="Q168" i="7" s="1"/>
  <c r="T58" i="3"/>
  <c r="U58" i="3" s="1"/>
  <c r="V58" i="3" s="1"/>
  <c r="W58" i="3" s="1"/>
  <c r="X58" i="3" s="1"/>
  <c r="Y58" i="3" s="1"/>
  <c r="Z58" i="3" s="1"/>
  <c r="AA58" i="3" s="1"/>
  <c r="AB58" i="3" s="1"/>
  <c r="AC58" i="3" s="1"/>
  <c r="AD58" i="3" s="1"/>
  <c r="AE58" i="3" s="1"/>
  <c r="AF58" i="3" s="1"/>
  <c r="AG58" i="3" s="1"/>
  <c r="AH58" i="3" s="1"/>
  <c r="AI58" i="3" s="1"/>
  <c r="AJ58" i="3" s="1"/>
  <c r="AK58" i="3" s="1"/>
  <c r="AL58" i="3" s="1"/>
  <c r="AM58" i="3" s="1"/>
  <c r="AN58" i="3" s="1"/>
  <c r="AO58" i="3" s="1"/>
  <c r="AP58" i="3" s="1"/>
  <c r="AQ58" i="3" s="1"/>
  <c r="AR58" i="3" s="1"/>
  <c r="AS58" i="3" s="1"/>
  <c r="AT58" i="3" s="1"/>
  <c r="AU58" i="3" s="1"/>
  <c r="AV58" i="3" s="1"/>
  <c r="AW58" i="3" s="1"/>
  <c r="AX58" i="3" s="1"/>
  <c r="AY58" i="3" s="1"/>
  <c r="AZ58" i="3" s="1"/>
  <c r="BA58" i="3" s="1"/>
  <c r="BB58" i="3" s="1"/>
  <c r="F18" i="1"/>
  <c r="F17" i="1"/>
  <c r="G15" i="1"/>
  <c r="F15" i="1"/>
  <c r="F20" i="1"/>
  <c r="F19" i="1"/>
  <c r="G18" i="1"/>
  <c r="G17" i="1"/>
  <c r="F8" i="1"/>
  <c r="F7" i="1"/>
  <c r="BO11" i="1"/>
  <c r="BP11" i="1"/>
  <c r="BQ11" i="1"/>
  <c r="BR11" i="1"/>
  <c r="BS11" i="1"/>
  <c r="BT11" i="1"/>
  <c r="BU11" i="1"/>
  <c r="BV11" i="1"/>
  <c r="BW11" i="1"/>
  <c r="BX11" i="1"/>
  <c r="BY11" i="1"/>
  <c r="BZ11" i="1"/>
  <c r="CA11" i="1"/>
  <c r="CB11" i="1"/>
  <c r="CC11" i="1"/>
  <c r="CD11" i="1"/>
  <c r="CE11" i="1"/>
  <c r="CF11" i="1"/>
  <c r="CG11" i="1"/>
  <c r="CH11" i="1"/>
  <c r="CI11" i="1"/>
  <c r="CJ11" i="1"/>
  <c r="CK11" i="1"/>
  <c r="CL11" i="1"/>
  <c r="CM11" i="1"/>
  <c r="CN11" i="1"/>
  <c r="CO11" i="1"/>
  <c r="CP11" i="1"/>
  <c r="CQ11" i="1"/>
  <c r="CR11" i="1"/>
  <c r="CS11" i="1"/>
  <c r="CT11" i="1"/>
  <c r="CU11" i="1"/>
  <c r="CV11" i="1"/>
  <c r="CW11" i="1"/>
  <c r="CX11" i="1"/>
  <c r="CY11" i="1"/>
  <c r="CZ11" i="1"/>
  <c r="DA11" i="1"/>
  <c r="DB11" i="1"/>
  <c r="DC11" i="1"/>
  <c r="DD11" i="1"/>
  <c r="DE11" i="1"/>
  <c r="DF11" i="1"/>
  <c r="DG11" i="1"/>
  <c r="DH11" i="1"/>
  <c r="BN11" i="1"/>
  <c r="BM11" i="1"/>
  <c r="BL11" i="1"/>
  <c r="F13" i="1" s="1"/>
  <c r="G13" i="1" s="1"/>
  <c r="G4" i="1" s="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T19" i="1"/>
  <c r="BF14" i="1"/>
  <c r="BF13" i="1"/>
  <c r="F32" i="1"/>
  <c r="G32" i="1" s="1"/>
  <c r="H32" i="1" s="1"/>
  <c r="I32" i="1" s="1"/>
  <c r="J32" i="1" s="1"/>
  <c r="K32" i="1" s="1"/>
  <c r="L32" i="1" s="1"/>
  <c r="M32" i="1" s="1"/>
  <c r="N32" i="1" s="1"/>
  <c r="O32" i="1" s="1"/>
  <c r="P32" i="1" s="1"/>
  <c r="Q32" i="1" s="1"/>
  <c r="F33" i="1"/>
  <c r="G33" i="1" s="1"/>
  <c r="H33" i="1" s="1"/>
  <c r="I33" i="1" s="1"/>
  <c r="J33" i="1" s="1"/>
  <c r="K33" i="1" s="1"/>
  <c r="L33" i="1" s="1"/>
  <c r="M33" i="1" s="1"/>
  <c r="N33" i="1" s="1"/>
  <c r="O33" i="1" s="1"/>
  <c r="P33" i="1" s="1"/>
  <c r="Q33" i="1" s="1"/>
  <c r="F34" i="1"/>
  <c r="G34" i="1" s="1"/>
  <c r="H34" i="1" s="1"/>
  <c r="I34" i="1" s="1"/>
  <c r="J34" i="1" s="1"/>
  <c r="K34" i="1" s="1"/>
  <c r="L34" i="1" s="1"/>
  <c r="M34" i="1" s="1"/>
  <c r="N34" i="1" s="1"/>
  <c r="O34" i="1" s="1"/>
  <c r="P34" i="1" s="1"/>
  <c r="Q34" i="1" s="1"/>
  <c r="F35" i="1"/>
  <c r="G35" i="1" s="1"/>
  <c r="H35" i="1" s="1"/>
  <c r="I35" i="1" s="1"/>
  <c r="J35" i="1" s="1"/>
  <c r="K35" i="1" s="1"/>
  <c r="L35" i="1" s="1"/>
  <c r="M35" i="1" s="1"/>
  <c r="N35" i="1" s="1"/>
  <c r="O35" i="1" s="1"/>
  <c r="P35" i="1" s="1"/>
  <c r="Q35" i="1" s="1"/>
  <c r="F36" i="1"/>
  <c r="G36" i="1" s="1"/>
  <c r="H36" i="1" s="1"/>
  <c r="I36" i="1" s="1"/>
  <c r="J36" i="1" s="1"/>
  <c r="K36" i="1" s="1"/>
  <c r="L36" i="1" s="1"/>
  <c r="M36" i="1" s="1"/>
  <c r="N36" i="1" s="1"/>
  <c r="O36" i="1" s="1"/>
  <c r="P36" i="1" s="1"/>
  <c r="Q36" i="1" s="1"/>
  <c r="F37" i="1"/>
  <c r="G37" i="1" s="1"/>
  <c r="H37" i="1" s="1"/>
  <c r="I37" i="1" s="1"/>
  <c r="J37" i="1" s="1"/>
  <c r="K37" i="1" s="1"/>
  <c r="L37" i="1" s="1"/>
  <c r="M37" i="1" s="1"/>
  <c r="N37" i="1" s="1"/>
  <c r="O37" i="1" s="1"/>
  <c r="P37" i="1" s="1"/>
  <c r="Q37" i="1" s="1"/>
  <c r="F38" i="1"/>
  <c r="G38" i="1" s="1"/>
  <c r="H38" i="1" s="1"/>
  <c r="I38" i="1" s="1"/>
  <c r="J38" i="1" s="1"/>
  <c r="K38" i="1" s="1"/>
  <c r="L38" i="1" s="1"/>
  <c r="M38" i="1" s="1"/>
  <c r="N38" i="1" s="1"/>
  <c r="O38" i="1" s="1"/>
  <c r="P38" i="1" s="1"/>
  <c r="Q38" i="1" s="1"/>
  <c r="F39" i="1"/>
  <c r="G39" i="1" s="1"/>
  <c r="H39" i="1" s="1"/>
  <c r="I39" i="1" s="1"/>
  <c r="J39" i="1" s="1"/>
  <c r="K39" i="1" s="1"/>
  <c r="L39" i="1" s="1"/>
  <c r="M39" i="1" s="1"/>
  <c r="N39" i="1" s="1"/>
  <c r="O39" i="1" s="1"/>
  <c r="P39" i="1" s="1"/>
  <c r="Q39" i="1" s="1"/>
  <c r="F40" i="1"/>
  <c r="G40" i="1" s="1"/>
  <c r="H40" i="1" s="1"/>
  <c r="I40" i="1" s="1"/>
  <c r="J40" i="1" s="1"/>
  <c r="K40" i="1" s="1"/>
  <c r="L40" i="1" s="1"/>
  <c r="M40" i="1" s="1"/>
  <c r="N40" i="1" s="1"/>
  <c r="O40" i="1" s="1"/>
  <c r="P40" i="1" s="1"/>
  <c r="Q40" i="1" s="1"/>
  <c r="F41" i="1"/>
  <c r="G41" i="1" s="1"/>
  <c r="H41" i="1" s="1"/>
  <c r="I41" i="1" s="1"/>
  <c r="J41" i="1" s="1"/>
  <c r="K41" i="1" s="1"/>
  <c r="L41" i="1" s="1"/>
  <c r="M41" i="1" s="1"/>
  <c r="N41" i="1" s="1"/>
  <c r="O41" i="1" s="1"/>
  <c r="P41" i="1" s="1"/>
  <c r="Q41" i="1" s="1"/>
  <c r="F42" i="1"/>
  <c r="G42" i="1" s="1"/>
  <c r="H42" i="1" s="1"/>
  <c r="I42" i="1" s="1"/>
  <c r="J42" i="1" s="1"/>
  <c r="K42" i="1" s="1"/>
  <c r="L42" i="1" s="1"/>
  <c r="M42" i="1" s="1"/>
  <c r="N42" i="1" s="1"/>
  <c r="O42" i="1" s="1"/>
  <c r="P42" i="1" s="1"/>
  <c r="Q42" i="1" s="1"/>
  <c r="F43" i="1"/>
  <c r="G43" i="1" s="1"/>
  <c r="H43" i="1" s="1"/>
  <c r="I43" i="1" s="1"/>
  <c r="J43" i="1" s="1"/>
  <c r="K43" i="1" s="1"/>
  <c r="L43" i="1" s="1"/>
  <c r="M43" i="1" s="1"/>
  <c r="N43" i="1" s="1"/>
  <c r="O43" i="1" s="1"/>
  <c r="P43" i="1" s="1"/>
  <c r="Q43" i="1" s="1"/>
  <c r="F44" i="1"/>
  <c r="G44" i="1" s="1"/>
  <c r="H44" i="1" s="1"/>
  <c r="I44" i="1" s="1"/>
  <c r="J44" i="1" s="1"/>
  <c r="K44" i="1" s="1"/>
  <c r="L44" i="1" s="1"/>
  <c r="M44" i="1" s="1"/>
  <c r="N44" i="1" s="1"/>
  <c r="O44" i="1" s="1"/>
  <c r="P44" i="1" s="1"/>
  <c r="Q44" i="1" s="1"/>
  <c r="F45" i="1"/>
  <c r="G45" i="1" s="1"/>
  <c r="H45" i="1" s="1"/>
  <c r="I45" i="1" s="1"/>
  <c r="J45" i="1" s="1"/>
  <c r="K45" i="1" s="1"/>
  <c r="L45" i="1" s="1"/>
  <c r="M45" i="1" s="1"/>
  <c r="N45" i="1" s="1"/>
  <c r="O45" i="1" s="1"/>
  <c r="P45" i="1" s="1"/>
  <c r="Q45" i="1" s="1"/>
  <c r="F46" i="1"/>
  <c r="G46" i="1" s="1"/>
  <c r="H46" i="1" s="1"/>
  <c r="I46" i="1" s="1"/>
  <c r="J46" i="1" s="1"/>
  <c r="K46" i="1" s="1"/>
  <c r="L46" i="1" s="1"/>
  <c r="M46" i="1" s="1"/>
  <c r="N46" i="1" s="1"/>
  <c r="O46" i="1" s="1"/>
  <c r="P46" i="1" s="1"/>
  <c r="Q46" i="1" s="1"/>
  <c r="Q200" i="7" l="1"/>
  <c r="Q184" i="7"/>
  <c r="Q199" i="7"/>
  <c r="Q183" i="7"/>
  <c r="Q211" i="7"/>
  <c r="Q195" i="7"/>
  <c r="Q210" i="7"/>
  <c r="Q194" i="7"/>
  <c r="H15" i="3"/>
  <c r="G113" i="6"/>
  <c r="Q174" i="7" s="1"/>
  <c r="H14" i="3"/>
  <c r="G112" i="6"/>
  <c r="Q173" i="7" s="1"/>
  <c r="H18" i="3"/>
  <c r="G116" i="6"/>
  <c r="Q177" i="7" s="1"/>
  <c r="H12" i="3"/>
  <c r="G110" i="6"/>
  <c r="Q171" i="7" s="1"/>
  <c r="H7" i="3"/>
  <c r="G105" i="6"/>
  <c r="Q166" i="7" s="1"/>
  <c r="H6" i="3"/>
  <c r="G104" i="6"/>
  <c r="Q165" i="7" s="1"/>
  <c r="H11" i="3"/>
  <c r="G109" i="6"/>
  <c r="Q170" i="7" s="1"/>
  <c r="H17" i="3"/>
  <c r="G115" i="6"/>
  <c r="Q176" i="7" s="1"/>
  <c r="H13" i="3"/>
  <c r="G111" i="6"/>
  <c r="Q172" i="7" s="1"/>
  <c r="BG14" i="1"/>
  <c r="G14" i="1" s="1"/>
  <c r="H14" i="1" s="1"/>
  <c r="I14" i="1" s="1"/>
  <c r="J14" i="1" s="1"/>
  <c r="K14" i="1" s="1"/>
  <c r="L14" i="1" s="1"/>
  <c r="M14" i="1" s="1"/>
  <c r="N14" i="1" s="1"/>
  <c r="O14" i="1" s="1"/>
  <c r="P14" i="1" s="1"/>
  <c r="Q14" i="1" s="1"/>
  <c r="R14" i="1" s="1"/>
  <c r="S14" i="1" s="1"/>
  <c r="T14" i="1" s="1"/>
  <c r="U14" i="1" s="1"/>
  <c r="V14" i="1" s="1"/>
  <c r="W14" i="1" s="1"/>
  <c r="X14" i="1" s="1"/>
  <c r="Y14" i="1" s="1"/>
  <c r="Z14" i="1" s="1"/>
  <c r="AA14" i="1" s="1"/>
  <c r="AB14" i="1" s="1"/>
  <c r="AC14" i="1" s="1"/>
  <c r="AD14" i="1" s="1"/>
  <c r="AE14" i="1" s="1"/>
  <c r="AF14" i="1" s="1"/>
  <c r="AG14" i="1" s="1"/>
  <c r="AH14" i="1" s="1"/>
  <c r="AI14" i="1" s="1"/>
  <c r="AJ14" i="1" s="1"/>
  <c r="AK14" i="1" s="1"/>
  <c r="AL14" i="1" s="1"/>
  <c r="AM14" i="1" s="1"/>
  <c r="AN14" i="1" s="1"/>
  <c r="AO14" i="1" s="1"/>
  <c r="AP14" i="1" s="1"/>
  <c r="AQ14" i="1" s="1"/>
  <c r="AR14" i="1" s="1"/>
  <c r="AS14" i="1" s="1"/>
  <c r="AT14" i="1" s="1"/>
  <c r="AU14" i="1" s="1"/>
  <c r="AV14" i="1" s="1"/>
  <c r="AW14" i="1" s="1"/>
  <c r="AX14" i="1" s="1"/>
  <c r="AY14" i="1" s="1"/>
  <c r="AZ14" i="1" s="1"/>
  <c r="BA14" i="1" s="1"/>
  <c r="BB14" i="1" s="1"/>
  <c r="H16" i="3"/>
  <c r="G114" i="6"/>
  <c r="Q175" i="7" s="1"/>
  <c r="H10" i="3"/>
  <c r="G108" i="6"/>
  <c r="Q169" i="7" s="1"/>
  <c r="H20" i="3"/>
  <c r="H118" i="6" s="1"/>
  <c r="R179" i="7" s="1"/>
  <c r="H19" i="3"/>
  <c r="H117" i="6" s="1"/>
  <c r="R178" i="7" s="1"/>
  <c r="H9" i="3"/>
  <c r="H107" i="6" s="1"/>
  <c r="R168" i="7" s="1"/>
  <c r="H8" i="3"/>
  <c r="H106" i="6" s="1"/>
  <c r="R167" i="7" s="1"/>
  <c r="H13" i="1"/>
  <c r="F16" i="1"/>
  <c r="G12" i="1"/>
  <c r="F4" i="1"/>
  <c r="F12" i="1" s="1"/>
  <c r="F9" i="1"/>
  <c r="G330" i="6"/>
  <c r="H330" i="6" s="1"/>
  <c r="I330" i="6" s="1"/>
  <c r="J330" i="6" s="1"/>
  <c r="K330" i="6" s="1"/>
  <c r="L330" i="6" s="1"/>
  <c r="M330" i="6" s="1"/>
  <c r="N330" i="6" s="1"/>
  <c r="O330" i="6" s="1"/>
  <c r="P330" i="6" s="1"/>
  <c r="Q330" i="6" s="1"/>
  <c r="R330" i="6" s="1"/>
  <c r="S330" i="6" s="1"/>
  <c r="T330" i="6" s="1"/>
  <c r="U330" i="6" s="1"/>
  <c r="V330" i="6" s="1"/>
  <c r="W330" i="6" s="1"/>
  <c r="X330" i="6" s="1"/>
  <c r="Y330" i="6" s="1"/>
  <c r="Z330" i="6" s="1"/>
  <c r="AA330" i="6" s="1"/>
  <c r="AB330" i="6" s="1"/>
  <c r="AC330" i="6" s="1"/>
  <c r="AD330" i="6" s="1"/>
  <c r="AE330" i="6" s="1"/>
  <c r="AF330" i="6" s="1"/>
  <c r="AG330" i="6" s="1"/>
  <c r="AH330" i="6" s="1"/>
  <c r="AI330" i="6" s="1"/>
  <c r="AJ330" i="6" s="1"/>
  <c r="AK330" i="6" s="1"/>
  <c r="AL330" i="6" s="1"/>
  <c r="AM330" i="6" s="1"/>
  <c r="AN330" i="6" s="1"/>
  <c r="AO330" i="6" s="1"/>
  <c r="AP330" i="6" s="1"/>
  <c r="AQ330" i="6" s="1"/>
  <c r="AR330" i="6" s="1"/>
  <c r="AS330" i="6" s="1"/>
  <c r="AT330" i="6" s="1"/>
  <c r="AU330" i="6" s="1"/>
  <c r="AV330" i="6" s="1"/>
  <c r="AW330" i="6" s="1"/>
  <c r="AX330" i="6" s="1"/>
  <c r="AY330" i="6" s="1"/>
  <c r="AZ330" i="6" s="1"/>
  <c r="BA330" i="6" s="1"/>
  <c r="BB330" i="6" s="1"/>
  <c r="G331" i="6"/>
  <c r="H331" i="6" s="1"/>
  <c r="I331" i="6" s="1"/>
  <c r="J331" i="6" s="1"/>
  <c r="K331" i="6" s="1"/>
  <c r="L331" i="6" s="1"/>
  <c r="M331" i="6" s="1"/>
  <c r="N331" i="6" s="1"/>
  <c r="O331" i="6" s="1"/>
  <c r="P331" i="6" s="1"/>
  <c r="Q331" i="6" s="1"/>
  <c r="R331" i="6" s="1"/>
  <c r="S331" i="6" s="1"/>
  <c r="T331" i="6" s="1"/>
  <c r="U331" i="6" s="1"/>
  <c r="V331" i="6" s="1"/>
  <c r="W331" i="6" s="1"/>
  <c r="X331" i="6" s="1"/>
  <c r="Y331" i="6" s="1"/>
  <c r="Z331" i="6" s="1"/>
  <c r="AA331" i="6" s="1"/>
  <c r="AB331" i="6" s="1"/>
  <c r="AC331" i="6" s="1"/>
  <c r="AD331" i="6" s="1"/>
  <c r="AE331" i="6" s="1"/>
  <c r="AF331" i="6" s="1"/>
  <c r="AG331" i="6" s="1"/>
  <c r="AH331" i="6" s="1"/>
  <c r="AI331" i="6" s="1"/>
  <c r="AJ331" i="6" s="1"/>
  <c r="AK331" i="6" s="1"/>
  <c r="AL331" i="6" s="1"/>
  <c r="AM331" i="6" s="1"/>
  <c r="AN331" i="6" s="1"/>
  <c r="AO331" i="6" s="1"/>
  <c r="AP331" i="6" s="1"/>
  <c r="AQ331" i="6" s="1"/>
  <c r="AR331" i="6" s="1"/>
  <c r="AS331" i="6" s="1"/>
  <c r="AT331" i="6" s="1"/>
  <c r="AU331" i="6" s="1"/>
  <c r="AV331" i="6" s="1"/>
  <c r="AW331" i="6" s="1"/>
  <c r="AX331" i="6" s="1"/>
  <c r="AY331" i="6" s="1"/>
  <c r="AZ331" i="6" s="1"/>
  <c r="BA331" i="6" s="1"/>
  <c r="BB331" i="6" s="1"/>
  <c r="G329" i="6"/>
  <c r="H329" i="6" s="1"/>
  <c r="I329" i="6" s="1"/>
  <c r="J329" i="6" s="1"/>
  <c r="K329" i="6" s="1"/>
  <c r="L329" i="6" s="1"/>
  <c r="M329" i="6" s="1"/>
  <c r="N329" i="6" s="1"/>
  <c r="O329" i="6" s="1"/>
  <c r="P329" i="6" s="1"/>
  <c r="Q329" i="6" s="1"/>
  <c r="R329" i="6" s="1"/>
  <c r="S329" i="6" s="1"/>
  <c r="T329" i="6" s="1"/>
  <c r="U329" i="6" s="1"/>
  <c r="V329" i="6" s="1"/>
  <c r="W329" i="6" s="1"/>
  <c r="X329" i="6" s="1"/>
  <c r="Y329" i="6" s="1"/>
  <c r="Z329" i="6" s="1"/>
  <c r="AA329" i="6" s="1"/>
  <c r="AB329" i="6" s="1"/>
  <c r="AC329" i="6" s="1"/>
  <c r="AD329" i="6" s="1"/>
  <c r="AE329" i="6" s="1"/>
  <c r="AF329" i="6" s="1"/>
  <c r="AG329" i="6" s="1"/>
  <c r="AH329" i="6" s="1"/>
  <c r="AI329" i="6" s="1"/>
  <c r="AJ329" i="6" s="1"/>
  <c r="AK329" i="6" s="1"/>
  <c r="AL329" i="6" s="1"/>
  <c r="AM329" i="6" s="1"/>
  <c r="AN329" i="6" s="1"/>
  <c r="AO329" i="6" s="1"/>
  <c r="AP329" i="6" s="1"/>
  <c r="AQ329" i="6" s="1"/>
  <c r="AR329" i="6" s="1"/>
  <c r="AS329" i="6" s="1"/>
  <c r="AT329" i="6" s="1"/>
  <c r="AU329" i="6" s="1"/>
  <c r="AV329" i="6" s="1"/>
  <c r="AW329" i="6" s="1"/>
  <c r="AX329" i="6" s="1"/>
  <c r="AY329" i="6" s="1"/>
  <c r="AZ329" i="6" s="1"/>
  <c r="BA329" i="6" s="1"/>
  <c r="BB329" i="6" s="1"/>
  <c r="G321" i="6"/>
  <c r="H321" i="6" s="1"/>
  <c r="I321" i="6" s="1"/>
  <c r="J321" i="6" s="1"/>
  <c r="K321" i="6" s="1"/>
  <c r="L321" i="6" s="1"/>
  <c r="M321" i="6" s="1"/>
  <c r="N321" i="6" s="1"/>
  <c r="O321" i="6" s="1"/>
  <c r="P321" i="6" s="1"/>
  <c r="Q321" i="6" s="1"/>
  <c r="R321" i="6" s="1"/>
  <c r="S321" i="6" s="1"/>
  <c r="T321" i="6" s="1"/>
  <c r="U321" i="6" s="1"/>
  <c r="V321" i="6" s="1"/>
  <c r="W321" i="6" s="1"/>
  <c r="X321" i="6" s="1"/>
  <c r="Y321" i="6" s="1"/>
  <c r="Z321" i="6" s="1"/>
  <c r="AA321" i="6" s="1"/>
  <c r="AB321" i="6" s="1"/>
  <c r="AC321" i="6" s="1"/>
  <c r="AD321" i="6" s="1"/>
  <c r="AE321" i="6" s="1"/>
  <c r="AF321" i="6" s="1"/>
  <c r="AG321" i="6" s="1"/>
  <c r="AH321" i="6" s="1"/>
  <c r="AI321" i="6" s="1"/>
  <c r="AJ321" i="6" s="1"/>
  <c r="AK321" i="6" s="1"/>
  <c r="AL321" i="6" s="1"/>
  <c r="AM321" i="6" s="1"/>
  <c r="AN321" i="6" s="1"/>
  <c r="AO321" i="6" s="1"/>
  <c r="AP321" i="6" s="1"/>
  <c r="AQ321" i="6" s="1"/>
  <c r="AR321" i="6" s="1"/>
  <c r="AS321" i="6" s="1"/>
  <c r="AT321" i="6" s="1"/>
  <c r="AU321" i="6" s="1"/>
  <c r="AV321" i="6" s="1"/>
  <c r="AW321" i="6" s="1"/>
  <c r="AX321" i="6" s="1"/>
  <c r="AY321" i="6" s="1"/>
  <c r="AZ321" i="6" s="1"/>
  <c r="BA321" i="6" s="1"/>
  <c r="BB321" i="6" s="1"/>
  <c r="G320" i="6"/>
  <c r="H320" i="6" s="1"/>
  <c r="I320" i="6" s="1"/>
  <c r="J320" i="6" s="1"/>
  <c r="K320" i="6" s="1"/>
  <c r="L320" i="6" s="1"/>
  <c r="M320" i="6" s="1"/>
  <c r="N320" i="6" s="1"/>
  <c r="O320" i="6" s="1"/>
  <c r="P320" i="6" s="1"/>
  <c r="Q320" i="6" s="1"/>
  <c r="R320" i="6" s="1"/>
  <c r="S320" i="6" s="1"/>
  <c r="T320" i="6" s="1"/>
  <c r="U320" i="6" s="1"/>
  <c r="V320" i="6" s="1"/>
  <c r="W320" i="6" s="1"/>
  <c r="X320" i="6" s="1"/>
  <c r="Y320" i="6" s="1"/>
  <c r="Z320" i="6" s="1"/>
  <c r="AA320" i="6" s="1"/>
  <c r="AB320" i="6" s="1"/>
  <c r="AC320" i="6" s="1"/>
  <c r="AD320" i="6" s="1"/>
  <c r="AE320" i="6" s="1"/>
  <c r="AF320" i="6" s="1"/>
  <c r="AG320" i="6" s="1"/>
  <c r="AH320" i="6" s="1"/>
  <c r="AI320" i="6" s="1"/>
  <c r="AJ320" i="6" s="1"/>
  <c r="AK320" i="6" s="1"/>
  <c r="AL320" i="6" s="1"/>
  <c r="AM320" i="6" s="1"/>
  <c r="AN320" i="6" s="1"/>
  <c r="AO320" i="6" s="1"/>
  <c r="AP320" i="6" s="1"/>
  <c r="AQ320" i="6" s="1"/>
  <c r="AR320" i="6" s="1"/>
  <c r="AS320" i="6" s="1"/>
  <c r="AT320" i="6" s="1"/>
  <c r="AU320" i="6" s="1"/>
  <c r="AV320" i="6" s="1"/>
  <c r="AW320" i="6" s="1"/>
  <c r="AX320" i="6" s="1"/>
  <c r="AY320" i="6" s="1"/>
  <c r="AZ320" i="6" s="1"/>
  <c r="BA320" i="6" s="1"/>
  <c r="BB320" i="6" s="1"/>
  <c r="G319" i="6"/>
  <c r="H319" i="6" s="1"/>
  <c r="I319" i="6" s="1"/>
  <c r="J319" i="6" s="1"/>
  <c r="K319" i="6" s="1"/>
  <c r="L319" i="6" s="1"/>
  <c r="M319" i="6" s="1"/>
  <c r="N319" i="6" s="1"/>
  <c r="O319" i="6" s="1"/>
  <c r="P319" i="6" s="1"/>
  <c r="Q319" i="6" s="1"/>
  <c r="R319" i="6" s="1"/>
  <c r="S319" i="6" s="1"/>
  <c r="T319" i="6" s="1"/>
  <c r="U319" i="6" s="1"/>
  <c r="V319" i="6" s="1"/>
  <c r="W319" i="6" s="1"/>
  <c r="X319" i="6" s="1"/>
  <c r="Y319" i="6" s="1"/>
  <c r="Z319" i="6" s="1"/>
  <c r="AA319" i="6" s="1"/>
  <c r="AB319" i="6" s="1"/>
  <c r="AC319" i="6" s="1"/>
  <c r="AD319" i="6" s="1"/>
  <c r="AE319" i="6" s="1"/>
  <c r="AF319" i="6" s="1"/>
  <c r="AG319" i="6" s="1"/>
  <c r="AH319" i="6" s="1"/>
  <c r="AI319" i="6" s="1"/>
  <c r="AJ319" i="6" s="1"/>
  <c r="AK319" i="6" s="1"/>
  <c r="AL319" i="6" s="1"/>
  <c r="AM319" i="6" s="1"/>
  <c r="AN319" i="6" s="1"/>
  <c r="AO319" i="6" s="1"/>
  <c r="AP319" i="6" s="1"/>
  <c r="AQ319" i="6" s="1"/>
  <c r="AR319" i="6" s="1"/>
  <c r="AS319" i="6" s="1"/>
  <c r="AT319" i="6" s="1"/>
  <c r="AU319" i="6" s="1"/>
  <c r="AV319" i="6" s="1"/>
  <c r="AW319" i="6" s="1"/>
  <c r="AX319" i="6" s="1"/>
  <c r="AY319" i="6" s="1"/>
  <c r="AZ319" i="6" s="1"/>
  <c r="BA319" i="6" s="1"/>
  <c r="BB319" i="6" s="1"/>
  <c r="G303" i="6"/>
  <c r="H303" i="6" s="1"/>
  <c r="I303" i="6" s="1"/>
  <c r="J303" i="6" s="1"/>
  <c r="K303" i="6" s="1"/>
  <c r="L303" i="6" s="1"/>
  <c r="M303" i="6" s="1"/>
  <c r="N303" i="6" s="1"/>
  <c r="O303" i="6" s="1"/>
  <c r="P303" i="6" s="1"/>
  <c r="Q303" i="6" s="1"/>
  <c r="R303" i="6" s="1"/>
  <c r="S303" i="6" s="1"/>
  <c r="T303" i="6" s="1"/>
  <c r="U303" i="6" s="1"/>
  <c r="V303" i="6" s="1"/>
  <c r="W303" i="6" s="1"/>
  <c r="X303" i="6" s="1"/>
  <c r="Y303" i="6" s="1"/>
  <c r="Z303" i="6" s="1"/>
  <c r="AA303" i="6" s="1"/>
  <c r="AB303" i="6" s="1"/>
  <c r="AC303" i="6" s="1"/>
  <c r="AD303" i="6" s="1"/>
  <c r="AE303" i="6" s="1"/>
  <c r="AF303" i="6" s="1"/>
  <c r="AG303" i="6" s="1"/>
  <c r="AH303" i="6" s="1"/>
  <c r="AI303" i="6" s="1"/>
  <c r="AJ303" i="6" s="1"/>
  <c r="AK303" i="6" s="1"/>
  <c r="AL303" i="6" s="1"/>
  <c r="AM303" i="6" s="1"/>
  <c r="G302" i="6"/>
  <c r="H302" i="6" s="1"/>
  <c r="I302" i="6" s="1"/>
  <c r="J302" i="6" s="1"/>
  <c r="K302" i="6" s="1"/>
  <c r="L302" i="6" s="1"/>
  <c r="M302" i="6" s="1"/>
  <c r="N302" i="6" s="1"/>
  <c r="O302" i="6" s="1"/>
  <c r="P302" i="6" s="1"/>
  <c r="Q302" i="6" s="1"/>
  <c r="R302" i="6" s="1"/>
  <c r="S302" i="6" s="1"/>
  <c r="T302" i="6" s="1"/>
  <c r="U302" i="6" s="1"/>
  <c r="V302" i="6" s="1"/>
  <c r="W302" i="6" s="1"/>
  <c r="X302" i="6" s="1"/>
  <c r="Y302" i="6" s="1"/>
  <c r="Z302" i="6" s="1"/>
  <c r="AA302" i="6" s="1"/>
  <c r="AB302" i="6" s="1"/>
  <c r="AC302" i="6" s="1"/>
  <c r="AD302" i="6" s="1"/>
  <c r="AE302" i="6" s="1"/>
  <c r="AF302" i="6" s="1"/>
  <c r="AG302" i="6" s="1"/>
  <c r="AH302" i="6" s="1"/>
  <c r="AI302" i="6" s="1"/>
  <c r="AJ302" i="6" s="1"/>
  <c r="AK302" i="6" s="1"/>
  <c r="AL302" i="6" s="1"/>
  <c r="AM302" i="6" s="1"/>
  <c r="AN302" i="6" s="1"/>
  <c r="AO302" i="6" s="1"/>
  <c r="AP302" i="6" s="1"/>
  <c r="AQ302" i="6" s="1"/>
  <c r="AR302" i="6" s="1"/>
  <c r="AS302" i="6" s="1"/>
  <c r="AT302" i="6" s="1"/>
  <c r="AU302" i="6" s="1"/>
  <c r="AV302" i="6" s="1"/>
  <c r="AW302" i="6" s="1"/>
  <c r="AX302" i="6" s="1"/>
  <c r="AY302" i="6" s="1"/>
  <c r="AZ302" i="6" s="1"/>
  <c r="G301" i="6"/>
  <c r="H301" i="6" s="1"/>
  <c r="I301" i="6" s="1"/>
  <c r="J301" i="6" s="1"/>
  <c r="K301" i="6" s="1"/>
  <c r="L301" i="6" s="1"/>
  <c r="M301" i="6" s="1"/>
  <c r="N301" i="6" s="1"/>
  <c r="O301" i="6" s="1"/>
  <c r="P301" i="6" s="1"/>
  <c r="Q301" i="6" s="1"/>
  <c r="R301" i="6" s="1"/>
  <c r="S301" i="6" s="1"/>
  <c r="T301" i="6" s="1"/>
  <c r="Q203" i="7" l="1"/>
  <c r="Q187" i="7"/>
  <c r="Q201" i="7"/>
  <c r="Q185" i="7"/>
  <c r="Q202" i="7"/>
  <c r="Q186" i="7"/>
  <c r="Q209" i="7"/>
  <c r="Q193" i="7"/>
  <c r="Q207" i="7"/>
  <c r="Q191" i="7"/>
  <c r="Q181" i="7"/>
  <c r="Q197" i="7"/>
  <c r="Q205" i="7"/>
  <c r="Q189" i="7"/>
  <c r="R211" i="7"/>
  <c r="R195" i="7"/>
  <c r="E195" i="7" s="1"/>
  <c r="R199" i="7"/>
  <c r="R183" i="7"/>
  <c r="R184" i="7"/>
  <c r="R200" i="7"/>
  <c r="Q204" i="7"/>
  <c r="Q188" i="7"/>
  <c r="Q198" i="7"/>
  <c r="Q182" i="7"/>
  <c r="Q206" i="7"/>
  <c r="Q190" i="7"/>
  <c r="Q208" i="7"/>
  <c r="Q192" i="7"/>
  <c r="R210" i="7"/>
  <c r="R194" i="7"/>
  <c r="E178" i="7"/>
  <c r="E194" i="7"/>
  <c r="E179" i="7"/>
  <c r="H112" i="6"/>
  <c r="R173" i="7" s="1"/>
  <c r="I14" i="3"/>
  <c r="E184" i="7"/>
  <c r="E168" i="7"/>
  <c r="H104" i="6"/>
  <c r="R165" i="7" s="1"/>
  <c r="I6" i="3"/>
  <c r="H113" i="6"/>
  <c r="R174" i="7" s="1"/>
  <c r="I15" i="3"/>
  <c r="H111" i="6"/>
  <c r="R172" i="7" s="1"/>
  <c r="I13" i="3"/>
  <c r="H105" i="6"/>
  <c r="R166" i="7" s="1"/>
  <c r="I7" i="3"/>
  <c r="H108" i="6"/>
  <c r="R169" i="7" s="1"/>
  <c r="I10" i="3"/>
  <c r="H110" i="6"/>
  <c r="R171" i="7" s="1"/>
  <c r="I12" i="3"/>
  <c r="E183" i="7"/>
  <c r="E167" i="7"/>
  <c r="H115" i="6"/>
  <c r="R176" i="7" s="1"/>
  <c r="I17" i="3"/>
  <c r="H109" i="6"/>
  <c r="R170" i="7" s="1"/>
  <c r="I11" i="3"/>
  <c r="H114" i="6"/>
  <c r="R175" i="7" s="1"/>
  <c r="I16" i="3"/>
  <c r="H116" i="6"/>
  <c r="R177" i="7" s="1"/>
  <c r="I18" i="3"/>
  <c r="I19" i="3"/>
  <c r="I117" i="6" s="1"/>
  <c r="S178" i="7" s="1"/>
  <c r="I20" i="3"/>
  <c r="I118" i="6" s="1"/>
  <c r="S179" i="7" s="1"/>
  <c r="I8" i="3"/>
  <c r="I106" i="6" s="1"/>
  <c r="S167" i="7" s="1"/>
  <c r="I9" i="3"/>
  <c r="I107" i="6" s="1"/>
  <c r="S168" i="7" s="1"/>
  <c r="AP305" i="6"/>
  <c r="AX305" i="6"/>
  <c r="J305" i="6"/>
  <c r="R305" i="6"/>
  <c r="Z305" i="6"/>
  <c r="AH305" i="6"/>
  <c r="H305" i="6"/>
  <c r="P305" i="6"/>
  <c r="X305" i="6"/>
  <c r="AF305" i="6"/>
  <c r="AN305" i="6"/>
  <c r="AV305" i="6"/>
  <c r="K305" i="6"/>
  <c r="S305" i="6"/>
  <c r="AA305" i="6"/>
  <c r="AI305" i="6"/>
  <c r="AQ305" i="6"/>
  <c r="AY305" i="6"/>
  <c r="M305" i="6"/>
  <c r="U305" i="6"/>
  <c r="AC305" i="6"/>
  <c r="AK305" i="6"/>
  <c r="AS305" i="6"/>
  <c r="BA305" i="6"/>
  <c r="G305" i="6"/>
  <c r="O305" i="6"/>
  <c r="W305" i="6"/>
  <c r="AE305" i="6"/>
  <c r="AM305" i="6"/>
  <c r="AU305" i="6"/>
  <c r="I305" i="6"/>
  <c r="N305" i="6"/>
  <c r="V305" i="6"/>
  <c r="AD305" i="6"/>
  <c r="AL305" i="6"/>
  <c r="AT305" i="6"/>
  <c r="BB305" i="6"/>
  <c r="AZ316" i="6"/>
  <c r="BA302" i="6"/>
  <c r="T314" i="6"/>
  <c r="U301" i="6"/>
  <c r="AN303" i="6"/>
  <c r="AM315" i="6"/>
  <c r="Q305" i="6"/>
  <c r="Y305" i="6"/>
  <c r="AG305" i="6"/>
  <c r="AO305" i="6"/>
  <c r="AW305" i="6"/>
  <c r="L305" i="6"/>
  <c r="T305" i="6"/>
  <c r="AB305" i="6"/>
  <c r="AJ305" i="6"/>
  <c r="AR305" i="6"/>
  <c r="AZ305" i="6"/>
  <c r="R201" i="7" l="1"/>
  <c r="R185" i="7"/>
  <c r="R202" i="7"/>
  <c r="R186" i="7"/>
  <c r="S200" i="7"/>
  <c r="S184" i="7"/>
  <c r="S211" i="7"/>
  <c r="S195" i="7"/>
  <c r="R208" i="7"/>
  <c r="R192" i="7"/>
  <c r="R198" i="7"/>
  <c r="R182" i="7"/>
  <c r="S183" i="7"/>
  <c r="S199" i="7"/>
  <c r="S210" i="7"/>
  <c r="S194" i="7"/>
  <c r="R209" i="7"/>
  <c r="R193" i="7"/>
  <c r="R204" i="7"/>
  <c r="R188" i="7"/>
  <c r="R205" i="7"/>
  <c r="R189" i="7"/>
  <c r="R197" i="7"/>
  <c r="R181" i="7"/>
  <c r="R207" i="7"/>
  <c r="R191" i="7"/>
  <c r="R203" i="7"/>
  <c r="R187" i="7"/>
  <c r="R206" i="7"/>
  <c r="R190" i="7"/>
  <c r="E190" i="7" s="1"/>
  <c r="E211" i="7"/>
  <c r="E193" i="7"/>
  <c r="E209" i="7"/>
  <c r="E177" i="7"/>
  <c r="E192" i="7"/>
  <c r="E208" i="7"/>
  <c r="E176" i="7"/>
  <c r="I105" i="6"/>
  <c r="S166" i="7" s="1"/>
  <c r="J7" i="3"/>
  <c r="E200" i="7"/>
  <c r="I114" i="6"/>
  <c r="S175" i="7" s="1"/>
  <c r="J16" i="3"/>
  <c r="E198" i="7"/>
  <c r="E166" i="7"/>
  <c r="E182" i="7"/>
  <c r="E191" i="7"/>
  <c r="E207" i="7"/>
  <c r="E175" i="7"/>
  <c r="I111" i="6"/>
  <c r="S172" i="7" s="1"/>
  <c r="J13" i="3"/>
  <c r="E199" i="7"/>
  <c r="E188" i="7"/>
  <c r="E204" i="7"/>
  <c r="E172" i="7"/>
  <c r="I112" i="6"/>
  <c r="S173" i="7" s="1"/>
  <c r="J14" i="3"/>
  <c r="I108" i="6"/>
  <c r="S169" i="7" s="1"/>
  <c r="J10" i="3"/>
  <c r="E205" i="7"/>
  <c r="E189" i="7"/>
  <c r="E173" i="7"/>
  <c r="I109" i="6"/>
  <c r="S170" i="7" s="1"/>
  <c r="J11" i="3"/>
  <c r="E185" i="7"/>
  <c r="E169" i="7"/>
  <c r="E201" i="7"/>
  <c r="E186" i="7"/>
  <c r="E202" i="7"/>
  <c r="E170" i="7"/>
  <c r="I110" i="6"/>
  <c r="S171" i="7" s="1"/>
  <c r="J12" i="3"/>
  <c r="I113" i="6"/>
  <c r="S174" i="7" s="1"/>
  <c r="J15" i="3"/>
  <c r="I104" i="6"/>
  <c r="S165" i="7" s="1"/>
  <c r="J6" i="3"/>
  <c r="I116" i="6"/>
  <c r="S177" i="7" s="1"/>
  <c r="J18" i="3"/>
  <c r="I115" i="6"/>
  <c r="S176" i="7" s="1"/>
  <c r="J17" i="3"/>
  <c r="E187" i="7"/>
  <c r="E203" i="7"/>
  <c r="E171" i="7"/>
  <c r="E174" i="7"/>
  <c r="E206" i="7"/>
  <c r="E165" i="7"/>
  <c r="E197" i="7"/>
  <c r="E181" i="7"/>
  <c r="E210" i="7"/>
  <c r="J8" i="3"/>
  <c r="J106" i="6" s="1"/>
  <c r="T167" i="7" s="1"/>
  <c r="J9" i="3"/>
  <c r="J107" i="6" s="1"/>
  <c r="T168" i="7" s="1"/>
  <c r="J20" i="3"/>
  <c r="J118" i="6" s="1"/>
  <c r="T179" i="7" s="1"/>
  <c r="J19" i="3"/>
  <c r="J117" i="6" s="1"/>
  <c r="T178" i="7" s="1"/>
  <c r="BA316" i="6"/>
  <c r="BB302" i="6"/>
  <c r="BB316" i="6" s="1"/>
  <c r="U314" i="6"/>
  <c r="V301" i="6"/>
  <c r="AO303" i="6"/>
  <c r="AN315" i="6"/>
  <c r="S187" i="7" l="1"/>
  <c r="S203" i="7"/>
  <c r="T210" i="7"/>
  <c r="T194" i="7"/>
  <c r="S209" i="7"/>
  <c r="S193" i="7"/>
  <c r="T200" i="7"/>
  <c r="T184" i="7"/>
  <c r="S206" i="7"/>
  <c r="S190" i="7"/>
  <c r="S202" i="7"/>
  <c r="S186" i="7"/>
  <c r="S198" i="7"/>
  <c r="S182" i="7"/>
  <c r="T211" i="7"/>
  <c r="T195" i="7"/>
  <c r="T199" i="7"/>
  <c r="T183" i="7"/>
  <c r="S197" i="7"/>
  <c r="S181" i="7"/>
  <c r="S205" i="7"/>
  <c r="S189" i="7"/>
  <c r="S208" i="7"/>
  <c r="S192" i="7"/>
  <c r="S201" i="7"/>
  <c r="S185" i="7"/>
  <c r="S204" i="7"/>
  <c r="S188" i="7"/>
  <c r="S207" i="7"/>
  <c r="S191" i="7"/>
  <c r="J110" i="6"/>
  <c r="T171" i="7" s="1"/>
  <c r="K12" i="3"/>
  <c r="J112" i="6"/>
  <c r="T173" i="7" s="1"/>
  <c r="K14" i="3"/>
  <c r="J114" i="6"/>
  <c r="T175" i="7" s="1"/>
  <c r="K16" i="3"/>
  <c r="J109" i="6"/>
  <c r="T170" i="7" s="1"/>
  <c r="K11" i="3"/>
  <c r="J104" i="6"/>
  <c r="T165" i="7" s="1"/>
  <c r="K6" i="3"/>
  <c r="J116" i="6"/>
  <c r="T177" i="7" s="1"/>
  <c r="K18" i="3"/>
  <c r="J115" i="6"/>
  <c r="T176" i="7" s="1"/>
  <c r="K17" i="3"/>
  <c r="J113" i="6"/>
  <c r="T174" i="7" s="1"/>
  <c r="K15" i="3"/>
  <c r="J105" i="6"/>
  <c r="T166" i="7" s="1"/>
  <c r="K7" i="3"/>
  <c r="J108" i="6"/>
  <c r="T169" i="7" s="1"/>
  <c r="K10" i="3"/>
  <c r="J111" i="6"/>
  <c r="T172" i="7" s="1"/>
  <c r="K13" i="3"/>
  <c r="K9" i="3"/>
  <c r="K107" i="6" s="1"/>
  <c r="U168" i="7" s="1"/>
  <c r="K8" i="3"/>
  <c r="K106" i="6" s="1"/>
  <c r="U167" i="7" s="1"/>
  <c r="K19" i="3"/>
  <c r="K117" i="6" s="1"/>
  <c r="U178" i="7" s="1"/>
  <c r="K20" i="3"/>
  <c r="K118" i="6" s="1"/>
  <c r="U179" i="7" s="1"/>
  <c r="AP303" i="6"/>
  <c r="AO315" i="6"/>
  <c r="V314" i="6"/>
  <c r="W301" i="6"/>
  <c r="U210" i="7" l="1"/>
  <c r="U194" i="7"/>
  <c r="U211" i="7"/>
  <c r="U195" i="7"/>
  <c r="T198" i="7"/>
  <c r="T182" i="7"/>
  <c r="T202" i="7"/>
  <c r="T186" i="7"/>
  <c r="U184" i="7"/>
  <c r="U200" i="7"/>
  <c r="T204" i="7"/>
  <c r="T188" i="7"/>
  <c r="T191" i="7"/>
  <c r="T207" i="7"/>
  <c r="T203" i="7"/>
  <c r="T187" i="7"/>
  <c r="U199" i="7"/>
  <c r="U183" i="7"/>
  <c r="T208" i="7"/>
  <c r="T192" i="7"/>
  <c r="T197" i="7"/>
  <c r="T181" i="7"/>
  <c r="T206" i="7"/>
  <c r="T190" i="7"/>
  <c r="T201" i="7"/>
  <c r="T185" i="7"/>
  <c r="T209" i="7"/>
  <c r="T193" i="7"/>
  <c r="T205" i="7"/>
  <c r="T189" i="7"/>
  <c r="K104" i="6"/>
  <c r="U165" i="7" s="1"/>
  <c r="L6" i="3"/>
  <c r="K109" i="6"/>
  <c r="U170" i="7" s="1"/>
  <c r="L11" i="3"/>
  <c r="K114" i="6"/>
  <c r="U175" i="7" s="1"/>
  <c r="L16" i="3"/>
  <c r="K105" i="6"/>
  <c r="U166" i="7" s="1"/>
  <c r="L7" i="3"/>
  <c r="K111" i="6"/>
  <c r="U172" i="7" s="1"/>
  <c r="L13" i="3"/>
  <c r="K112" i="6"/>
  <c r="U173" i="7" s="1"/>
  <c r="L14" i="3"/>
  <c r="K110" i="6"/>
  <c r="U171" i="7" s="1"/>
  <c r="L12" i="3"/>
  <c r="K115" i="6"/>
  <c r="U176" i="7" s="1"/>
  <c r="L17" i="3"/>
  <c r="K113" i="6"/>
  <c r="U174" i="7" s="1"/>
  <c r="L15" i="3"/>
  <c r="K108" i="6"/>
  <c r="U169" i="7" s="1"/>
  <c r="L10" i="3"/>
  <c r="K116" i="6"/>
  <c r="U177" i="7" s="1"/>
  <c r="L18" i="3"/>
  <c r="L8" i="3"/>
  <c r="L106" i="6" s="1"/>
  <c r="V167" i="7" s="1"/>
  <c r="L19" i="3"/>
  <c r="L117" i="6" s="1"/>
  <c r="V178" i="7" s="1"/>
  <c r="L9" i="3"/>
  <c r="L107" i="6" s="1"/>
  <c r="V168" i="7" s="1"/>
  <c r="L20" i="3"/>
  <c r="L118" i="6" s="1"/>
  <c r="V179" i="7" s="1"/>
  <c r="AP315" i="6"/>
  <c r="AQ303" i="6"/>
  <c r="W314" i="6"/>
  <c r="X301" i="6"/>
  <c r="U206" i="7" l="1"/>
  <c r="U190" i="7"/>
  <c r="U208" i="7"/>
  <c r="U192" i="7"/>
  <c r="U204" i="7"/>
  <c r="U188" i="7"/>
  <c r="U198" i="7"/>
  <c r="U182" i="7"/>
  <c r="U197" i="7"/>
  <c r="U181" i="7"/>
  <c r="V210" i="7"/>
  <c r="V194" i="7"/>
  <c r="V211" i="7"/>
  <c r="V195" i="7"/>
  <c r="V184" i="7"/>
  <c r="V200" i="7"/>
  <c r="V199" i="7"/>
  <c r="V183" i="7"/>
  <c r="U209" i="7"/>
  <c r="U193" i="7"/>
  <c r="U203" i="7"/>
  <c r="U187" i="7"/>
  <c r="U207" i="7"/>
  <c r="U191" i="7"/>
  <c r="U201" i="7"/>
  <c r="U185" i="7"/>
  <c r="U205" i="7"/>
  <c r="U189" i="7"/>
  <c r="U202" i="7"/>
  <c r="U186" i="7"/>
  <c r="L113" i="6"/>
  <c r="V174" i="7" s="1"/>
  <c r="M15" i="3"/>
  <c r="L115" i="6"/>
  <c r="V176" i="7" s="1"/>
  <c r="M17" i="3"/>
  <c r="L105" i="6"/>
  <c r="V166" i="7" s="1"/>
  <c r="M7" i="3"/>
  <c r="L110" i="6"/>
  <c r="V171" i="7" s="1"/>
  <c r="M12" i="3"/>
  <c r="L108" i="6"/>
  <c r="V169" i="7" s="1"/>
  <c r="M10" i="3"/>
  <c r="L116" i="6"/>
  <c r="V177" i="7" s="1"/>
  <c r="M18" i="3"/>
  <c r="L112" i="6"/>
  <c r="V173" i="7" s="1"/>
  <c r="M14" i="3"/>
  <c r="L109" i="6"/>
  <c r="V170" i="7" s="1"/>
  <c r="M11" i="3"/>
  <c r="L111" i="6"/>
  <c r="V172" i="7" s="1"/>
  <c r="M13" i="3"/>
  <c r="L114" i="6"/>
  <c r="V175" i="7" s="1"/>
  <c r="M16" i="3"/>
  <c r="L104" i="6"/>
  <c r="V165" i="7" s="1"/>
  <c r="M6" i="3"/>
  <c r="M19" i="3"/>
  <c r="M117" i="6" s="1"/>
  <c r="W178" i="7" s="1"/>
  <c r="M9" i="3"/>
  <c r="M107" i="6" s="1"/>
  <c r="W168" i="7" s="1"/>
  <c r="M20" i="3"/>
  <c r="M118" i="6" s="1"/>
  <c r="W179" i="7" s="1"/>
  <c r="M8" i="3"/>
  <c r="M106" i="6" s="1"/>
  <c r="W167" i="7" s="1"/>
  <c r="Y301" i="6"/>
  <c r="X314" i="6"/>
  <c r="AQ315" i="6"/>
  <c r="AR303" i="6"/>
  <c r="W199" i="7" l="1"/>
  <c r="W183" i="7"/>
  <c r="W211" i="7"/>
  <c r="W195" i="7"/>
  <c r="V201" i="7"/>
  <c r="V185" i="7"/>
  <c r="W200" i="7"/>
  <c r="W184" i="7"/>
  <c r="F184" i="7" s="1"/>
  <c r="V206" i="7"/>
  <c r="V190" i="7"/>
  <c r="W210" i="7"/>
  <c r="W194" i="7"/>
  <c r="V202" i="7"/>
  <c r="V186" i="7"/>
  <c r="V205" i="7"/>
  <c r="V189" i="7"/>
  <c r="V198" i="7"/>
  <c r="V182" i="7"/>
  <c r="V204" i="7"/>
  <c r="V188" i="7"/>
  <c r="V203" i="7"/>
  <c r="V187" i="7"/>
  <c r="V197" i="7"/>
  <c r="V181" i="7"/>
  <c r="V207" i="7"/>
  <c r="V191" i="7"/>
  <c r="V209" i="7"/>
  <c r="V193" i="7"/>
  <c r="V208" i="7"/>
  <c r="V192" i="7"/>
  <c r="M109" i="6"/>
  <c r="W170" i="7" s="1"/>
  <c r="N11" i="3"/>
  <c r="M104" i="6"/>
  <c r="W165" i="7" s="1"/>
  <c r="N6" i="3"/>
  <c r="M112" i="6"/>
  <c r="W173" i="7" s="1"/>
  <c r="N14" i="3"/>
  <c r="M105" i="6"/>
  <c r="W166" i="7" s="1"/>
  <c r="N7" i="3"/>
  <c r="F194" i="7"/>
  <c r="F178" i="7"/>
  <c r="F199" i="7"/>
  <c r="F167" i="7"/>
  <c r="F183" i="7"/>
  <c r="M114" i="6"/>
  <c r="W175" i="7" s="1"/>
  <c r="N16" i="3"/>
  <c r="M116" i="6"/>
  <c r="W177" i="7" s="1"/>
  <c r="N18" i="3"/>
  <c r="M108" i="6"/>
  <c r="W169" i="7" s="1"/>
  <c r="N10" i="3"/>
  <c r="M115" i="6"/>
  <c r="W176" i="7" s="1"/>
  <c r="N17" i="3"/>
  <c r="F195" i="7"/>
  <c r="F179" i="7"/>
  <c r="F168" i="7"/>
  <c r="M111" i="6"/>
  <c r="W172" i="7" s="1"/>
  <c r="N13" i="3"/>
  <c r="M110" i="6"/>
  <c r="W171" i="7" s="1"/>
  <c r="N12" i="3"/>
  <c r="M113" i="6"/>
  <c r="W174" i="7" s="1"/>
  <c r="N15" i="3"/>
  <c r="N8" i="3"/>
  <c r="N106" i="6" s="1"/>
  <c r="X167" i="7" s="1"/>
  <c r="N9" i="3"/>
  <c r="N107" i="6" s="1"/>
  <c r="X168" i="7" s="1"/>
  <c r="N20" i="3"/>
  <c r="N118" i="6" s="1"/>
  <c r="X179" i="7" s="1"/>
  <c r="N19" i="3"/>
  <c r="N117" i="6" s="1"/>
  <c r="X178" i="7" s="1"/>
  <c r="Z301" i="6"/>
  <c r="Y314" i="6"/>
  <c r="AR315" i="6"/>
  <c r="AS303" i="6"/>
  <c r="W202" i="7" l="1"/>
  <c r="W186" i="7"/>
  <c r="X211" i="7"/>
  <c r="X195" i="7"/>
  <c r="W185" i="7"/>
  <c r="F185" i="7" s="1"/>
  <c r="W201" i="7"/>
  <c r="X199" i="7"/>
  <c r="X183" i="7"/>
  <c r="W198" i="7"/>
  <c r="W182" i="7"/>
  <c r="W209" i="7"/>
  <c r="W193" i="7"/>
  <c r="W207" i="7"/>
  <c r="W191" i="7"/>
  <c r="W205" i="7"/>
  <c r="F205" i="7" s="1"/>
  <c r="W189" i="7"/>
  <c r="F189" i="7" s="1"/>
  <c r="W204" i="7"/>
  <c r="W188" i="7"/>
  <c r="W203" i="7"/>
  <c r="W187" i="7"/>
  <c r="X200" i="7"/>
  <c r="X184" i="7"/>
  <c r="W206" i="7"/>
  <c r="F206" i="7" s="1"/>
  <c r="W190" i="7"/>
  <c r="F190" i="7" s="1"/>
  <c r="W208" i="7"/>
  <c r="W192" i="7"/>
  <c r="X210" i="7"/>
  <c r="X194" i="7"/>
  <c r="W197" i="7"/>
  <c r="W181" i="7"/>
  <c r="F181" i="7" s="1"/>
  <c r="F208" i="7"/>
  <c r="F192" i="7"/>
  <c r="F176" i="7"/>
  <c r="F173" i="7"/>
  <c r="N111" i="6"/>
  <c r="X172" i="7" s="1"/>
  <c r="O13" i="3"/>
  <c r="F188" i="7"/>
  <c r="F172" i="7"/>
  <c r="F204" i="7"/>
  <c r="N108" i="6"/>
  <c r="X169" i="7" s="1"/>
  <c r="O10" i="3"/>
  <c r="N104" i="6"/>
  <c r="X165" i="7" s="1"/>
  <c r="O6" i="3"/>
  <c r="F197" i="7"/>
  <c r="F165" i="7"/>
  <c r="N115" i="6"/>
  <c r="X176" i="7" s="1"/>
  <c r="O17" i="3"/>
  <c r="N113" i="6"/>
  <c r="X174" i="7" s="1"/>
  <c r="O15" i="3"/>
  <c r="N116" i="6"/>
  <c r="X177" i="7" s="1"/>
  <c r="O18" i="3"/>
  <c r="F210" i="7"/>
  <c r="F201" i="7"/>
  <c r="F169" i="7"/>
  <c r="F209" i="7"/>
  <c r="F193" i="7"/>
  <c r="F177" i="7"/>
  <c r="F207" i="7"/>
  <c r="F175" i="7"/>
  <c r="F191" i="7"/>
  <c r="F174" i="7"/>
  <c r="N110" i="6"/>
  <c r="X171" i="7" s="1"/>
  <c r="O12" i="3"/>
  <c r="N105" i="6"/>
  <c r="X166" i="7" s="1"/>
  <c r="O7" i="3"/>
  <c r="N109" i="6"/>
  <c r="X170" i="7" s="1"/>
  <c r="O11" i="3"/>
  <c r="N112" i="6"/>
  <c r="X173" i="7" s="1"/>
  <c r="O14" i="3"/>
  <c r="F200" i="7"/>
  <c r="F211" i="7"/>
  <c r="F203" i="7"/>
  <c r="F171" i="7"/>
  <c r="F187" i="7"/>
  <c r="N114" i="6"/>
  <c r="X175" i="7" s="1"/>
  <c r="O16" i="3"/>
  <c r="F182" i="7"/>
  <c r="F198" i="7"/>
  <c r="F166" i="7"/>
  <c r="F202" i="7"/>
  <c r="F170" i="7"/>
  <c r="F186" i="7"/>
  <c r="O20" i="3"/>
  <c r="O118" i="6" s="1"/>
  <c r="Y179" i="7" s="1"/>
  <c r="O19" i="3"/>
  <c r="O117" i="6" s="1"/>
  <c r="Y178" i="7" s="1"/>
  <c r="O8" i="3"/>
  <c r="O106" i="6" s="1"/>
  <c r="Y167" i="7" s="1"/>
  <c r="O9" i="3"/>
  <c r="O107" i="6" s="1"/>
  <c r="Y168" i="7" s="1"/>
  <c r="AS315" i="6"/>
  <c r="AT303" i="6"/>
  <c r="AA301" i="6"/>
  <c r="Z314" i="6"/>
  <c r="X202" i="7" l="1"/>
  <c r="X186" i="7"/>
  <c r="X198" i="7"/>
  <c r="X182" i="7"/>
  <c r="X209" i="7"/>
  <c r="X193" i="7"/>
  <c r="X204" i="7"/>
  <c r="X188" i="7"/>
  <c r="X197" i="7"/>
  <c r="X181" i="7"/>
  <c r="X203" i="7"/>
  <c r="X187" i="7"/>
  <c r="X206" i="7"/>
  <c r="X190" i="7"/>
  <c r="Y199" i="7"/>
  <c r="Y183" i="7"/>
  <c r="X205" i="7"/>
  <c r="X189" i="7"/>
  <c r="X201" i="7"/>
  <c r="X185" i="7"/>
  <c r="Y200" i="7"/>
  <c r="Y184" i="7"/>
  <c r="Y210" i="7"/>
  <c r="Y194" i="7"/>
  <c r="Y211" i="7"/>
  <c r="Y195" i="7"/>
  <c r="X207" i="7"/>
  <c r="X191" i="7"/>
  <c r="X208" i="7"/>
  <c r="X192" i="7"/>
  <c r="O116" i="6"/>
  <c r="Y177" i="7" s="1"/>
  <c r="P18" i="3"/>
  <c r="O111" i="6"/>
  <c r="Y172" i="7" s="1"/>
  <c r="P13" i="3"/>
  <c r="O113" i="6"/>
  <c r="Y174" i="7" s="1"/>
  <c r="P15" i="3"/>
  <c r="O105" i="6"/>
  <c r="Y166" i="7" s="1"/>
  <c r="P7" i="3"/>
  <c r="O108" i="6"/>
  <c r="Y169" i="7" s="1"/>
  <c r="P10" i="3"/>
  <c r="O115" i="6"/>
  <c r="Y176" i="7" s="1"/>
  <c r="P17" i="3"/>
  <c r="O110" i="6"/>
  <c r="Y171" i="7" s="1"/>
  <c r="P12" i="3"/>
  <c r="O109" i="6"/>
  <c r="Y170" i="7" s="1"/>
  <c r="P11" i="3"/>
  <c r="O114" i="6"/>
  <c r="Y175" i="7" s="1"/>
  <c r="P16" i="3"/>
  <c r="O104" i="6"/>
  <c r="Y165" i="7" s="1"/>
  <c r="P6" i="3"/>
  <c r="O112" i="6"/>
  <c r="Y173" i="7" s="1"/>
  <c r="P14" i="3"/>
  <c r="P19" i="3"/>
  <c r="P117" i="6" s="1"/>
  <c r="Z178" i="7" s="1"/>
  <c r="P9" i="3"/>
  <c r="P107" i="6" s="1"/>
  <c r="Z168" i="7" s="1"/>
  <c r="P20" i="3"/>
  <c r="P118" i="6" s="1"/>
  <c r="Z179" i="7" s="1"/>
  <c r="P8" i="3"/>
  <c r="AA314" i="6"/>
  <c r="AB301" i="6"/>
  <c r="AT315" i="6"/>
  <c r="AU303" i="6"/>
  <c r="Z200" i="7" l="1"/>
  <c r="Z184" i="7"/>
  <c r="Y202" i="7"/>
  <c r="Y186" i="7"/>
  <c r="Y207" i="7"/>
  <c r="Y191" i="7"/>
  <c r="Y205" i="7"/>
  <c r="Y189" i="7"/>
  <c r="Y209" i="7"/>
  <c r="Y193" i="7"/>
  <c r="Z210" i="7"/>
  <c r="Z194" i="7"/>
  <c r="Y206" i="7"/>
  <c r="Y190" i="7"/>
  <c r="Z211" i="7"/>
  <c r="Z195" i="7"/>
  <c r="Y201" i="7"/>
  <c r="Y185" i="7"/>
  <c r="Y182" i="7"/>
  <c r="Y198" i="7"/>
  <c r="Y203" i="7"/>
  <c r="Y187" i="7"/>
  <c r="Y197" i="7"/>
  <c r="Y181" i="7"/>
  <c r="Y208" i="7"/>
  <c r="Y192" i="7"/>
  <c r="Y204" i="7"/>
  <c r="Y188" i="7"/>
  <c r="P106" i="6"/>
  <c r="Z167" i="7" s="1"/>
  <c r="P111" i="6"/>
  <c r="Z172" i="7" s="1"/>
  <c r="Q13" i="3"/>
  <c r="P108" i="6"/>
  <c r="Z169" i="7" s="1"/>
  <c r="Q10" i="3"/>
  <c r="P114" i="6"/>
  <c r="Z175" i="7" s="1"/>
  <c r="Q16" i="3"/>
  <c r="P113" i="6"/>
  <c r="Z174" i="7" s="1"/>
  <c r="Q15" i="3"/>
  <c r="P116" i="6"/>
  <c r="Z177" i="7" s="1"/>
  <c r="Q18" i="3"/>
  <c r="P104" i="6"/>
  <c r="Z165" i="7" s="1"/>
  <c r="Q6" i="3"/>
  <c r="P109" i="6"/>
  <c r="Z170" i="7" s="1"/>
  <c r="Q11" i="3"/>
  <c r="P105" i="6"/>
  <c r="Z166" i="7" s="1"/>
  <c r="Q7" i="3"/>
  <c r="P110" i="6"/>
  <c r="Z171" i="7" s="1"/>
  <c r="Q12" i="3"/>
  <c r="P112" i="6"/>
  <c r="Z173" i="7" s="1"/>
  <c r="Q14" i="3"/>
  <c r="P115" i="6"/>
  <c r="Z176" i="7" s="1"/>
  <c r="Q17" i="3"/>
  <c r="Q9" i="3"/>
  <c r="Q107" i="6" s="1"/>
  <c r="AA168" i="7" s="1"/>
  <c r="Q19" i="3"/>
  <c r="Q117" i="6" s="1"/>
  <c r="AA178" i="7" s="1"/>
  <c r="Q8" i="3"/>
  <c r="Q106" i="6" s="1"/>
  <c r="AA167" i="7" s="1"/>
  <c r="Q20" i="3"/>
  <c r="Q118" i="6" s="1"/>
  <c r="AA179" i="7" s="1"/>
  <c r="AV303" i="6"/>
  <c r="AU315" i="6"/>
  <c r="AB314" i="6"/>
  <c r="AC301" i="6"/>
  <c r="Z201" i="7" l="1"/>
  <c r="Z185" i="7"/>
  <c r="AA183" i="7"/>
  <c r="AA199" i="7"/>
  <c r="Z197" i="7"/>
  <c r="Z181" i="7"/>
  <c r="Z204" i="7"/>
  <c r="Z188" i="7"/>
  <c r="Z203" i="7"/>
  <c r="Z187" i="7"/>
  <c r="Z182" i="7"/>
  <c r="Z198" i="7"/>
  <c r="Z205" i="7"/>
  <c r="Z189" i="7"/>
  <c r="Z206" i="7"/>
  <c r="Z190" i="7"/>
  <c r="Z208" i="7"/>
  <c r="Z192" i="7"/>
  <c r="Z202" i="7"/>
  <c r="Z186" i="7"/>
  <c r="AA211" i="7"/>
  <c r="AA195" i="7"/>
  <c r="Z209" i="7"/>
  <c r="Z193" i="7"/>
  <c r="AA210" i="7"/>
  <c r="AA194" i="7"/>
  <c r="Z199" i="7"/>
  <c r="Z183" i="7"/>
  <c r="AA200" i="7"/>
  <c r="AA184" i="7"/>
  <c r="Z207" i="7"/>
  <c r="Z191" i="7"/>
  <c r="Q104" i="6"/>
  <c r="AA165" i="7" s="1"/>
  <c r="R6" i="3"/>
  <c r="Q108" i="6"/>
  <c r="AA169" i="7" s="1"/>
  <c r="R10" i="3"/>
  <c r="Q111" i="6"/>
  <c r="AA172" i="7" s="1"/>
  <c r="R13" i="3"/>
  <c r="Q105" i="6"/>
  <c r="AA166" i="7" s="1"/>
  <c r="R7" i="3"/>
  <c r="Q116" i="6"/>
  <c r="AA177" i="7" s="1"/>
  <c r="R18" i="3"/>
  <c r="Q112" i="6"/>
  <c r="AA173" i="7" s="1"/>
  <c r="R14" i="3"/>
  <c r="Q115" i="6"/>
  <c r="AA176" i="7" s="1"/>
  <c r="R17" i="3"/>
  <c r="Q109" i="6"/>
  <c r="AA170" i="7" s="1"/>
  <c r="R11" i="3"/>
  <c r="Q113" i="6"/>
  <c r="AA174" i="7" s="1"/>
  <c r="R15" i="3"/>
  <c r="Q114" i="6"/>
  <c r="AA175" i="7" s="1"/>
  <c r="R16" i="3"/>
  <c r="Q110" i="6"/>
  <c r="AA171" i="7" s="1"/>
  <c r="R12" i="3"/>
  <c r="R8" i="3"/>
  <c r="R106" i="6" s="1"/>
  <c r="AB167" i="7" s="1"/>
  <c r="R9" i="3"/>
  <c r="R107" i="6" s="1"/>
  <c r="AB168" i="7" s="1"/>
  <c r="R20" i="3"/>
  <c r="R118" i="6" s="1"/>
  <c r="AB179" i="7" s="1"/>
  <c r="R19" i="3"/>
  <c r="R117" i="6" s="1"/>
  <c r="AB178" i="7" s="1"/>
  <c r="AC314" i="6"/>
  <c r="AD301" i="6"/>
  <c r="AW303" i="6"/>
  <c r="AV315" i="6"/>
  <c r="AA198" i="7" l="1"/>
  <c r="AA182" i="7"/>
  <c r="AA202" i="7"/>
  <c r="AA186" i="7"/>
  <c r="AA204" i="7"/>
  <c r="AA188" i="7"/>
  <c r="AB200" i="7"/>
  <c r="AB184" i="7"/>
  <c r="AB199" i="7"/>
  <c r="AB183" i="7"/>
  <c r="AA208" i="7"/>
  <c r="AA192" i="7"/>
  <c r="AA207" i="7"/>
  <c r="AA191" i="7"/>
  <c r="AA201" i="7"/>
  <c r="AA185" i="7"/>
  <c r="AB210" i="7"/>
  <c r="AB194" i="7"/>
  <c r="AA187" i="7"/>
  <c r="AA203" i="7"/>
  <c r="AA205" i="7"/>
  <c r="AA189" i="7"/>
  <c r="AB211" i="7"/>
  <c r="AB195" i="7"/>
  <c r="AA206" i="7"/>
  <c r="AA190" i="7"/>
  <c r="AA209" i="7"/>
  <c r="AA193" i="7"/>
  <c r="AA197" i="7"/>
  <c r="AA181" i="7"/>
  <c r="R115" i="6"/>
  <c r="AB176" i="7" s="1"/>
  <c r="S17" i="3"/>
  <c r="R112" i="6"/>
  <c r="AB173" i="7" s="1"/>
  <c r="S14" i="3"/>
  <c r="R116" i="6"/>
  <c r="AB177" i="7" s="1"/>
  <c r="S18" i="3"/>
  <c r="R114" i="6"/>
  <c r="AB175" i="7" s="1"/>
  <c r="S16" i="3"/>
  <c r="R105" i="6"/>
  <c r="AB166" i="7" s="1"/>
  <c r="S7" i="3"/>
  <c r="R111" i="6"/>
  <c r="AB172" i="7" s="1"/>
  <c r="S13" i="3"/>
  <c r="R108" i="6"/>
  <c r="AB169" i="7" s="1"/>
  <c r="S10" i="3"/>
  <c r="R113" i="6"/>
  <c r="AB174" i="7" s="1"/>
  <c r="S15" i="3"/>
  <c r="R109" i="6"/>
  <c r="AB170" i="7" s="1"/>
  <c r="S11" i="3"/>
  <c r="R110" i="6"/>
  <c r="AB171" i="7" s="1"/>
  <c r="S12" i="3"/>
  <c r="R104" i="6"/>
  <c r="AB165" i="7" s="1"/>
  <c r="S6" i="3"/>
  <c r="S20" i="3"/>
  <c r="S118" i="6" s="1"/>
  <c r="AC179" i="7" s="1"/>
  <c r="S9" i="3"/>
  <c r="S107" i="6" s="1"/>
  <c r="AC168" i="7" s="1"/>
  <c r="S19" i="3"/>
  <c r="S117" i="6" s="1"/>
  <c r="AC178" i="7" s="1"/>
  <c r="S8" i="3"/>
  <c r="AW315" i="6"/>
  <c r="AX303" i="6"/>
  <c r="AD314" i="6"/>
  <c r="AE301" i="6"/>
  <c r="AB198" i="7" l="1"/>
  <c r="AB182" i="7"/>
  <c r="AC184" i="7"/>
  <c r="AC200" i="7"/>
  <c r="AB208" i="7"/>
  <c r="AB192" i="7"/>
  <c r="AB202" i="7"/>
  <c r="AB186" i="7"/>
  <c r="AB207" i="7"/>
  <c r="AB191" i="7"/>
  <c r="AB209" i="7"/>
  <c r="AB193" i="7"/>
  <c r="AC210" i="7"/>
  <c r="AC194" i="7"/>
  <c r="AC211" i="7"/>
  <c r="AC195" i="7"/>
  <c r="AB201" i="7"/>
  <c r="AB185" i="7"/>
  <c r="AB206" i="7"/>
  <c r="AB190" i="7"/>
  <c r="AB181" i="7"/>
  <c r="AB197" i="7"/>
  <c r="AB203" i="7"/>
  <c r="AB187" i="7"/>
  <c r="AB204" i="7"/>
  <c r="AB188" i="7"/>
  <c r="AB205" i="7"/>
  <c r="AB189" i="7"/>
  <c r="S106" i="6"/>
  <c r="AC167" i="7" s="1"/>
  <c r="S110" i="6"/>
  <c r="AC171" i="7" s="1"/>
  <c r="T12" i="3"/>
  <c r="S108" i="6"/>
  <c r="AC169" i="7" s="1"/>
  <c r="T10" i="3"/>
  <c r="S111" i="6"/>
  <c r="AC172" i="7" s="1"/>
  <c r="T13" i="3"/>
  <c r="S104" i="6"/>
  <c r="AC165" i="7" s="1"/>
  <c r="T6" i="3"/>
  <c r="S109" i="6"/>
  <c r="AC170" i="7" s="1"/>
  <c r="T11" i="3"/>
  <c r="S105" i="6"/>
  <c r="AC166" i="7" s="1"/>
  <c r="T7" i="3"/>
  <c r="S114" i="6"/>
  <c r="AC175" i="7" s="1"/>
  <c r="T16" i="3"/>
  <c r="S112" i="6"/>
  <c r="AC173" i="7" s="1"/>
  <c r="T14" i="3"/>
  <c r="S113" i="6"/>
  <c r="AC174" i="7" s="1"/>
  <c r="T15" i="3"/>
  <c r="S116" i="6"/>
  <c r="AC177" i="7" s="1"/>
  <c r="T18" i="3"/>
  <c r="S115" i="6"/>
  <c r="AC176" i="7" s="1"/>
  <c r="T17" i="3"/>
  <c r="T19" i="3"/>
  <c r="T117" i="6" s="1"/>
  <c r="AD178" i="7" s="1"/>
  <c r="T8" i="3"/>
  <c r="T106" i="6" s="1"/>
  <c r="AD167" i="7" s="1"/>
  <c r="T9" i="3"/>
  <c r="T107" i="6" s="1"/>
  <c r="AD168" i="7" s="1"/>
  <c r="T20" i="3"/>
  <c r="T118" i="6" s="1"/>
  <c r="AD179" i="7" s="1"/>
  <c r="AE314" i="6"/>
  <c r="AF301" i="6"/>
  <c r="AX315" i="6"/>
  <c r="AY303" i="6"/>
  <c r="AC201" i="7" l="1"/>
  <c r="AC185" i="7"/>
  <c r="AC206" i="7"/>
  <c r="AC190" i="7"/>
  <c r="AC198" i="7"/>
  <c r="AC182" i="7"/>
  <c r="AC202" i="7"/>
  <c r="AC186" i="7"/>
  <c r="AC205" i="7"/>
  <c r="AC189" i="7"/>
  <c r="AC209" i="7"/>
  <c r="AC193" i="7"/>
  <c r="AC203" i="7"/>
  <c r="AC187" i="7"/>
  <c r="AD199" i="7"/>
  <c r="AD183" i="7"/>
  <c r="AD210" i="7"/>
  <c r="AD194" i="7"/>
  <c r="AC197" i="7"/>
  <c r="AC181" i="7"/>
  <c r="AC188" i="7"/>
  <c r="AC204" i="7"/>
  <c r="AD211" i="7"/>
  <c r="AD195" i="7"/>
  <c r="AD200" i="7"/>
  <c r="AD184" i="7"/>
  <c r="AC199" i="7"/>
  <c r="AC183" i="7"/>
  <c r="AC208" i="7"/>
  <c r="AC192" i="7"/>
  <c r="AC207" i="7"/>
  <c r="AC191" i="7"/>
  <c r="T116" i="6"/>
  <c r="AD177" i="7" s="1"/>
  <c r="U18" i="3"/>
  <c r="T112" i="6"/>
  <c r="AD173" i="7" s="1"/>
  <c r="U14" i="3"/>
  <c r="T111" i="6"/>
  <c r="AD172" i="7" s="1"/>
  <c r="U13" i="3"/>
  <c r="T114" i="6"/>
  <c r="AD175" i="7" s="1"/>
  <c r="U16" i="3"/>
  <c r="T104" i="6"/>
  <c r="AD165" i="7" s="1"/>
  <c r="U6" i="3"/>
  <c r="T113" i="6"/>
  <c r="AD174" i="7" s="1"/>
  <c r="U15" i="3"/>
  <c r="T105" i="6"/>
  <c r="AD166" i="7" s="1"/>
  <c r="U7" i="3"/>
  <c r="T108" i="6"/>
  <c r="AD169" i="7" s="1"/>
  <c r="U10" i="3"/>
  <c r="T115" i="6"/>
  <c r="AD176" i="7" s="1"/>
  <c r="U17" i="3"/>
  <c r="T109" i="6"/>
  <c r="AD170" i="7" s="1"/>
  <c r="U11" i="3"/>
  <c r="T110" i="6"/>
  <c r="AD171" i="7" s="1"/>
  <c r="U12" i="3"/>
  <c r="U9" i="3"/>
  <c r="U107" i="6" s="1"/>
  <c r="AE168" i="7" s="1"/>
  <c r="U8" i="3"/>
  <c r="U106" i="6" s="1"/>
  <c r="AE167" i="7" s="1"/>
  <c r="U20" i="3"/>
  <c r="U118" i="6" s="1"/>
  <c r="AE179" i="7" s="1"/>
  <c r="U19" i="3"/>
  <c r="AY315" i="6"/>
  <c r="AZ303" i="6"/>
  <c r="AF314" i="6"/>
  <c r="AG301" i="6"/>
  <c r="AD207" i="7" l="1"/>
  <c r="AD191" i="7"/>
  <c r="AD203" i="7"/>
  <c r="AD187" i="7"/>
  <c r="AE200" i="7"/>
  <c r="AE184" i="7"/>
  <c r="AE199" i="7"/>
  <c r="AE183" i="7"/>
  <c r="AD204" i="7"/>
  <c r="AD188" i="7"/>
  <c r="AD205" i="7"/>
  <c r="AD189" i="7"/>
  <c r="AD201" i="7"/>
  <c r="AD185" i="7"/>
  <c r="AD198" i="7"/>
  <c r="AD182" i="7"/>
  <c r="AD202" i="7"/>
  <c r="AD186" i="7"/>
  <c r="AD206" i="7"/>
  <c r="AD190" i="7"/>
  <c r="AE211" i="7"/>
  <c r="AE195" i="7"/>
  <c r="AD208" i="7"/>
  <c r="AD192" i="7"/>
  <c r="AD197" i="7"/>
  <c r="AD181" i="7"/>
  <c r="AD209" i="7"/>
  <c r="AD193" i="7"/>
  <c r="U117" i="6"/>
  <c r="AE178" i="7" s="1"/>
  <c r="U104" i="6"/>
  <c r="AE165" i="7" s="1"/>
  <c r="V6" i="3"/>
  <c r="U111" i="6"/>
  <c r="AE172" i="7" s="1"/>
  <c r="V13" i="3"/>
  <c r="U114" i="6"/>
  <c r="AE175" i="7" s="1"/>
  <c r="V16" i="3"/>
  <c r="U112" i="6"/>
  <c r="AE173" i="7" s="1"/>
  <c r="V14" i="3"/>
  <c r="U109" i="6"/>
  <c r="AE170" i="7" s="1"/>
  <c r="V11" i="3"/>
  <c r="U113" i="6"/>
  <c r="AE174" i="7" s="1"/>
  <c r="V15" i="3"/>
  <c r="U116" i="6"/>
  <c r="AE177" i="7" s="1"/>
  <c r="V18" i="3"/>
  <c r="U105" i="6"/>
  <c r="AE166" i="7" s="1"/>
  <c r="V7" i="3"/>
  <c r="U110" i="6"/>
  <c r="AE171" i="7" s="1"/>
  <c r="V12" i="3"/>
  <c r="U115" i="6"/>
  <c r="AE176" i="7" s="1"/>
  <c r="V17" i="3"/>
  <c r="U108" i="6"/>
  <c r="AE169" i="7" s="1"/>
  <c r="V10" i="3"/>
  <c r="V8" i="3"/>
  <c r="V106" i="6" s="1"/>
  <c r="AF167" i="7" s="1"/>
  <c r="V19" i="3"/>
  <c r="V117" i="6" s="1"/>
  <c r="AF178" i="7" s="1"/>
  <c r="V20" i="3"/>
  <c r="V118" i="6" s="1"/>
  <c r="AF179" i="7" s="1"/>
  <c r="V9" i="3"/>
  <c r="V107" i="6" s="1"/>
  <c r="AF168" i="7" s="1"/>
  <c r="AG314" i="6"/>
  <c r="AH301" i="6"/>
  <c r="AZ315" i="6"/>
  <c r="BA303" i="6"/>
  <c r="AF210" i="7" l="1"/>
  <c r="AF194" i="7"/>
  <c r="AE208" i="7"/>
  <c r="AE192" i="7"/>
  <c r="AE206" i="7"/>
  <c r="AE190" i="7"/>
  <c r="AF200" i="7"/>
  <c r="AF184" i="7"/>
  <c r="AF211" i="7"/>
  <c r="AF195" i="7"/>
  <c r="AE210" i="7"/>
  <c r="AE194" i="7"/>
  <c r="AE205" i="7"/>
  <c r="AE189" i="7"/>
  <c r="AE204" i="7"/>
  <c r="AE188" i="7"/>
  <c r="AE202" i="7"/>
  <c r="AE186" i="7"/>
  <c r="AE181" i="7"/>
  <c r="AE197" i="7"/>
  <c r="AE198" i="7"/>
  <c r="AE182" i="7"/>
  <c r="AE209" i="7"/>
  <c r="AE193" i="7"/>
  <c r="AE203" i="7"/>
  <c r="AE187" i="7"/>
  <c r="AF183" i="7"/>
  <c r="AF199" i="7"/>
  <c r="AE201" i="7"/>
  <c r="AE185" i="7"/>
  <c r="AE207" i="7"/>
  <c r="AE191" i="7"/>
  <c r="V113" i="6"/>
  <c r="AF174" i="7" s="1"/>
  <c r="W15" i="3"/>
  <c r="V104" i="6"/>
  <c r="AF165" i="7" s="1"/>
  <c r="W6" i="3"/>
  <c r="V116" i="6"/>
  <c r="AF177" i="7" s="1"/>
  <c r="W18" i="3"/>
  <c r="V115" i="6"/>
  <c r="AF176" i="7" s="1"/>
  <c r="W17" i="3"/>
  <c r="V112" i="6"/>
  <c r="AF173" i="7" s="1"/>
  <c r="W14" i="3"/>
  <c r="V114" i="6"/>
  <c r="AF175" i="7" s="1"/>
  <c r="W16" i="3"/>
  <c r="V105" i="6"/>
  <c r="AF166" i="7" s="1"/>
  <c r="W7" i="3"/>
  <c r="V108" i="6"/>
  <c r="AF169" i="7" s="1"/>
  <c r="W10" i="3"/>
  <c r="V110" i="6"/>
  <c r="AF171" i="7" s="1"/>
  <c r="W12" i="3"/>
  <c r="V109" i="6"/>
  <c r="AF170" i="7" s="1"/>
  <c r="W11" i="3"/>
  <c r="V111" i="6"/>
  <c r="AF172" i="7" s="1"/>
  <c r="W13" i="3"/>
  <c r="W9" i="3"/>
  <c r="W107" i="6" s="1"/>
  <c r="AG168" i="7" s="1"/>
  <c r="W19" i="3"/>
  <c r="W117" i="6" s="1"/>
  <c r="AG178" i="7" s="1"/>
  <c r="W20" i="3"/>
  <c r="W118" i="6" s="1"/>
  <c r="AG179" i="7" s="1"/>
  <c r="W8" i="3"/>
  <c r="BB303" i="6"/>
  <c r="BB315" i="6" s="1"/>
  <c r="BA315" i="6"/>
  <c r="AH314" i="6"/>
  <c r="AI301" i="6"/>
  <c r="AF201" i="7" l="1"/>
  <c r="AF185" i="7"/>
  <c r="AG200" i="7"/>
  <c r="AG184" i="7"/>
  <c r="AF204" i="7"/>
  <c r="AF188" i="7"/>
  <c r="AG210" i="7"/>
  <c r="AG194" i="7"/>
  <c r="G194" i="7" s="1"/>
  <c r="AF208" i="7"/>
  <c r="AF192" i="7"/>
  <c r="AF202" i="7"/>
  <c r="AF186" i="7"/>
  <c r="AF207" i="7"/>
  <c r="AF191" i="7"/>
  <c r="AF197" i="7"/>
  <c r="AF181" i="7"/>
  <c r="AF198" i="7"/>
  <c r="AF182" i="7"/>
  <c r="AF209" i="7"/>
  <c r="AF193" i="7"/>
  <c r="AG211" i="7"/>
  <c r="AG195" i="7"/>
  <c r="AF187" i="7"/>
  <c r="AF203" i="7"/>
  <c r="AF205" i="7"/>
  <c r="AF189" i="7"/>
  <c r="AF206" i="7"/>
  <c r="AF190" i="7"/>
  <c r="W106" i="6"/>
  <c r="AG167" i="7" s="1"/>
  <c r="W109" i="6"/>
  <c r="AG170" i="7" s="1"/>
  <c r="X11" i="3"/>
  <c r="W105" i="6"/>
  <c r="AG166" i="7" s="1"/>
  <c r="X7" i="3"/>
  <c r="W114" i="6"/>
  <c r="AG175" i="7" s="1"/>
  <c r="X16" i="3"/>
  <c r="G178" i="7"/>
  <c r="G179" i="7"/>
  <c r="G195" i="7"/>
  <c r="W108" i="6"/>
  <c r="AG169" i="7" s="1"/>
  <c r="X10" i="3"/>
  <c r="W115" i="6"/>
  <c r="AG176" i="7" s="1"/>
  <c r="X17" i="3"/>
  <c r="W104" i="6"/>
  <c r="AG165" i="7" s="1"/>
  <c r="X6" i="3"/>
  <c r="G167" i="7"/>
  <c r="W110" i="6"/>
  <c r="AG171" i="7" s="1"/>
  <c r="X12" i="3"/>
  <c r="G168" i="7"/>
  <c r="G184" i="7"/>
  <c r="W112" i="6"/>
  <c r="AG173" i="7" s="1"/>
  <c r="X14" i="3"/>
  <c r="W111" i="6"/>
  <c r="AG172" i="7" s="1"/>
  <c r="X13" i="3"/>
  <c r="W116" i="6"/>
  <c r="AG177" i="7" s="1"/>
  <c r="X18" i="3"/>
  <c r="W113" i="6"/>
  <c r="AG174" i="7" s="1"/>
  <c r="X15" i="3"/>
  <c r="X9" i="3"/>
  <c r="X107" i="6" s="1"/>
  <c r="AH168" i="7" s="1"/>
  <c r="X20" i="3"/>
  <c r="X118" i="6" s="1"/>
  <c r="AH179" i="7" s="1"/>
  <c r="X8" i="3"/>
  <c r="X106" i="6" s="1"/>
  <c r="AH167" i="7" s="1"/>
  <c r="X19" i="3"/>
  <c r="AI314" i="6"/>
  <c r="AJ301" i="6"/>
  <c r="AG209" i="7" l="1"/>
  <c r="AG193" i="7"/>
  <c r="AG201" i="7"/>
  <c r="AG185" i="7"/>
  <c r="AH211" i="7"/>
  <c r="AH195" i="7"/>
  <c r="AG205" i="7"/>
  <c r="AG189" i="7"/>
  <c r="G189" i="7" s="1"/>
  <c r="AG203" i="7"/>
  <c r="AG187" i="7"/>
  <c r="AG199" i="7"/>
  <c r="AG183" i="7"/>
  <c r="G183" i="7" s="1"/>
  <c r="AH200" i="7"/>
  <c r="AH184" i="7"/>
  <c r="AG208" i="7"/>
  <c r="G208" i="7" s="1"/>
  <c r="AG192" i="7"/>
  <c r="G192" i="7" s="1"/>
  <c r="AG207" i="7"/>
  <c r="AG191" i="7"/>
  <c r="AG182" i="7"/>
  <c r="AG198" i="7"/>
  <c r="AH199" i="7"/>
  <c r="AH183" i="7"/>
  <c r="AG204" i="7"/>
  <c r="G204" i="7" s="1"/>
  <c r="AG188" i="7"/>
  <c r="G188" i="7" s="1"/>
  <c r="AG186" i="7"/>
  <c r="AG202" i="7"/>
  <c r="AG197" i="7"/>
  <c r="AG181" i="7"/>
  <c r="AG206" i="7"/>
  <c r="G206" i="7" s="1"/>
  <c r="AG190" i="7"/>
  <c r="G190" i="7" s="1"/>
  <c r="G210" i="7"/>
  <c r="G199" i="7"/>
  <c r="X117" i="6"/>
  <c r="AH178" i="7" s="1"/>
  <c r="G211" i="7"/>
  <c r="G193" i="7"/>
  <c r="G177" i="7"/>
  <c r="G209" i="7"/>
  <c r="G176" i="7"/>
  <c r="G203" i="7"/>
  <c r="G171" i="7"/>
  <c r="G187" i="7"/>
  <c r="X115" i="6"/>
  <c r="AH176" i="7" s="1"/>
  <c r="Y17" i="3"/>
  <c r="G205" i="7"/>
  <c r="G173" i="7"/>
  <c r="X111" i="6"/>
  <c r="AH172" i="7" s="1"/>
  <c r="Y13" i="3"/>
  <c r="X108" i="6"/>
  <c r="AH169" i="7" s="1"/>
  <c r="Y10" i="3"/>
  <c r="X114" i="6"/>
  <c r="AH175" i="7" s="1"/>
  <c r="Y16" i="3"/>
  <c r="X105" i="6"/>
  <c r="AH166" i="7" s="1"/>
  <c r="Y7" i="3"/>
  <c r="X110" i="6"/>
  <c r="AH171" i="7" s="1"/>
  <c r="Y12" i="3"/>
  <c r="X113" i="6"/>
  <c r="AH174" i="7" s="1"/>
  <c r="Y15" i="3"/>
  <c r="G201" i="7"/>
  <c r="G169" i="7"/>
  <c r="G185" i="7"/>
  <c r="G207" i="7"/>
  <c r="G175" i="7"/>
  <c r="G191" i="7"/>
  <c r="G166" i="7"/>
  <c r="G182" i="7"/>
  <c r="G198" i="7"/>
  <c r="X112" i="6"/>
  <c r="AH173" i="7" s="1"/>
  <c r="Y14" i="3"/>
  <c r="G172" i="7"/>
  <c r="G174" i="7"/>
  <c r="G200" i="7"/>
  <c r="X104" i="6"/>
  <c r="AH165" i="7" s="1"/>
  <c r="Y6" i="3"/>
  <c r="X109" i="6"/>
  <c r="AH170" i="7" s="1"/>
  <c r="Y11" i="3"/>
  <c r="X116" i="6"/>
  <c r="AH177" i="7" s="1"/>
  <c r="Y18" i="3"/>
  <c r="G181" i="7"/>
  <c r="G197" i="7"/>
  <c r="G165" i="7"/>
  <c r="G186" i="7"/>
  <c r="G202" i="7"/>
  <c r="G170" i="7"/>
  <c r="Y9" i="3"/>
  <c r="Y107" i="6" s="1"/>
  <c r="AI168" i="7" s="1"/>
  <c r="Y20" i="3"/>
  <c r="Y118" i="6" s="1"/>
  <c r="AI179" i="7" s="1"/>
  <c r="Y8" i="3"/>
  <c r="Y19" i="3"/>
  <c r="Y117" i="6" s="1"/>
  <c r="AI178" i="7" s="1"/>
  <c r="AJ314" i="6"/>
  <c r="AK301" i="6"/>
  <c r="AH205" i="7" l="1"/>
  <c r="AH189" i="7"/>
  <c r="AI210" i="7"/>
  <c r="AI194" i="7"/>
  <c r="AH208" i="7"/>
  <c r="AH192" i="7"/>
  <c r="AH197" i="7"/>
  <c r="AH181" i="7"/>
  <c r="AH207" i="7"/>
  <c r="AH191" i="7"/>
  <c r="AH209" i="7"/>
  <c r="AH193" i="7"/>
  <c r="AH206" i="7"/>
  <c r="AH190" i="7"/>
  <c r="AI200" i="7"/>
  <c r="AI184" i="7"/>
  <c r="AH182" i="7"/>
  <c r="AH198" i="7"/>
  <c r="AI211" i="7"/>
  <c r="AI195" i="7"/>
  <c r="AH201" i="7"/>
  <c r="AH185" i="7"/>
  <c r="AH202" i="7"/>
  <c r="AH186" i="7"/>
  <c r="AH203" i="7"/>
  <c r="AH187" i="7"/>
  <c r="AH204" i="7"/>
  <c r="AH188" i="7"/>
  <c r="AH210" i="7"/>
  <c r="AH194" i="7"/>
  <c r="Y106" i="6"/>
  <c r="AI167" i="7" s="1"/>
  <c r="Y114" i="6"/>
  <c r="AI175" i="7" s="1"/>
  <c r="Z16" i="3"/>
  <c r="Y113" i="6"/>
  <c r="AI174" i="7" s="1"/>
  <c r="Z15" i="3"/>
  <c r="Y108" i="6"/>
  <c r="AI169" i="7" s="1"/>
  <c r="Z10" i="3"/>
  <c r="Y115" i="6"/>
  <c r="AI176" i="7" s="1"/>
  <c r="Z17" i="3"/>
  <c r="Y104" i="6"/>
  <c r="AI165" i="7" s="1"/>
  <c r="Z6" i="3"/>
  <c r="Y110" i="6"/>
  <c r="AI171" i="7" s="1"/>
  <c r="Z12" i="3"/>
  <c r="Y111" i="6"/>
  <c r="AI172" i="7" s="1"/>
  <c r="Z13" i="3"/>
  <c r="Y109" i="6"/>
  <c r="AI170" i="7" s="1"/>
  <c r="Z11" i="3"/>
  <c r="Y112" i="6"/>
  <c r="AI173" i="7" s="1"/>
  <c r="Z14" i="3"/>
  <c r="Y116" i="6"/>
  <c r="AI177" i="7" s="1"/>
  <c r="Z18" i="3"/>
  <c r="Y105" i="6"/>
  <c r="AI166" i="7" s="1"/>
  <c r="Z7" i="3"/>
  <c r="Z19" i="3"/>
  <c r="Z117" i="6" s="1"/>
  <c r="AJ178" i="7" s="1"/>
  <c r="Z9" i="3"/>
  <c r="Z107" i="6" s="1"/>
  <c r="AJ168" i="7" s="1"/>
  <c r="Z20" i="3"/>
  <c r="Z118" i="6" s="1"/>
  <c r="AJ179" i="7" s="1"/>
  <c r="Z8" i="3"/>
  <c r="Z106" i="6" s="1"/>
  <c r="AJ167" i="7" s="1"/>
  <c r="AL301" i="6"/>
  <c r="AK314" i="6"/>
  <c r="AI197" i="7" l="1"/>
  <c r="AI181" i="7"/>
  <c r="AI205" i="7"/>
  <c r="AI189" i="7"/>
  <c r="AI208" i="7"/>
  <c r="AI192" i="7"/>
  <c r="AI202" i="7"/>
  <c r="AI186" i="7"/>
  <c r="AI201" i="7"/>
  <c r="AI185" i="7"/>
  <c r="AJ211" i="7"/>
  <c r="AJ195" i="7"/>
  <c r="AJ200" i="7"/>
  <c r="AJ184" i="7"/>
  <c r="AJ210" i="7"/>
  <c r="AJ194" i="7"/>
  <c r="AI207" i="7"/>
  <c r="AI191" i="7"/>
  <c r="AI199" i="7"/>
  <c r="AI183" i="7"/>
  <c r="AI198" i="7"/>
  <c r="AI182" i="7"/>
  <c r="AI187" i="7"/>
  <c r="AI203" i="7"/>
  <c r="AI204" i="7"/>
  <c r="AI188" i="7"/>
  <c r="AI209" i="7"/>
  <c r="AI193" i="7"/>
  <c r="AI206" i="7"/>
  <c r="AI190" i="7"/>
  <c r="AJ199" i="7"/>
  <c r="AJ183" i="7"/>
  <c r="Z111" i="6"/>
  <c r="AJ172" i="7" s="1"/>
  <c r="AA13" i="3"/>
  <c r="Z115" i="6"/>
  <c r="AJ176" i="7" s="1"/>
  <c r="AA17" i="3"/>
  <c r="Z113" i="6"/>
  <c r="AJ174" i="7" s="1"/>
  <c r="AA15" i="3"/>
  <c r="Z105" i="6"/>
  <c r="AJ166" i="7" s="1"/>
  <c r="AA7" i="3"/>
  <c r="Z110" i="6"/>
  <c r="AJ171" i="7" s="1"/>
  <c r="AA12" i="3"/>
  <c r="Z109" i="6"/>
  <c r="AJ170" i="7" s="1"/>
  <c r="AA11" i="3"/>
  <c r="Z104" i="6"/>
  <c r="AJ165" i="7" s="1"/>
  <c r="AA6" i="3"/>
  <c r="Z116" i="6"/>
  <c r="AJ177" i="7" s="1"/>
  <c r="AA18" i="3"/>
  <c r="Z112" i="6"/>
  <c r="AJ173" i="7" s="1"/>
  <c r="AA14" i="3"/>
  <c r="Z108" i="6"/>
  <c r="AJ169" i="7" s="1"/>
  <c r="AA10" i="3"/>
  <c r="Z114" i="6"/>
  <c r="AJ175" i="7" s="1"/>
  <c r="AA16" i="3"/>
  <c r="AA9" i="3"/>
  <c r="AA107" i="6" s="1"/>
  <c r="AK168" i="7" s="1"/>
  <c r="AA20" i="3"/>
  <c r="AA118" i="6" s="1"/>
  <c r="AK179" i="7" s="1"/>
  <c r="AA8" i="3"/>
  <c r="AA106" i="6" s="1"/>
  <c r="AK167" i="7" s="1"/>
  <c r="AA19" i="3"/>
  <c r="AA117" i="6" s="1"/>
  <c r="AK178" i="7" s="1"/>
  <c r="AM301" i="6"/>
  <c r="AL314" i="6"/>
  <c r="AJ198" i="7" l="1"/>
  <c r="AJ182" i="7"/>
  <c r="AJ207" i="7"/>
  <c r="AJ191" i="7"/>
  <c r="AJ209" i="7"/>
  <c r="AJ193" i="7"/>
  <c r="AK184" i="7"/>
  <c r="AK200" i="7"/>
  <c r="AJ206" i="7"/>
  <c r="AJ190" i="7"/>
  <c r="AJ181" i="7"/>
  <c r="AJ197" i="7"/>
  <c r="AJ185" i="7"/>
  <c r="AJ201" i="7"/>
  <c r="AJ208" i="7"/>
  <c r="AJ192" i="7"/>
  <c r="AK210" i="7"/>
  <c r="AK194" i="7"/>
  <c r="AK211" i="7"/>
  <c r="AK195" i="7"/>
  <c r="AJ202" i="7"/>
  <c r="AJ186" i="7"/>
  <c r="AK199" i="7"/>
  <c r="AK183" i="7"/>
  <c r="AJ205" i="7"/>
  <c r="AJ189" i="7"/>
  <c r="AJ203" i="7"/>
  <c r="AJ187" i="7"/>
  <c r="AJ204" i="7"/>
  <c r="AJ188" i="7"/>
  <c r="AA109" i="6"/>
  <c r="AK170" i="7" s="1"/>
  <c r="AB11" i="3"/>
  <c r="AA110" i="6"/>
  <c r="AK171" i="7" s="1"/>
  <c r="AB12" i="3"/>
  <c r="AA113" i="6"/>
  <c r="AK174" i="7" s="1"/>
  <c r="AB15" i="3"/>
  <c r="AA116" i="6"/>
  <c r="AK177" i="7" s="1"/>
  <c r="AB18" i="3"/>
  <c r="AA105" i="6"/>
  <c r="AK166" i="7" s="1"/>
  <c r="AB7" i="3"/>
  <c r="AA115" i="6"/>
  <c r="AK176" i="7" s="1"/>
  <c r="AB17" i="3"/>
  <c r="AA112" i="6"/>
  <c r="AK173" i="7" s="1"/>
  <c r="AB14" i="3"/>
  <c r="AA114" i="6"/>
  <c r="AK175" i="7" s="1"/>
  <c r="AB16" i="3"/>
  <c r="AA104" i="6"/>
  <c r="AK165" i="7" s="1"/>
  <c r="AB6" i="3"/>
  <c r="AA111" i="6"/>
  <c r="AK172" i="7" s="1"/>
  <c r="AB13" i="3"/>
  <c r="AA108" i="6"/>
  <c r="AK169" i="7" s="1"/>
  <c r="AB10" i="3"/>
  <c r="AB8" i="3"/>
  <c r="AB106" i="6" s="1"/>
  <c r="AL167" i="7" s="1"/>
  <c r="AB9" i="3"/>
  <c r="AB107" i="6" s="1"/>
  <c r="AL168" i="7" s="1"/>
  <c r="AB19" i="3"/>
  <c r="AB117" i="6" s="1"/>
  <c r="AL178" i="7" s="1"/>
  <c r="AB20" i="3"/>
  <c r="AB118" i="6" s="1"/>
  <c r="AL179" i="7" s="1"/>
  <c r="AM314" i="6"/>
  <c r="AN301" i="6"/>
  <c r="AL210" i="7" l="1"/>
  <c r="AL194" i="7"/>
  <c r="AK197" i="7"/>
  <c r="AK181" i="7"/>
  <c r="AL211" i="7"/>
  <c r="AL195" i="7"/>
  <c r="AK198" i="7"/>
  <c r="AK182" i="7"/>
  <c r="AL199" i="7"/>
  <c r="AL183" i="7"/>
  <c r="AL200" i="7"/>
  <c r="AL184" i="7"/>
  <c r="AK202" i="7"/>
  <c r="AK186" i="7"/>
  <c r="AK207" i="7"/>
  <c r="AK191" i="7"/>
  <c r="AK209" i="7"/>
  <c r="AK193" i="7"/>
  <c r="AK205" i="7"/>
  <c r="AK189" i="7"/>
  <c r="AK201" i="7"/>
  <c r="AK185" i="7"/>
  <c r="AK206" i="7"/>
  <c r="AK190" i="7"/>
  <c r="AK188" i="7"/>
  <c r="AK204" i="7"/>
  <c r="AK208" i="7"/>
  <c r="AK192" i="7"/>
  <c r="AK203" i="7"/>
  <c r="AK187" i="7"/>
  <c r="AB105" i="6"/>
  <c r="AL166" i="7" s="1"/>
  <c r="AC7" i="3"/>
  <c r="AB104" i="6"/>
  <c r="AL165" i="7" s="1"/>
  <c r="AC6" i="3"/>
  <c r="AB114" i="6"/>
  <c r="AL175" i="7" s="1"/>
  <c r="AC16" i="3"/>
  <c r="AB113" i="6"/>
  <c r="AL174" i="7" s="1"/>
  <c r="AC15" i="3"/>
  <c r="AB112" i="6"/>
  <c r="AL173" i="7" s="1"/>
  <c r="AC14" i="3"/>
  <c r="AB116" i="6"/>
  <c r="AL177" i="7" s="1"/>
  <c r="AC18" i="3"/>
  <c r="AB110" i="6"/>
  <c r="AL171" i="7" s="1"/>
  <c r="AC12" i="3"/>
  <c r="AB108" i="6"/>
  <c r="AL169" i="7" s="1"/>
  <c r="AC10" i="3"/>
  <c r="AB111" i="6"/>
  <c r="AL172" i="7" s="1"/>
  <c r="AC13" i="3"/>
  <c r="AB109" i="6"/>
  <c r="AL170" i="7" s="1"/>
  <c r="AC11" i="3"/>
  <c r="AB115" i="6"/>
  <c r="AL176" i="7" s="1"/>
  <c r="AC17" i="3"/>
  <c r="AC20" i="3"/>
  <c r="AC118" i="6" s="1"/>
  <c r="AM179" i="7" s="1"/>
  <c r="AC19" i="3"/>
  <c r="AC117" i="6" s="1"/>
  <c r="AM178" i="7" s="1"/>
  <c r="AC8" i="3"/>
  <c r="AC106" i="6" s="1"/>
  <c r="AM167" i="7" s="1"/>
  <c r="AC9" i="3"/>
  <c r="AC107" i="6" s="1"/>
  <c r="AM168" i="7" s="1"/>
  <c r="AO301" i="6"/>
  <c r="AN314" i="6"/>
  <c r="AL206" i="7" l="1"/>
  <c r="AL190" i="7"/>
  <c r="AL205" i="7"/>
  <c r="AL189" i="7"/>
  <c r="AM210" i="7"/>
  <c r="AM194" i="7"/>
  <c r="AM200" i="7"/>
  <c r="AM184" i="7"/>
  <c r="AL198" i="7"/>
  <c r="AL182" i="7"/>
  <c r="AM199" i="7"/>
  <c r="AM183" i="7"/>
  <c r="AM211" i="7"/>
  <c r="AM195" i="7"/>
  <c r="AL208" i="7"/>
  <c r="AL192" i="7"/>
  <c r="AL207" i="7"/>
  <c r="AL191" i="7"/>
  <c r="AL204" i="7"/>
  <c r="AL188" i="7"/>
  <c r="AL201" i="7"/>
  <c r="AL185" i="7"/>
  <c r="AL203" i="7"/>
  <c r="AL187" i="7"/>
  <c r="AL202" i="7"/>
  <c r="AL186" i="7"/>
  <c r="AL209" i="7"/>
  <c r="AL193" i="7"/>
  <c r="AL197" i="7"/>
  <c r="AL181" i="7"/>
  <c r="AC112" i="6"/>
  <c r="AM173" i="7" s="1"/>
  <c r="AD14" i="3"/>
  <c r="AC104" i="6"/>
  <c r="AM165" i="7" s="1"/>
  <c r="AD6" i="3"/>
  <c r="AC109" i="6"/>
  <c r="AM170" i="7" s="1"/>
  <c r="AD11" i="3"/>
  <c r="AC111" i="6"/>
  <c r="AM172" i="7" s="1"/>
  <c r="AD13" i="3"/>
  <c r="AC110" i="6"/>
  <c r="AM171" i="7" s="1"/>
  <c r="AD12" i="3"/>
  <c r="AC114" i="6"/>
  <c r="AM175" i="7" s="1"/>
  <c r="AD16" i="3"/>
  <c r="AC105" i="6"/>
  <c r="AM166" i="7" s="1"/>
  <c r="AD7" i="3"/>
  <c r="AC115" i="6"/>
  <c r="AM176" i="7" s="1"/>
  <c r="AD17" i="3"/>
  <c r="AC108" i="6"/>
  <c r="AM169" i="7" s="1"/>
  <c r="AD10" i="3"/>
  <c r="AC116" i="6"/>
  <c r="AM177" i="7" s="1"/>
  <c r="AD18" i="3"/>
  <c r="AC113" i="6"/>
  <c r="AM174" i="7" s="1"/>
  <c r="AD15" i="3"/>
  <c r="AD8" i="3"/>
  <c r="AD19" i="3"/>
  <c r="AD117" i="6" s="1"/>
  <c r="AN178" i="7" s="1"/>
  <c r="AD20" i="3"/>
  <c r="AD118" i="6" s="1"/>
  <c r="AN179" i="7" s="1"/>
  <c r="AD9" i="3"/>
  <c r="AD107" i="6" s="1"/>
  <c r="AN168" i="7" s="1"/>
  <c r="AP301" i="6"/>
  <c r="AO314" i="6"/>
  <c r="AM185" i="7" l="1"/>
  <c r="AM201" i="7"/>
  <c r="AN200" i="7"/>
  <c r="AN184" i="7"/>
  <c r="AM208" i="7"/>
  <c r="AM192" i="7"/>
  <c r="AN211" i="7"/>
  <c r="AN195" i="7"/>
  <c r="AM204" i="7"/>
  <c r="AM188" i="7"/>
  <c r="AM198" i="7"/>
  <c r="AM182" i="7"/>
  <c r="AM206" i="7"/>
  <c r="AM190" i="7"/>
  <c r="AM202" i="7"/>
  <c r="AM186" i="7"/>
  <c r="AM203" i="7"/>
  <c r="AM187" i="7"/>
  <c r="AM205" i="7"/>
  <c r="AM189" i="7"/>
  <c r="AN210" i="7"/>
  <c r="AN194" i="7"/>
  <c r="AM209" i="7"/>
  <c r="AM193" i="7"/>
  <c r="AM207" i="7"/>
  <c r="AM191" i="7"/>
  <c r="AM181" i="7"/>
  <c r="AM197" i="7"/>
  <c r="AD106" i="6"/>
  <c r="AN167" i="7" s="1"/>
  <c r="AD104" i="6"/>
  <c r="AN165" i="7" s="1"/>
  <c r="AE6" i="3"/>
  <c r="AD111" i="6"/>
  <c r="AN172" i="7" s="1"/>
  <c r="AE13" i="3"/>
  <c r="AD113" i="6"/>
  <c r="AN174" i="7" s="1"/>
  <c r="AE15" i="3"/>
  <c r="AD105" i="6"/>
  <c r="AN166" i="7" s="1"/>
  <c r="AE7" i="3"/>
  <c r="AD109" i="6"/>
  <c r="AN170" i="7" s="1"/>
  <c r="AE11" i="3"/>
  <c r="AD116" i="6"/>
  <c r="AN177" i="7" s="1"/>
  <c r="AE18" i="3"/>
  <c r="AD114" i="6"/>
  <c r="AN175" i="7" s="1"/>
  <c r="AE16" i="3"/>
  <c r="AD112" i="6"/>
  <c r="AN173" i="7" s="1"/>
  <c r="AE14" i="3"/>
  <c r="AD115" i="6"/>
  <c r="AN176" i="7" s="1"/>
  <c r="AE17" i="3"/>
  <c r="AD108" i="6"/>
  <c r="AN169" i="7" s="1"/>
  <c r="AE10" i="3"/>
  <c r="AD110" i="6"/>
  <c r="AN171" i="7" s="1"/>
  <c r="AE12" i="3"/>
  <c r="AE20" i="3"/>
  <c r="AE118" i="6" s="1"/>
  <c r="AO179" i="7" s="1"/>
  <c r="AE8" i="3"/>
  <c r="AE106" i="6" s="1"/>
  <c r="AO167" i="7" s="1"/>
  <c r="AE9" i="3"/>
  <c r="AE107" i="6" s="1"/>
  <c r="AO168" i="7" s="1"/>
  <c r="AE19" i="3"/>
  <c r="AE117" i="6" s="1"/>
  <c r="AO178" i="7" s="1"/>
  <c r="AQ301" i="6"/>
  <c r="AP314" i="6"/>
  <c r="AN193" i="7" l="1"/>
  <c r="AN209" i="7"/>
  <c r="AO210" i="7"/>
  <c r="AO194" i="7"/>
  <c r="AN185" i="7"/>
  <c r="AN201" i="7"/>
  <c r="AN208" i="7"/>
  <c r="AN192" i="7"/>
  <c r="AO200" i="7"/>
  <c r="AO184" i="7"/>
  <c r="AN197" i="7"/>
  <c r="AN181" i="7"/>
  <c r="AN204" i="7"/>
  <c r="AN188" i="7"/>
  <c r="AO199" i="7"/>
  <c r="AO183" i="7"/>
  <c r="AN205" i="7"/>
  <c r="AN189" i="7"/>
  <c r="AN206" i="7"/>
  <c r="AN190" i="7"/>
  <c r="AN202" i="7"/>
  <c r="AN186" i="7"/>
  <c r="AN199" i="7"/>
  <c r="AN183" i="7"/>
  <c r="AO211" i="7"/>
  <c r="AO195" i="7"/>
  <c r="AN198" i="7"/>
  <c r="AN182" i="7"/>
  <c r="AN203" i="7"/>
  <c r="AN187" i="7"/>
  <c r="AN207" i="7"/>
  <c r="AN191" i="7"/>
  <c r="AE105" i="6"/>
  <c r="AO166" i="7" s="1"/>
  <c r="AF7" i="3"/>
  <c r="AE114" i="6"/>
  <c r="AO175" i="7" s="1"/>
  <c r="AF16" i="3"/>
  <c r="AE113" i="6"/>
  <c r="AO174" i="7" s="1"/>
  <c r="AF15" i="3"/>
  <c r="AE110" i="6"/>
  <c r="AO171" i="7" s="1"/>
  <c r="AF12" i="3"/>
  <c r="AE115" i="6"/>
  <c r="AO176" i="7" s="1"/>
  <c r="AF17" i="3"/>
  <c r="AE116" i="6"/>
  <c r="AO177" i="7" s="1"/>
  <c r="AF18" i="3"/>
  <c r="AE111" i="6"/>
  <c r="AO172" i="7" s="1"/>
  <c r="AF13" i="3"/>
  <c r="AE104" i="6"/>
  <c r="AO165" i="7" s="1"/>
  <c r="AF6" i="3"/>
  <c r="AE108" i="6"/>
  <c r="AO169" i="7" s="1"/>
  <c r="AF10" i="3"/>
  <c r="AE109" i="6"/>
  <c r="AO170" i="7" s="1"/>
  <c r="AF11" i="3"/>
  <c r="AE112" i="6"/>
  <c r="AO173" i="7" s="1"/>
  <c r="AF14" i="3"/>
  <c r="AF9" i="3"/>
  <c r="AF107" i="6" s="1"/>
  <c r="AP168" i="7" s="1"/>
  <c r="AF19" i="3"/>
  <c r="AF117" i="6" s="1"/>
  <c r="AP178" i="7" s="1"/>
  <c r="AF20" i="3"/>
  <c r="AF118" i="6" s="1"/>
  <c r="AP179" i="7" s="1"/>
  <c r="AF8" i="3"/>
  <c r="AF106" i="6" s="1"/>
  <c r="AP167" i="7" s="1"/>
  <c r="AQ314" i="6"/>
  <c r="AR301" i="6"/>
  <c r="AO197" i="7" l="1"/>
  <c r="AO181" i="7"/>
  <c r="AO204" i="7"/>
  <c r="AO188" i="7"/>
  <c r="AP210" i="7"/>
  <c r="AP194" i="7"/>
  <c r="AP200" i="7"/>
  <c r="AP184" i="7"/>
  <c r="AO209" i="7"/>
  <c r="AO193" i="7"/>
  <c r="AO203" i="7"/>
  <c r="AO187" i="7"/>
  <c r="AO205" i="7"/>
  <c r="AO189" i="7"/>
  <c r="AO206" i="7"/>
  <c r="AO190" i="7"/>
  <c r="AO207" i="7"/>
  <c r="AO191" i="7"/>
  <c r="AO186" i="7"/>
  <c r="AO202" i="7"/>
  <c r="AP199" i="7"/>
  <c r="AP183" i="7"/>
  <c r="AP211" i="7"/>
  <c r="AP195" i="7"/>
  <c r="AO201" i="7"/>
  <c r="AO185" i="7"/>
  <c r="AO208" i="7"/>
  <c r="AO192" i="7"/>
  <c r="AO198" i="7"/>
  <c r="AO182" i="7"/>
  <c r="AF115" i="6"/>
  <c r="AP176" i="7" s="1"/>
  <c r="AG17" i="3"/>
  <c r="AF113" i="6"/>
  <c r="AP174" i="7" s="1"/>
  <c r="AG15" i="3"/>
  <c r="AF104" i="6"/>
  <c r="AP165" i="7" s="1"/>
  <c r="AG6" i="3"/>
  <c r="AF114" i="6"/>
  <c r="AP175" i="7" s="1"/>
  <c r="AG16" i="3"/>
  <c r="AF112" i="6"/>
  <c r="AP173" i="7" s="1"/>
  <c r="AG14" i="3"/>
  <c r="AF111" i="6"/>
  <c r="AP172" i="7" s="1"/>
  <c r="AG13" i="3"/>
  <c r="AF109" i="6"/>
  <c r="AP170" i="7" s="1"/>
  <c r="AG11" i="3"/>
  <c r="AF108" i="6"/>
  <c r="AP169" i="7" s="1"/>
  <c r="AG10" i="3"/>
  <c r="AF116" i="6"/>
  <c r="AP177" i="7" s="1"/>
  <c r="AG18" i="3"/>
  <c r="AF110" i="6"/>
  <c r="AP171" i="7" s="1"/>
  <c r="AG12" i="3"/>
  <c r="AF105" i="6"/>
  <c r="AP166" i="7" s="1"/>
  <c r="AG7" i="3"/>
  <c r="AG8" i="3"/>
  <c r="AG106" i="6" s="1"/>
  <c r="AQ167" i="7" s="1"/>
  <c r="AG20" i="3"/>
  <c r="AG118" i="6" s="1"/>
  <c r="AQ179" i="7" s="1"/>
  <c r="AG19" i="3"/>
  <c r="AG117" i="6" s="1"/>
  <c r="AQ178" i="7" s="1"/>
  <c r="AG9" i="3"/>
  <c r="AG107" i="6" s="1"/>
  <c r="AQ168" i="7" s="1"/>
  <c r="AR314" i="6"/>
  <c r="AS301" i="6"/>
  <c r="AQ210" i="7" l="1"/>
  <c r="AQ194" i="7"/>
  <c r="AP207" i="7"/>
  <c r="AP191" i="7"/>
  <c r="AP205" i="7"/>
  <c r="AP189" i="7"/>
  <c r="AP201" i="7"/>
  <c r="AP185" i="7"/>
  <c r="AQ200" i="7"/>
  <c r="AQ184" i="7"/>
  <c r="AP209" i="7"/>
  <c r="AP193" i="7"/>
  <c r="AP208" i="7"/>
  <c r="AP192" i="7"/>
  <c r="AQ211" i="7"/>
  <c r="AQ195" i="7"/>
  <c r="H195" i="7" s="1"/>
  <c r="AQ183" i="7"/>
  <c r="AQ199" i="7"/>
  <c r="AP198" i="7"/>
  <c r="AP182" i="7"/>
  <c r="AP197" i="7"/>
  <c r="AP181" i="7"/>
  <c r="AP202" i="7"/>
  <c r="AP186" i="7"/>
  <c r="AP203" i="7"/>
  <c r="AP187" i="7"/>
  <c r="AP204" i="7"/>
  <c r="AP188" i="7"/>
  <c r="AP206" i="7"/>
  <c r="AP190" i="7"/>
  <c r="H167" i="7"/>
  <c r="H183" i="7"/>
  <c r="AG116" i="6"/>
  <c r="AQ177" i="7" s="1"/>
  <c r="AH18" i="3"/>
  <c r="AG114" i="6"/>
  <c r="AQ175" i="7" s="1"/>
  <c r="AH16" i="3"/>
  <c r="AG113" i="6"/>
  <c r="AQ174" i="7" s="1"/>
  <c r="AH15" i="3"/>
  <c r="H178" i="7"/>
  <c r="H210" i="7"/>
  <c r="H194" i="7"/>
  <c r="AG108" i="6"/>
  <c r="AQ169" i="7" s="1"/>
  <c r="AH10" i="3"/>
  <c r="H179" i="7"/>
  <c r="AG105" i="6"/>
  <c r="AQ166" i="7" s="1"/>
  <c r="AH7" i="3"/>
  <c r="H199" i="7" s="1"/>
  <c r="AG109" i="6"/>
  <c r="AQ170" i="7" s="1"/>
  <c r="AH11" i="3"/>
  <c r="AG111" i="6"/>
  <c r="AQ172" i="7" s="1"/>
  <c r="AH13" i="3"/>
  <c r="AG104" i="6"/>
  <c r="AQ165" i="7" s="1"/>
  <c r="AH6" i="3"/>
  <c r="AG115" i="6"/>
  <c r="AQ176" i="7" s="1"/>
  <c r="AH17" i="3"/>
  <c r="AG110" i="6"/>
  <c r="AQ171" i="7" s="1"/>
  <c r="AH12" i="3"/>
  <c r="AG112" i="6"/>
  <c r="AQ173" i="7" s="1"/>
  <c r="AH14" i="3"/>
  <c r="H184" i="7"/>
  <c r="H168" i="7"/>
  <c r="AH19" i="3"/>
  <c r="AH9" i="3"/>
  <c r="AH107" i="6" s="1"/>
  <c r="AR168" i="7" s="1"/>
  <c r="AH20" i="3"/>
  <c r="AH118" i="6" s="1"/>
  <c r="AR179" i="7" s="1"/>
  <c r="AH8" i="3"/>
  <c r="AH106" i="6" s="1"/>
  <c r="AR167" i="7" s="1"/>
  <c r="AS314" i="6"/>
  <c r="AT301" i="6"/>
  <c r="AR200" i="7" l="1"/>
  <c r="AR184" i="7"/>
  <c r="AQ198" i="7"/>
  <c r="AQ182" i="7"/>
  <c r="AQ208" i="7"/>
  <c r="H208" i="7" s="1"/>
  <c r="AQ192" i="7"/>
  <c r="H192" i="7" s="1"/>
  <c r="AQ203" i="7"/>
  <c r="H203" i="7" s="1"/>
  <c r="AQ187" i="7"/>
  <c r="AQ207" i="7"/>
  <c r="AQ191" i="7"/>
  <c r="AR211" i="7"/>
  <c r="AR195" i="7"/>
  <c r="AQ206" i="7"/>
  <c r="H206" i="7" s="1"/>
  <c r="AQ190" i="7"/>
  <c r="H190" i="7" s="1"/>
  <c r="AQ197" i="7"/>
  <c r="H197" i="7" s="1"/>
  <c r="AQ181" i="7"/>
  <c r="H181" i="7" s="1"/>
  <c r="AQ201" i="7"/>
  <c r="AQ185" i="7"/>
  <c r="AQ202" i="7"/>
  <c r="H202" i="7" s="1"/>
  <c r="AQ186" i="7"/>
  <c r="AQ205" i="7"/>
  <c r="H205" i="7" s="1"/>
  <c r="AQ189" i="7"/>
  <c r="AQ204" i="7"/>
  <c r="H204" i="7" s="1"/>
  <c r="AQ188" i="7"/>
  <c r="H188" i="7" s="1"/>
  <c r="AR183" i="7"/>
  <c r="AR199" i="7"/>
  <c r="AQ209" i="7"/>
  <c r="AQ193" i="7"/>
  <c r="AH117" i="6"/>
  <c r="AR178" i="7" s="1"/>
  <c r="H211" i="7"/>
  <c r="AH116" i="6"/>
  <c r="AR177" i="7" s="1"/>
  <c r="AI18" i="3"/>
  <c r="H176" i="7"/>
  <c r="AH113" i="6"/>
  <c r="AR174" i="7" s="1"/>
  <c r="AI15" i="3"/>
  <c r="H177" i="7"/>
  <c r="H193" i="7"/>
  <c r="H209" i="7"/>
  <c r="H174" i="7"/>
  <c r="H173" i="7"/>
  <c r="H189" i="7"/>
  <c r="H172" i="7"/>
  <c r="AH114" i="6"/>
  <c r="AR175" i="7" s="1"/>
  <c r="AI16" i="3"/>
  <c r="H166" i="7"/>
  <c r="H198" i="7"/>
  <c r="H182" i="7"/>
  <c r="AH104" i="6"/>
  <c r="AR165" i="7" s="1"/>
  <c r="AI6" i="3"/>
  <c r="AH112" i="6"/>
  <c r="AR173" i="7" s="1"/>
  <c r="AI14" i="3"/>
  <c r="AH110" i="6"/>
  <c r="AR171" i="7" s="1"/>
  <c r="AI12" i="3"/>
  <c r="AH109" i="6"/>
  <c r="AR170" i="7" s="1"/>
  <c r="AI11" i="3"/>
  <c r="AH108" i="6"/>
  <c r="AR169" i="7" s="1"/>
  <c r="AI10" i="3"/>
  <c r="H175" i="7"/>
  <c r="H191" i="7"/>
  <c r="H207" i="7"/>
  <c r="H165" i="7"/>
  <c r="H171" i="7"/>
  <c r="H187" i="7"/>
  <c r="H169" i="7"/>
  <c r="H185" i="7"/>
  <c r="H201" i="7"/>
  <c r="AH111" i="6"/>
  <c r="AR172" i="7" s="1"/>
  <c r="AI13" i="3"/>
  <c r="H186" i="7"/>
  <c r="H170" i="7"/>
  <c r="H200" i="7"/>
  <c r="AH115" i="6"/>
  <c r="AR176" i="7" s="1"/>
  <c r="AI17" i="3"/>
  <c r="AH105" i="6"/>
  <c r="AR166" i="7" s="1"/>
  <c r="AI7" i="3"/>
  <c r="AI20" i="3"/>
  <c r="AI118" i="6" s="1"/>
  <c r="AS179" i="7" s="1"/>
  <c r="AI8" i="3"/>
  <c r="AI106" i="6" s="1"/>
  <c r="AS167" i="7" s="1"/>
  <c r="AI19" i="3"/>
  <c r="AI117" i="6" s="1"/>
  <c r="AS178" i="7" s="1"/>
  <c r="AI9" i="3"/>
  <c r="AI107" i="6" s="1"/>
  <c r="AS168" i="7" s="1"/>
  <c r="AT314" i="6"/>
  <c r="AU301" i="6"/>
  <c r="AS211" i="7" l="1"/>
  <c r="AS195" i="7"/>
  <c r="AR202" i="7"/>
  <c r="AR186" i="7"/>
  <c r="AS199" i="7"/>
  <c r="AS183" i="7"/>
  <c r="AR201" i="7"/>
  <c r="AR185" i="7"/>
  <c r="AR206" i="7"/>
  <c r="AR190" i="7"/>
  <c r="AR204" i="7"/>
  <c r="AR188" i="7"/>
  <c r="AR198" i="7"/>
  <c r="AR182" i="7"/>
  <c r="AR208" i="7"/>
  <c r="AR192" i="7"/>
  <c r="AR203" i="7"/>
  <c r="AR187" i="7"/>
  <c r="AS184" i="7"/>
  <c r="AS200" i="7"/>
  <c r="AR207" i="7"/>
  <c r="AR191" i="7"/>
  <c r="AR197" i="7"/>
  <c r="AR181" i="7"/>
  <c r="AR209" i="7"/>
  <c r="AR193" i="7"/>
  <c r="AR210" i="7"/>
  <c r="AR194" i="7"/>
  <c r="AS210" i="7"/>
  <c r="AS194" i="7"/>
  <c r="AR205" i="7"/>
  <c r="AR189" i="7"/>
  <c r="AI111" i="6"/>
  <c r="AS172" i="7" s="1"/>
  <c r="AJ13" i="3"/>
  <c r="AI108" i="6"/>
  <c r="AS169" i="7" s="1"/>
  <c r="AJ10" i="3"/>
  <c r="AI110" i="6"/>
  <c r="AS171" i="7" s="1"/>
  <c r="AJ12" i="3"/>
  <c r="AI105" i="6"/>
  <c r="AS166" i="7" s="1"/>
  <c r="AJ7" i="3"/>
  <c r="AI109" i="6"/>
  <c r="AS170" i="7" s="1"/>
  <c r="AJ11" i="3"/>
  <c r="AI114" i="6"/>
  <c r="AS175" i="7" s="1"/>
  <c r="AJ16" i="3"/>
  <c r="AI115" i="6"/>
  <c r="AS176" i="7" s="1"/>
  <c r="AJ17" i="3"/>
  <c r="AI112" i="6"/>
  <c r="AS173" i="7" s="1"/>
  <c r="AJ14" i="3"/>
  <c r="AI116" i="6"/>
  <c r="AS177" i="7" s="1"/>
  <c r="AJ18" i="3"/>
  <c r="AI104" i="6"/>
  <c r="AS165" i="7" s="1"/>
  <c r="AJ6" i="3"/>
  <c r="AI113" i="6"/>
  <c r="AS174" i="7" s="1"/>
  <c r="AJ15" i="3"/>
  <c r="AJ20" i="3"/>
  <c r="AJ118" i="6" s="1"/>
  <c r="AT179" i="7" s="1"/>
  <c r="AJ19" i="3"/>
  <c r="AJ117" i="6" s="1"/>
  <c r="AT178" i="7" s="1"/>
  <c r="AJ9" i="3"/>
  <c r="AJ107" i="6" s="1"/>
  <c r="AT168" i="7" s="1"/>
  <c r="AJ8" i="3"/>
  <c r="AJ106" i="6" s="1"/>
  <c r="AT167" i="7" s="1"/>
  <c r="AU314" i="6"/>
  <c r="AV301" i="6"/>
  <c r="AT211" i="7" l="1"/>
  <c r="AT195" i="7"/>
  <c r="AS197" i="7"/>
  <c r="AS181" i="7"/>
  <c r="AS207" i="7"/>
  <c r="AS191" i="7"/>
  <c r="AS201" i="7"/>
  <c r="AS185" i="7"/>
  <c r="AS198" i="7"/>
  <c r="AS182" i="7"/>
  <c r="AS203" i="7"/>
  <c r="AS187" i="7"/>
  <c r="AT199" i="7"/>
  <c r="AT183" i="7"/>
  <c r="AT210" i="7"/>
  <c r="AT194" i="7"/>
  <c r="AS205" i="7"/>
  <c r="AS189" i="7"/>
  <c r="AS206" i="7"/>
  <c r="AS190" i="7"/>
  <c r="AS208" i="7"/>
  <c r="AS192" i="7"/>
  <c r="AT200" i="7"/>
  <c r="AT184" i="7"/>
  <c r="AS209" i="7"/>
  <c r="AS193" i="7"/>
  <c r="AS202" i="7"/>
  <c r="AS186" i="7"/>
  <c r="AS188" i="7"/>
  <c r="AS204" i="7"/>
  <c r="AJ110" i="6"/>
  <c r="AT171" i="7" s="1"/>
  <c r="AK12" i="3"/>
  <c r="AJ109" i="6"/>
  <c r="AT170" i="7" s="1"/>
  <c r="AK11" i="3"/>
  <c r="AJ115" i="6"/>
  <c r="AT176" i="7" s="1"/>
  <c r="AK17" i="3"/>
  <c r="AJ108" i="6"/>
  <c r="AT169" i="7" s="1"/>
  <c r="AK10" i="3"/>
  <c r="AJ116" i="6"/>
  <c r="AT177" i="7" s="1"/>
  <c r="AK18" i="3"/>
  <c r="AJ104" i="6"/>
  <c r="AT165" i="7" s="1"/>
  <c r="AK6" i="3"/>
  <c r="AJ113" i="6"/>
  <c r="AT174" i="7" s="1"/>
  <c r="AK15" i="3"/>
  <c r="AJ114" i="6"/>
  <c r="AT175" i="7" s="1"/>
  <c r="AK16" i="3"/>
  <c r="AJ105" i="6"/>
  <c r="AT166" i="7" s="1"/>
  <c r="AK7" i="3"/>
  <c r="AJ112" i="6"/>
  <c r="AT173" i="7" s="1"/>
  <c r="AK14" i="3"/>
  <c r="AJ111" i="6"/>
  <c r="AT172" i="7" s="1"/>
  <c r="AK13" i="3"/>
  <c r="AK19" i="3"/>
  <c r="AK117" i="6" s="1"/>
  <c r="AU178" i="7" s="1"/>
  <c r="AK8" i="3"/>
  <c r="AK106" i="6" s="1"/>
  <c r="AU167" i="7" s="1"/>
  <c r="AK9" i="3"/>
  <c r="AK107" i="6" s="1"/>
  <c r="AU168" i="7" s="1"/>
  <c r="AK20" i="3"/>
  <c r="AK118" i="6" s="1"/>
  <c r="AU179" i="7" s="1"/>
  <c r="AV314" i="6"/>
  <c r="AW301" i="6"/>
  <c r="AT201" i="7" l="1"/>
  <c r="AT185" i="7"/>
  <c r="AU211" i="7"/>
  <c r="AU195" i="7"/>
  <c r="AT198" i="7"/>
  <c r="AT182" i="7"/>
  <c r="AT207" i="7"/>
  <c r="AT191" i="7"/>
  <c r="AU200" i="7"/>
  <c r="AU184" i="7"/>
  <c r="AU210" i="7"/>
  <c r="AU194" i="7"/>
  <c r="AT188" i="7"/>
  <c r="AT204" i="7"/>
  <c r="AT208" i="7"/>
  <c r="AT192" i="7"/>
  <c r="AT209" i="7"/>
  <c r="AT193" i="7"/>
  <c r="AT203" i="7"/>
  <c r="AT187" i="7"/>
  <c r="AU199" i="7"/>
  <c r="AU183" i="7"/>
  <c r="AT206" i="7"/>
  <c r="AT190" i="7"/>
  <c r="AT205" i="7"/>
  <c r="AT189" i="7"/>
  <c r="AT197" i="7"/>
  <c r="AT181" i="7"/>
  <c r="AT202" i="7"/>
  <c r="AT186" i="7"/>
  <c r="AK108" i="6"/>
  <c r="AU169" i="7" s="1"/>
  <c r="AL10" i="3"/>
  <c r="AK109" i="6"/>
  <c r="AU170" i="7" s="1"/>
  <c r="AL11" i="3"/>
  <c r="AK111" i="6"/>
  <c r="AU172" i="7" s="1"/>
  <c r="AL13" i="3"/>
  <c r="AK115" i="6"/>
  <c r="AU176" i="7" s="1"/>
  <c r="AL17" i="3"/>
  <c r="AK112" i="6"/>
  <c r="AU173" i="7" s="1"/>
  <c r="AL14" i="3"/>
  <c r="AK114" i="6"/>
  <c r="AU175" i="7" s="1"/>
  <c r="AL16" i="3"/>
  <c r="AK113" i="6"/>
  <c r="AU174" i="7" s="1"/>
  <c r="AL15" i="3"/>
  <c r="AK116" i="6"/>
  <c r="AU177" i="7" s="1"/>
  <c r="AL18" i="3"/>
  <c r="AK110" i="6"/>
  <c r="AU171" i="7" s="1"/>
  <c r="AL12" i="3"/>
  <c r="AK104" i="6"/>
  <c r="AU165" i="7" s="1"/>
  <c r="AL6" i="3"/>
  <c r="AK105" i="6"/>
  <c r="AU166" i="7" s="1"/>
  <c r="AL7" i="3"/>
  <c r="AL9" i="3"/>
  <c r="AL107" i="6" s="1"/>
  <c r="AV168" i="7" s="1"/>
  <c r="AL20" i="3"/>
  <c r="AL118" i="6" s="1"/>
  <c r="AV179" i="7" s="1"/>
  <c r="AL8" i="3"/>
  <c r="AL106" i="6" s="1"/>
  <c r="AV167" i="7" s="1"/>
  <c r="AL19" i="3"/>
  <c r="AL117" i="6" s="1"/>
  <c r="AV178" i="7" s="1"/>
  <c r="AX301" i="6"/>
  <c r="AW314" i="6"/>
  <c r="AU185" i="7" l="1"/>
  <c r="AU201" i="7"/>
  <c r="AU203" i="7"/>
  <c r="AU187" i="7"/>
  <c r="AU205" i="7"/>
  <c r="AU189" i="7"/>
  <c r="AV210" i="7"/>
  <c r="AV194" i="7"/>
  <c r="AU209" i="7"/>
  <c r="AU193" i="7"/>
  <c r="AU198" i="7"/>
  <c r="AU182" i="7"/>
  <c r="AU204" i="7"/>
  <c r="AU188" i="7"/>
  <c r="AU208" i="7"/>
  <c r="AU192" i="7"/>
  <c r="AV183" i="7"/>
  <c r="AV199" i="7"/>
  <c r="AV211" i="7"/>
  <c r="AV195" i="7"/>
  <c r="AV200" i="7"/>
  <c r="AV184" i="7"/>
  <c r="AU206" i="7"/>
  <c r="AU190" i="7"/>
  <c r="AU181" i="7"/>
  <c r="AU197" i="7"/>
  <c r="AU207" i="7"/>
  <c r="AU191" i="7"/>
  <c r="AU202" i="7"/>
  <c r="AU186" i="7"/>
  <c r="AL112" i="6"/>
  <c r="AV173" i="7" s="1"/>
  <c r="AM14" i="3"/>
  <c r="AL111" i="6"/>
  <c r="AV172" i="7" s="1"/>
  <c r="AM13" i="3"/>
  <c r="AL115" i="6"/>
  <c r="AV176" i="7" s="1"/>
  <c r="AM17" i="3"/>
  <c r="AL109" i="6"/>
  <c r="AV170" i="7" s="1"/>
  <c r="AM11" i="3"/>
  <c r="AL113" i="6"/>
  <c r="AV174" i="7" s="1"/>
  <c r="AM15" i="3"/>
  <c r="AL108" i="6"/>
  <c r="AV169" i="7" s="1"/>
  <c r="AM10" i="3"/>
  <c r="AL105" i="6"/>
  <c r="AV166" i="7" s="1"/>
  <c r="AM7" i="3"/>
  <c r="AL114" i="6"/>
  <c r="AV175" i="7" s="1"/>
  <c r="AM16" i="3"/>
  <c r="AL110" i="6"/>
  <c r="AV171" i="7" s="1"/>
  <c r="AM12" i="3"/>
  <c r="AL116" i="6"/>
  <c r="AV177" i="7" s="1"/>
  <c r="AM18" i="3"/>
  <c r="AL104" i="6"/>
  <c r="AV165" i="7" s="1"/>
  <c r="AM6" i="3"/>
  <c r="AM19" i="3"/>
  <c r="AM117" i="6" s="1"/>
  <c r="AW178" i="7" s="1"/>
  <c r="AM20" i="3"/>
  <c r="AM118" i="6" s="1"/>
  <c r="AW179" i="7" s="1"/>
  <c r="AM8" i="3"/>
  <c r="AM106" i="6" s="1"/>
  <c r="AW167" i="7" s="1"/>
  <c r="AM9" i="3"/>
  <c r="AM107" i="6" s="1"/>
  <c r="AW168" i="7" s="1"/>
  <c r="AY301" i="6"/>
  <c r="AX314" i="6"/>
  <c r="AW199" i="7" l="1"/>
  <c r="AW183" i="7"/>
  <c r="AW211" i="7"/>
  <c r="AW195" i="7"/>
  <c r="AW210" i="7"/>
  <c r="AW194" i="7"/>
  <c r="AV202" i="7"/>
  <c r="AV186" i="7"/>
  <c r="AV198" i="7"/>
  <c r="AV182" i="7"/>
  <c r="AV206" i="7"/>
  <c r="AV190" i="7"/>
  <c r="AV207" i="7"/>
  <c r="AV191" i="7"/>
  <c r="AV208" i="7"/>
  <c r="AV192" i="7"/>
  <c r="AW200" i="7"/>
  <c r="AW184" i="7"/>
  <c r="AV203" i="7"/>
  <c r="AV187" i="7"/>
  <c r="AV205" i="7"/>
  <c r="AV189" i="7"/>
  <c r="AV181" i="7"/>
  <c r="AV197" i="7"/>
  <c r="AV209" i="7"/>
  <c r="AV193" i="7"/>
  <c r="AV201" i="7"/>
  <c r="AV185" i="7"/>
  <c r="AV204" i="7"/>
  <c r="AV188" i="7"/>
  <c r="AM114" i="6"/>
  <c r="AW175" i="7" s="1"/>
  <c r="AN16" i="3"/>
  <c r="AM109" i="6"/>
  <c r="AW170" i="7" s="1"/>
  <c r="AN11" i="3"/>
  <c r="AM111" i="6"/>
  <c r="AW172" i="7" s="1"/>
  <c r="AN13" i="3"/>
  <c r="AM116" i="6"/>
  <c r="AW177" i="7" s="1"/>
  <c r="AN18" i="3"/>
  <c r="AM108" i="6"/>
  <c r="AW169" i="7" s="1"/>
  <c r="AN10" i="3"/>
  <c r="AM113" i="6"/>
  <c r="AW174" i="7" s="1"/>
  <c r="AN15" i="3"/>
  <c r="AM112" i="6"/>
  <c r="AW173" i="7" s="1"/>
  <c r="AN14" i="3"/>
  <c r="AM104" i="6"/>
  <c r="AW165" i="7" s="1"/>
  <c r="AN6" i="3"/>
  <c r="AM105" i="6"/>
  <c r="AW166" i="7" s="1"/>
  <c r="AN7" i="3"/>
  <c r="AM115" i="6"/>
  <c r="AW176" i="7" s="1"/>
  <c r="AN17" i="3"/>
  <c r="AM110" i="6"/>
  <c r="AW171" i="7" s="1"/>
  <c r="AN12" i="3"/>
  <c r="AN19" i="3"/>
  <c r="AN117" i="6" s="1"/>
  <c r="AX178" i="7" s="1"/>
  <c r="AN8" i="3"/>
  <c r="AN106" i="6" s="1"/>
  <c r="AX167" i="7" s="1"/>
  <c r="AN20" i="3"/>
  <c r="AN118" i="6" s="1"/>
  <c r="AX179" i="7" s="1"/>
  <c r="AN9" i="3"/>
  <c r="AN107" i="6" s="1"/>
  <c r="AX168" i="7" s="1"/>
  <c r="AY314" i="6"/>
  <c r="AZ301" i="6"/>
  <c r="AW182" i="7" l="1"/>
  <c r="AW198" i="7"/>
  <c r="AW209" i="7"/>
  <c r="AW193" i="7"/>
  <c r="AX184" i="7"/>
  <c r="AX200" i="7"/>
  <c r="AX211" i="7"/>
  <c r="AX195" i="7"/>
  <c r="AW207" i="7"/>
  <c r="AW191" i="7"/>
  <c r="AW197" i="7"/>
  <c r="AW181" i="7"/>
  <c r="AX199" i="7"/>
  <c r="AX183" i="7"/>
  <c r="AX210" i="7"/>
  <c r="AX194" i="7"/>
  <c r="AW205" i="7"/>
  <c r="AW189" i="7"/>
  <c r="AW203" i="7"/>
  <c r="AW187" i="7"/>
  <c r="AW204" i="7"/>
  <c r="AW188" i="7"/>
  <c r="AW201" i="7"/>
  <c r="AW185" i="7"/>
  <c r="AW208" i="7"/>
  <c r="AW192" i="7"/>
  <c r="AW206" i="7"/>
  <c r="AW190" i="7"/>
  <c r="AW202" i="7"/>
  <c r="AW186" i="7"/>
  <c r="AN108" i="6"/>
  <c r="AX169" i="7" s="1"/>
  <c r="AO10" i="3"/>
  <c r="AN109" i="6"/>
  <c r="AX170" i="7" s="1"/>
  <c r="AO11" i="3"/>
  <c r="AN104" i="6"/>
  <c r="AX165" i="7" s="1"/>
  <c r="AO6" i="3"/>
  <c r="AN113" i="6"/>
  <c r="AX174" i="7" s="1"/>
  <c r="AO15" i="3"/>
  <c r="AN116" i="6"/>
  <c r="AX177" i="7" s="1"/>
  <c r="AO18" i="3"/>
  <c r="AN114" i="6"/>
  <c r="AX175" i="7" s="1"/>
  <c r="AO16" i="3"/>
  <c r="AN112" i="6"/>
  <c r="AX173" i="7" s="1"/>
  <c r="AO14" i="3"/>
  <c r="AN115" i="6"/>
  <c r="AX176" i="7" s="1"/>
  <c r="AO17" i="3"/>
  <c r="AN111" i="6"/>
  <c r="AX172" i="7" s="1"/>
  <c r="AO13" i="3"/>
  <c r="AN105" i="6"/>
  <c r="AX166" i="7" s="1"/>
  <c r="AO7" i="3"/>
  <c r="AN110" i="6"/>
  <c r="AX171" i="7" s="1"/>
  <c r="AO12" i="3"/>
  <c r="AO20" i="3"/>
  <c r="AO118" i="6" s="1"/>
  <c r="AY179" i="7" s="1"/>
  <c r="AO8" i="3"/>
  <c r="AO106" i="6" s="1"/>
  <c r="AY167" i="7" s="1"/>
  <c r="AO9" i="3"/>
  <c r="AO107" i="6" s="1"/>
  <c r="AY168" i="7" s="1"/>
  <c r="AO19" i="3"/>
  <c r="AZ314" i="6"/>
  <c r="BA301" i="6"/>
  <c r="AY200" i="7" l="1"/>
  <c r="AY184" i="7"/>
  <c r="AX201" i="7"/>
  <c r="AX185" i="7"/>
  <c r="AX208" i="7"/>
  <c r="AX192" i="7"/>
  <c r="AX206" i="7"/>
  <c r="AX190" i="7"/>
  <c r="AX205" i="7"/>
  <c r="AX189" i="7"/>
  <c r="AX197" i="7"/>
  <c r="AX181" i="7"/>
  <c r="AX209" i="7"/>
  <c r="AX193" i="7"/>
  <c r="AY183" i="7"/>
  <c r="AY199" i="7"/>
  <c r="AY211" i="7"/>
  <c r="AY195" i="7"/>
  <c r="AX203" i="7"/>
  <c r="AX187" i="7"/>
  <c r="AX204" i="7"/>
  <c r="AX188" i="7"/>
  <c r="AX198" i="7"/>
  <c r="AX182" i="7"/>
  <c r="AX207" i="7"/>
  <c r="AX191" i="7"/>
  <c r="AX202" i="7"/>
  <c r="AX186" i="7"/>
  <c r="AO117" i="6"/>
  <c r="AY178" i="7" s="1"/>
  <c r="AO109" i="6"/>
  <c r="AY170" i="7" s="1"/>
  <c r="AP11" i="3"/>
  <c r="AO112" i="6"/>
  <c r="AY173" i="7" s="1"/>
  <c r="AP14" i="3"/>
  <c r="AO108" i="6"/>
  <c r="AY169" i="7" s="1"/>
  <c r="AP10" i="3"/>
  <c r="AO105" i="6"/>
  <c r="AY166" i="7" s="1"/>
  <c r="AP7" i="3"/>
  <c r="AO110" i="6"/>
  <c r="AY171" i="7" s="1"/>
  <c r="AP12" i="3"/>
  <c r="AO114" i="6"/>
  <c r="AY175" i="7" s="1"/>
  <c r="AP16" i="3"/>
  <c r="AO113" i="6"/>
  <c r="AY174" i="7" s="1"/>
  <c r="AP15" i="3"/>
  <c r="AO111" i="6"/>
  <c r="AY172" i="7" s="1"/>
  <c r="AP13" i="3"/>
  <c r="AO115" i="6"/>
  <c r="AY176" i="7" s="1"/>
  <c r="AP17" i="3"/>
  <c r="AO116" i="6"/>
  <c r="AY177" i="7" s="1"/>
  <c r="AP18" i="3"/>
  <c r="AO104" i="6"/>
  <c r="AY165" i="7" s="1"/>
  <c r="AP6" i="3"/>
  <c r="AP20" i="3"/>
  <c r="AP118" i="6" s="1"/>
  <c r="AZ179" i="7" s="1"/>
  <c r="AP9" i="3"/>
  <c r="AP107" i="6" s="1"/>
  <c r="AZ168" i="7" s="1"/>
  <c r="AP19" i="3"/>
  <c r="AP117" i="6" s="1"/>
  <c r="AZ178" i="7" s="1"/>
  <c r="AP8" i="3"/>
  <c r="AP106" i="6" s="1"/>
  <c r="AZ167" i="7" s="1"/>
  <c r="BA314" i="6"/>
  <c r="BB301" i="6"/>
  <c r="BB314" i="6" s="1"/>
  <c r="AY207" i="7" l="1"/>
  <c r="AY191" i="7"/>
  <c r="AY205" i="7"/>
  <c r="AY189" i="7"/>
  <c r="AY202" i="7"/>
  <c r="AY186" i="7"/>
  <c r="AZ199" i="7"/>
  <c r="AZ183" i="7"/>
  <c r="AZ210" i="7"/>
  <c r="AZ194" i="7"/>
  <c r="AY209" i="7"/>
  <c r="AY193" i="7"/>
  <c r="AZ211" i="7"/>
  <c r="AZ195" i="7"/>
  <c r="AZ200" i="7"/>
  <c r="AZ184" i="7"/>
  <c r="AY210" i="7"/>
  <c r="AY194" i="7"/>
  <c r="AY204" i="7"/>
  <c r="AY188" i="7"/>
  <c r="AY187" i="7"/>
  <c r="AY203" i="7"/>
  <c r="AY198" i="7"/>
  <c r="AY182" i="7"/>
  <c r="AY201" i="7"/>
  <c r="AY185" i="7"/>
  <c r="AY208" i="7"/>
  <c r="AY192" i="7"/>
  <c r="AY197" i="7"/>
  <c r="AY181" i="7"/>
  <c r="AY206" i="7"/>
  <c r="AY190" i="7"/>
  <c r="AP111" i="6"/>
  <c r="AZ172" i="7" s="1"/>
  <c r="AQ13" i="3"/>
  <c r="AP109" i="6"/>
  <c r="AZ170" i="7" s="1"/>
  <c r="AQ11" i="3"/>
  <c r="AP112" i="6"/>
  <c r="AZ173" i="7" s="1"/>
  <c r="AQ14" i="3"/>
  <c r="AP113" i="6"/>
  <c r="AZ174" i="7" s="1"/>
  <c r="AQ15" i="3"/>
  <c r="AP104" i="6"/>
  <c r="AZ165" i="7" s="1"/>
  <c r="AQ6" i="3"/>
  <c r="AP116" i="6"/>
  <c r="AZ177" i="7" s="1"/>
  <c r="AQ18" i="3"/>
  <c r="AP114" i="6"/>
  <c r="AZ175" i="7" s="1"/>
  <c r="AQ16" i="3"/>
  <c r="AP108" i="6"/>
  <c r="AZ169" i="7" s="1"/>
  <c r="AQ10" i="3"/>
  <c r="AP115" i="6"/>
  <c r="AZ176" i="7" s="1"/>
  <c r="AQ17" i="3"/>
  <c r="AP105" i="6"/>
  <c r="AZ166" i="7" s="1"/>
  <c r="AQ7" i="3"/>
  <c r="AP110" i="6"/>
  <c r="AZ171" i="7" s="1"/>
  <c r="AQ12" i="3"/>
  <c r="AQ9" i="3"/>
  <c r="AQ107" i="6" s="1"/>
  <c r="BA168" i="7" s="1"/>
  <c r="AQ20" i="3"/>
  <c r="AQ118" i="6" s="1"/>
  <c r="BA179" i="7" s="1"/>
  <c r="AQ19" i="3"/>
  <c r="AQ117" i="6" s="1"/>
  <c r="BA178" i="7" s="1"/>
  <c r="AQ8" i="3"/>
  <c r="AQ106" i="6" s="1"/>
  <c r="BA167" i="7" s="1"/>
  <c r="S287" i="6"/>
  <c r="T287" i="6"/>
  <c r="U287" i="6"/>
  <c r="V287" i="6"/>
  <c r="W287" i="6"/>
  <c r="X287" i="6"/>
  <c r="Y287" i="6"/>
  <c r="Z287" i="6"/>
  <c r="AA287" i="6"/>
  <c r="AB287" i="6"/>
  <c r="AC287" i="6"/>
  <c r="AD287" i="6"/>
  <c r="AE287" i="6"/>
  <c r="AF287" i="6"/>
  <c r="AG287" i="6"/>
  <c r="AH287" i="6"/>
  <c r="AI287" i="6"/>
  <c r="AJ287" i="6"/>
  <c r="AK287" i="6"/>
  <c r="AL287" i="6"/>
  <c r="AM287" i="6"/>
  <c r="AN287" i="6"/>
  <c r="AO287" i="6"/>
  <c r="AP287" i="6"/>
  <c r="AQ287" i="6"/>
  <c r="AR287" i="6"/>
  <c r="AS287" i="6"/>
  <c r="AT287" i="6"/>
  <c r="AU287" i="6"/>
  <c r="AV287" i="6"/>
  <c r="AW287" i="6"/>
  <c r="AX287" i="6"/>
  <c r="AY287" i="6"/>
  <c r="AZ287" i="6"/>
  <c r="BA287" i="6"/>
  <c r="BB287" i="6"/>
  <c r="AB288" i="6"/>
  <c r="AC288" i="6"/>
  <c r="AD288" i="6"/>
  <c r="AE288" i="6"/>
  <c r="AF288" i="6"/>
  <c r="AG288" i="6"/>
  <c r="AH288" i="6"/>
  <c r="AI288" i="6"/>
  <c r="AJ288" i="6"/>
  <c r="AK288" i="6"/>
  <c r="AL288" i="6"/>
  <c r="AM288" i="6"/>
  <c r="AN288" i="6"/>
  <c r="AO288" i="6"/>
  <c r="AP288" i="6"/>
  <c r="AQ288" i="6"/>
  <c r="AR288" i="6"/>
  <c r="AS288" i="6"/>
  <c r="AT288" i="6"/>
  <c r="AU288" i="6"/>
  <c r="AV288" i="6"/>
  <c r="AW288" i="6"/>
  <c r="AX288" i="6"/>
  <c r="AY288" i="6"/>
  <c r="AZ288" i="6"/>
  <c r="BA288" i="6"/>
  <c r="BB288" i="6"/>
  <c r="G277" i="6"/>
  <c r="H277" i="6"/>
  <c r="I277" i="6"/>
  <c r="J277" i="6"/>
  <c r="K277" i="6"/>
  <c r="L277" i="6"/>
  <c r="M277" i="6"/>
  <c r="N277" i="6"/>
  <c r="O277" i="6"/>
  <c r="P277" i="6"/>
  <c r="Q277" i="6"/>
  <c r="R277" i="6"/>
  <c r="S277" i="6"/>
  <c r="G279" i="6"/>
  <c r="H279" i="6"/>
  <c r="I279" i="6"/>
  <c r="J279" i="6"/>
  <c r="K279" i="6"/>
  <c r="L279" i="6"/>
  <c r="M279" i="6"/>
  <c r="N279" i="6"/>
  <c r="O279" i="6"/>
  <c r="P279" i="6"/>
  <c r="Q279" i="6"/>
  <c r="R279" i="6"/>
  <c r="S279" i="6"/>
  <c r="BA211" i="7" l="1"/>
  <c r="BA195" i="7"/>
  <c r="AZ206" i="7"/>
  <c r="AZ190" i="7"/>
  <c r="AZ205" i="7"/>
  <c r="AZ189" i="7"/>
  <c r="AZ203" i="7"/>
  <c r="AZ187" i="7"/>
  <c r="BA200" i="7"/>
  <c r="BA184" i="7"/>
  <c r="AZ207" i="7"/>
  <c r="AZ191" i="7"/>
  <c r="AZ198" i="7"/>
  <c r="AZ182" i="7"/>
  <c r="AZ209" i="7"/>
  <c r="AZ193" i="7"/>
  <c r="AZ202" i="7"/>
  <c r="AZ186" i="7"/>
  <c r="BA199" i="7"/>
  <c r="BA183" i="7"/>
  <c r="AZ201" i="7"/>
  <c r="AZ185" i="7"/>
  <c r="BA210" i="7"/>
  <c r="BA194" i="7"/>
  <c r="AZ208" i="7"/>
  <c r="AZ192" i="7"/>
  <c r="AZ181" i="7"/>
  <c r="AZ197" i="7"/>
  <c r="AZ204" i="7"/>
  <c r="AZ188" i="7"/>
  <c r="I194" i="7"/>
  <c r="I178" i="7"/>
  <c r="I184" i="7"/>
  <c r="I168" i="7"/>
  <c r="AQ116" i="6"/>
  <c r="BA177" i="7" s="1"/>
  <c r="AR18" i="3"/>
  <c r="AQ113" i="6"/>
  <c r="BA174" i="7" s="1"/>
  <c r="AR15" i="3"/>
  <c r="AQ105" i="6"/>
  <c r="BA166" i="7" s="1"/>
  <c r="AR7" i="3"/>
  <c r="AQ110" i="6"/>
  <c r="BA171" i="7" s="1"/>
  <c r="AR12" i="3"/>
  <c r="AQ112" i="6"/>
  <c r="BA173" i="7" s="1"/>
  <c r="AR14" i="3"/>
  <c r="AQ109" i="6"/>
  <c r="BA170" i="7" s="1"/>
  <c r="AR11" i="3"/>
  <c r="AQ108" i="6"/>
  <c r="BA169" i="7" s="1"/>
  <c r="AR10" i="3"/>
  <c r="AQ115" i="6"/>
  <c r="BA176" i="7" s="1"/>
  <c r="AR17" i="3"/>
  <c r="AQ114" i="6"/>
  <c r="BA175" i="7" s="1"/>
  <c r="AR16" i="3"/>
  <c r="AQ104" i="6"/>
  <c r="BA165" i="7" s="1"/>
  <c r="AR6" i="3"/>
  <c r="AQ111" i="6"/>
  <c r="BA172" i="7" s="1"/>
  <c r="AR13" i="3"/>
  <c r="I199" i="7"/>
  <c r="I167" i="7"/>
  <c r="I183" i="7"/>
  <c r="I179" i="7"/>
  <c r="I195" i="7"/>
  <c r="AR8" i="3"/>
  <c r="AR106" i="6" s="1"/>
  <c r="BB167" i="7" s="1"/>
  <c r="AR20" i="3"/>
  <c r="AR118" i="6" s="1"/>
  <c r="BB179" i="7" s="1"/>
  <c r="AR19" i="3"/>
  <c r="AR117" i="6" s="1"/>
  <c r="BB178" i="7" s="1"/>
  <c r="AR9" i="3"/>
  <c r="AR107" i="6" s="1"/>
  <c r="BB168" i="7" s="1"/>
  <c r="N307" i="6"/>
  <c r="N309" i="6"/>
  <c r="N308" i="6"/>
  <c r="M307" i="6"/>
  <c r="M309" i="6"/>
  <c r="M308" i="6"/>
  <c r="L309" i="6"/>
  <c r="L307" i="6"/>
  <c r="L308" i="6"/>
  <c r="S309" i="6"/>
  <c r="S307" i="6"/>
  <c r="S308" i="6"/>
  <c r="K309" i="6"/>
  <c r="K307" i="6"/>
  <c r="K308" i="6"/>
  <c r="R307" i="6"/>
  <c r="R308" i="6"/>
  <c r="R309" i="6"/>
  <c r="J308" i="6"/>
  <c r="J307" i="6"/>
  <c r="J309" i="6"/>
  <c r="Q307" i="6"/>
  <c r="Q309" i="6"/>
  <c r="Q308" i="6"/>
  <c r="I308" i="6"/>
  <c r="I307" i="6"/>
  <c r="I309" i="6"/>
  <c r="P307" i="6"/>
  <c r="P309" i="6"/>
  <c r="P308" i="6"/>
  <c r="H308" i="6"/>
  <c r="H307" i="6"/>
  <c r="H309" i="6"/>
  <c r="O309" i="6"/>
  <c r="O308" i="6"/>
  <c r="O307" i="6"/>
  <c r="G307" i="6"/>
  <c r="G310" i="6" s="1"/>
  <c r="G314" i="6" s="1"/>
  <c r="G309" i="6"/>
  <c r="G308" i="6"/>
  <c r="G311" i="6" s="1"/>
  <c r="G315" i="6" s="1"/>
  <c r="S278" i="6"/>
  <c r="R278" i="6"/>
  <c r="Q278" i="6"/>
  <c r="P278" i="6"/>
  <c r="O278" i="6"/>
  <c r="N278" i="6"/>
  <c r="M278" i="6"/>
  <c r="L278" i="6"/>
  <c r="K278" i="6"/>
  <c r="J278" i="6"/>
  <c r="I278" i="6"/>
  <c r="H278" i="6"/>
  <c r="G278" i="6"/>
  <c r="BB195" i="7" l="1"/>
  <c r="BB211" i="7"/>
  <c r="BB210" i="7"/>
  <c r="BB194" i="7"/>
  <c r="BA188" i="7"/>
  <c r="BA204" i="7"/>
  <c r="I204" i="7" s="1"/>
  <c r="BA201" i="7"/>
  <c r="I201" i="7" s="1"/>
  <c r="BA185" i="7"/>
  <c r="BB199" i="7"/>
  <c r="BB183" i="7"/>
  <c r="BA197" i="7"/>
  <c r="BA181" i="7"/>
  <c r="I181" i="7" s="1"/>
  <c r="BA202" i="7"/>
  <c r="BA186" i="7"/>
  <c r="BA206" i="7"/>
  <c r="I206" i="7" s="1"/>
  <c r="BA190" i="7"/>
  <c r="BA207" i="7"/>
  <c r="BA191" i="7"/>
  <c r="I191" i="7" s="1"/>
  <c r="BA205" i="7"/>
  <c r="BA189" i="7"/>
  <c r="I189" i="7" s="1"/>
  <c r="BA209" i="7"/>
  <c r="BA193" i="7"/>
  <c r="BA198" i="7"/>
  <c r="I198" i="7" s="1"/>
  <c r="BA182" i="7"/>
  <c r="I182" i="7" s="1"/>
  <c r="BB200" i="7"/>
  <c r="BB184" i="7"/>
  <c r="BA208" i="7"/>
  <c r="BA192" i="7"/>
  <c r="BA203" i="7"/>
  <c r="BA187" i="7"/>
  <c r="I187" i="7" s="1"/>
  <c r="I207" i="7"/>
  <c r="I175" i="7"/>
  <c r="I211" i="7"/>
  <c r="AR104" i="6"/>
  <c r="BB165" i="7" s="1"/>
  <c r="AS6" i="3"/>
  <c r="AR115" i="6"/>
  <c r="BB176" i="7" s="1"/>
  <c r="AS17" i="3"/>
  <c r="I205" i="7"/>
  <c r="I173" i="7"/>
  <c r="I197" i="7"/>
  <c r="I165" i="7"/>
  <c r="I176" i="7"/>
  <c r="I208" i="7"/>
  <c r="I192" i="7"/>
  <c r="AR108" i="6"/>
  <c r="BB169" i="7" s="1"/>
  <c r="AS10" i="3"/>
  <c r="AR105" i="6"/>
  <c r="BB166" i="7" s="1"/>
  <c r="AS7" i="3"/>
  <c r="I172" i="7"/>
  <c r="I188" i="7"/>
  <c r="I169" i="7"/>
  <c r="I185" i="7"/>
  <c r="I166" i="7"/>
  <c r="I200" i="7"/>
  <c r="AR112" i="6"/>
  <c r="BB173" i="7" s="1"/>
  <c r="AS14" i="3"/>
  <c r="AR110" i="6"/>
  <c r="BB171" i="7" s="1"/>
  <c r="AS12" i="3"/>
  <c r="AR113" i="6"/>
  <c r="BB174" i="7" s="1"/>
  <c r="AS15" i="3"/>
  <c r="I203" i="7"/>
  <c r="I171" i="7"/>
  <c r="I190" i="7"/>
  <c r="I174" i="7"/>
  <c r="AR109" i="6"/>
  <c r="BB170" i="7" s="1"/>
  <c r="AS11" i="3"/>
  <c r="AR116" i="6"/>
  <c r="BB177" i="7" s="1"/>
  <c r="AS18" i="3"/>
  <c r="AR111" i="6"/>
  <c r="BB172" i="7" s="1"/>
  <c r="AS13" i="3"/>
  <c r="AR114" i="6"/>
  <c r="BB175" i="7" s="1"/>
  <c r="AS16" i="3"/>
  <c r="I170" i="7"/>
  <c r="I186" i="7"/>
  <c r="I202" i="7"/>
  <c r="I193" i="7"/>
  <c r="I209" i="7"/>
  <c r="I177" i="7"/>
  <c r="I210" i="7"/>
  <c r="AS9" i="3"/>
  <c r="AS107" i="6" s="1"/>
  <c r="BC168" i="7" s="1"/>
  <c r="AS20" i="3"/>
  <c r="AS118" i="6" s="1"/>
  <c r="BC179" i="7" s="1"/>
  <c r="AS19" i="3"/>
  <c r="AS117" i="6" s="1"/>
  <c r="BC178" i="7" s="1"/>
  <c r="AS8" i="3"/>
  <c r="AS106" i="6" s="1"/>
  <c r="BC167" i="7" s="1"/>
  <c r="G312" i="6"/>
  <c r="G316" i="6" s="1"/>
  <c r="O310" i="6"/>
  <c r="O314" i="6" s="1"/>
  <c r="O312" i="6"/>
  <c r="O316" i="6" s="1"/>
  <c r="O311" i="6"/>
  <c r="O315" i="6" s="1"/>
  <c r="P312" i="6"/>
  <c r="P316" i="6" s="1"/>
  <c r="I312" i="6"/>
  <c r="I316" i="6" s="1"/>
  <c r="I310" i="6"/>
  <c r="I314" i="6" s="1"/>
  <c r="J310" i="6"/>
  <c r="J314" i="6" s="1"/>
  <c r="J311" i="6"/>
  <c r="J315" i="6" s="1"/>
  <c r="L312" i="6"/>
  <c r="L316" i="6" s="1"/>
  <c r="N310" i="6"/>
  <c r="N314" i="6" s="1"/>
  <c r="K311" i="6"/>
  <c r="K315" i="6" s="1"/>
  <c r="M311" i="6"/>
  <c r="M315" i="6" s="1"/>
  <c r="J312" i="6"/>
  <c r="J316" i="6" s="1"/>
  <c r="L310" i="6"/>
  <c r="L314" i="6" s="1"/>
  <c r="P310" i="6"/>
  <c r="P314" i="6" s="1"/>
  <c r="K310" i="6"/>
  <c r="K314" i="6" s="1"/>
  <c r="R312" i="6"/>
  <c r="R316" i="6" s="1"/>
  <c r="K312" i="6"/>
  <c r="K316" i="6" s="1"/>
  <c r="M312" i="6"/>
  <c r="M316" i="6" s="1"/>
  <c r="H312" i="6"/>
  <c r="H316" i="6" s="1"/>
  <c r="I311" i="6"/>
  <c r="I315" i="6" s="1"/>
  <c r="R311" i="6"/>
  <c r="R315" i="6" s="1"/>
  <c r="S311" i="6"/>
  <c r="S315" i="6" s="1"/>
  <c r="M310" i="6"/>
  <c r="M314" i="6" s="1"/>
  <c r="H310" i="6"/>
  <c r="H314" i="6" s="1"/>
  <c r="Q311" i="6"/>
  <c r="Q315" i="6" s="1"/>
  <c r="R310" i="6"/>
  <c r="R314" i="6" s="1"/>
  <c r="S310" i="6"/>
  <c r="S314" i="6" s="1"/>
  <c r="N311" i="6"/>
  <c r="N315" i="6" s="1"/>
  <c r="H311" i="6"/>
  <c r="H315" i="6" s="1"/>
  <c r="Q312" i="6"/>
  <c r="Q316" i="6" s="1"/>
  <c r="S312" i="6"/>
  <c r="S316" i="6" s="1"/>
  <c r="N312" i="6"/>
  <c r="N316" i="6" s="1"/>
  <c r="P311" i="6"/>
  <c r="P315" i="6" s="1"/>
  <c r="Q310" i="6"/>
  <c r="Q314" i="6" s="1"/>
  <c r="L311" i="6"/>
  <c r="L315" i="6" s="1"/>
  <c r="G242" i="3"/>
  <c r="H242" i="3"/>
  <c r="I242" i="3"/>
  <c r="I243" i="3" s="1"/>
  <c r="J242" i="3"/>
  <c r="J243" i="3" s="1"/>
  <c r="K242" i="3"/>
  <c r="K243" i="3" s="1"/>
  <c r="L242" i="3"/>
  <c r="L243" i="3" s="1"/>
  <c r="M242" i="3"/>
  <c r="M243" i="3" s="1"/>
  <c r="N242" i="3"/>
  <c r="N243" i="3" s="1"/>
  <c r="O242" i="3"/>
  <c r="O243" i="3" s="1"/>
  <c r="P242" i="3"/>
  <c r="P243" i="3" s="1"/>
  <c r="Q242" i="3"/>
  <c r="Q243" i="3" s="1"/>
  <c r="R242" i="3"/>
  <c r="R243" i="3" s="1"/>
  <c r="S242" i="3"/>
  <c r="S243" i="3" s="1"/>
  <c r="T242" i="3"/>
  <c r="T243" i="3" s="1"/>
  <c r="U242" i="3"/>
  <c r="U243" i="3" s="1"/>
  <c r="V242" i="3"/>
  <c r="V243" i="3" s="1"/>
  <c r="W242" i="3"/>
  <c r="W243" i="3" s="1"/>
  <c r="X242" i="3"/>
  <c r="X243" i="3" s="1"/>
  <c r="Y242" i="3"/>
  <c r="Y243" i="3" s="1"/>
  <c r="Z242" i="3"/>
  <c r="Z243" i="3" s="1"/>
  <c r="AA242" i="3"/>
  <c r="AA243" i="3" s="1"/>
  <c r="AB242" i="3"/>
  <c r="AB243" i="3" s="1"/>
  <c r="AC242" i="3"/>
  <c r="AC243" i="3" s="1"/>
  <c r="AD242" i="3"/>
  <c r="AD243" i="3" s="1"/>
  <c r="AE242" i="3"/>
  <c r="AE243" i="3" s="1"/>
  <c r="AF242" i="3"/>
  <c r="AF243" i="3" s="1"/>
  <c r="AG242" i="3"/>
  <c r="AG243" i="3" s="1"/>
  <c r="AH242" i="3"/>
  <c r="AH243" i="3" s="1"/>
  <c r="AI242" i="3"/>
  <c r="AI243" i="3" s="1"/>
  <c r="AJ242" i="3"/>
  <c r="AJ243" i="3" s="1"/>
  <c r="AK242" i="3"/>
  <c r="AK243" i="3" s="1"/>
  <c r="AL242" i="3"/>
  <c r="AL243" i="3" s="1"/>
  <c r="AM242" i="3"/>
  <c r="AM243" i="3" s="1"/>
  <c r="AN242" i="3"/>
  <c r="AN243" i="3" s="1"/>
  <c r="AO242" i="3"/>
  <c r="AO243" i="3" s="1"/>
  <c r="AP242" i="3"/>
  <c r="AP243" i="3" s="1"/>
  <c r="AQ242" i="3"/>
  <c r="AQ243" i="3" s="1"/>
  <c r="AR242" i="3"/>
  <c r="AR243" i="3" s="1"/>
  <c r="AS242" i="3"/>
  <c r="AS243" i="3" s="1"/>
  <c r="AT242" i="3"/>
  <c r="AT243" i="3" s="1"/>
  <c r="AU242" i="3"/>
  <c r="AU243" i="3" s="1"/>
  <c r="AV242" i="3"/>
  <c r="AV243" i="3" s="1"/>
  <c r="AW242" i="3"/>
  <c r="AW243" i="3" s="1"/>
  <c r="AX242" i="3"/>
  <c r="AX243" i="3" s="1"/>
  <c r="AY242" i="3"/>
  <c r="AY243" i="3" s="1"/>
  <c r="AZ242" i="3"/>
  <c r="AZ243" i="3" s="1"/>
  <c r="BA242" i="3"/>
  <c r="BA243" i="3" s="1"/>
  <c r="BB242" i="3"/>
  <c r="BB243" i="3" s="1"/>
  <c r="G243" i="3"/>
  <c r="H243" i="3"/>
  <c r="F242" i="3"/>
  <c r="F243" i="3" s="1"/>
  <c r="G7" i="1"/>
  <c r="H7" i="1" s="1"/>
  <c r="F10" i="1"/>
  <c r="E9" i="1"/>
  <c r="BB207" i="7" l="1"/>
  <c r="BB191" i="7"/>
  <c r="BB203" i="7"/>
  <c r="BB187" i="7"/>
  <c r="BB201" i="7"/>
  <c r="BB185" i="7"/>
  <c r="BB204" i="7"/>
  <c r="BB188" i="7"/>
  <c r="BB205" i="7"/>
  <c r="BB189" i="7"/>
  <c r="BB208" i="7"/>
  <c r="BB192" i="7"/>
  <c r="BC199" i="7"/>
  <c r="BC183" i="7"/>
  <c r="BB209" i="7"/>
  <c r="BB193" i="7"/>
  <c r="BC210" i="7"/>
  <c r="BC194" i="7"/>
  <c r="BB197" i="7"/>
  <c r="BB181" i="7"/>
  <c r="BC211" i="7"/>
  <c r="BC195" i="7"/>
  <c r="BB202" i="7"/>
  <c r="BB186" i="7"/>
  <c r="BB206" i="7"/>
  <c r="BB190" i="7"/>
  <c r="BB198" i="7"/>
  <c r="BB182" i="7"/>
  <c r="BC200" i="7"/>
  <c r="BC184" i="7"/>
  <c r="AS104" i="6"/>
  <c r="BC165" i="7" s="1"/>
  <c r="AT6" i="3"/>
  <c r="AS116" i="6"/>
  <c r="BC177" i="7" s="1"/>
  <c r="AT18" i="3"/>
  <c r="AS110" i="6"/>
  <c r="BC171" i="7" s="1"/>
  <c r="AT12" i="3"/>
  <c r="AS105" i="6"/>
  <c r="BC166" i="7" s="1"/>
  <c r="AT7" i="3"/>
  <c r="AS109" i="6"/>
  <c r="BC170" i="7" s="1"/>
  <c r="AT11" i="3"/>
  <c r="AS112" i="6"/>
  <c r="BC173" i="7" s="1"/>
  <c r="AT14" i="3"/>
  <c r="AS108" i="6"/>
  <c r="BC169" i="7" s="1"/>
  <c r="AT10" i="3"/>
  <c r="AS114" i="6"/>
  <c r="BC175" i="7" s="1"/>
  <c r="AT16" i="3"/>
  <c r="AS115" i="6"/>
  <c r="BC176" i="7" s="1"/>
  <c r="AT17" i="3"/>
  <c r="AS111" i="6"/>
  <c r="BC172" i="7" s="1"/>
  <c r="AT13" i="3"/>
  <c r="AS113" i="6"/>
  <c r="BC174" i="7" s="1"/>
  <c r="AT15" i="3"/>
  <c r="AT19" i="3"/>
  <c r="AT117" i="6" s="1"/>
  <c r="BD178" i="7" s="1"/>
  <c r="AT9" i="3"/>
  <c r="AT107" i="6" s="1"/>
  <c r="BD168" i="7" s="1"/>
  <c r="AT8" i="3"/>
  <c r="AT106" i="6" s="1"/>
  <c r="BD167" i="7" s="1"/>
  <c r="AT20" i="3"/>
  <c r="AT118" i="6" s="1"/>
  <c r="BD179" i="7" s="1"/>
  <c r="G9" i="1"/>
  <c r="BC181" i="7" l="1"/>
  <c r="BC197" i="7"/>
  <c r="BD211" i="7"/>
  <c r="BD195" i="7"/>
  <c r="BC208" i="7"/>
  <c r="BC192" i="7"/>
  <c r="BD200" i="7"/>
  <c r="BD184" i="7"/>
  <c r="BD199" i="7"/>
  <c r="BD183" i="7"/>
  <c r="BD210" i="7"/>
  <c r="BD194" i="7"/>
  <c r="BC207" i="7"/>
  <c r="BC191" i="7"/>
  <c r="BC185" i="7"/>
  <c r="BC201" i="7"/>
  <c r="BC203" i="7"/>
  <c r="BC187" i="7"/>
  <c r="BC202" i="7"/>
  <c r="BC186" i="7"/>
  <c r="BC198" i="7"/>
  <c r="BC182" i="7"/>
  <c r="BC206" i="7"/>
  <c r="BC190" i="7"/>
  <c r="BC204" i="7"/>
  <c r="BC188" i="7"/>
  <c r="BC205" i="7"/>
  <c r="BC189" i="7"/>
  <c r="BC209" i="7"/>
  <c r="BC193" i="7"/>
  <c r="AT109" i="6"/>
  <c r="BD170" i="7" s="1"/>
  <c r="AU11" i="3"/>
  <c r="AT110" i="6"/>
  <c r="BD171" i="7" s="1"/>
  <c r="AU12" i="3"/>
  <c r="AT113" i="6"/>
  <c r="BD174" i="7" s="1"/>
  <c r="AU15" i="3"/>
  <c r="AT116" i="6"/>
  <c r="BD177" i="7" s="1"/>
  <c r="AU18" i="3"/>
  <c r="AT111" i="6"/>
  <c r="BD172" i="7" s="1"/>
  <c r="AU13" i="3"/>
  <c r="AT114" i="6"/>
  <c r="BD175" i="7" s="1"/>
  <c r="AU16" i="3"/>
  <c r="AT108" i="6"/>
  <c r="BD169" i="7" s="1"/>
  <c r="AU10" i="3"/>
  <c r="AT104" i="6"/>
  <c r="BD165" i="7" s="1"/>
  <c r="AU6" i="3"/>
  <c r="AT115" i="6"/>
  <c r="BD176" i="7" s="1"/>
  <c r="AU17" i="3"/>
  <c r="AT112" i="6"/>
  <c r="BD173" i="7" s="1"/>
  <c r="AU14" i="3"/>
  <c r="AT105" i="6"/>
  <c r="BD166" i="7" s="1"/>
  <c r="AU7" i="3"/>
  <c r="AU8" i="3"/>
  <c r="AU106" i="6" s="1"/>
  <c r="BE167" i="7" s="1"/>
  <c r="AU9" i="3"/>
  <c r="AU107" i="6" s="1"/>
  <c r="BE168" i="7" s="1"/>
  <c r="AU20" i="3"/>
  <c r="AU118" i="6" s="1"/>
  <c r="BE179" i="7" s="1"/>
  <c r="AU19" i="3"/>
  <c r="AU117" i="6" s="1"/>
  <c r="BE178" i="7" s="1"/>
  <c r="G10" i="1"/>
  <c r="H9" i="1"/>
  <c r="BD204" i="7" l="1"/>
  <c r="BD188" i="7"/>
  <c r="BD197" i="7"/>
  <c r="BD181" i="7"/>
  <c r="BD208" i="7"/>
  <c r="BD192" i="7"/>
  <c r="BD202" i="7"/>
  <c r="BD186" i="7"/>
  <c r="BE200" i="7"/>
  <c r="BE184" i="7"/>
  <c r="BD209" i="7"/>
  <c r="BD193" i="7"/>
  <c r="BD201" i="7"/>
  <c r="BD185" i="7"/>
  <c r="BE210" i="7"/>
  <c r="BE194" i="7"/>
  <c r="BE211" i="7"/>
  <c r="BE195" i="7"/>
  <c r="BE199" i="7"/>
  <c r="BE183" i="7"/>
  <c r="BD198" i="7"/>
  <c r="BD182" i="7"/>
  <c r="BD206" i="7"/>
  <c r="BD190" i="7"/>
  <c r="BD205" i="7"/>
  <c r="BD189" i="7"/>
  <c r="BD207" i="7"/>
  <c r="BD191" i="7"/>
  <c r="BD203" i="7"/>
  <c r="BD187" i="7"/>
  <c r="AU114" i="6"/>
  <c r="BE175" i="7" s="1"/>
  <c r="AV16" i="3"/>
  <c r="AU111" i="6"/>
  <c r="BE172" i="7" s="1"/>
  <c r="AV13" i="3"/>
  <c r="AU116" i="6"/>
  <c r="BE177" i="7" s="1"/>
  <c r="AV18" i="3"/>
  <c r="AU104" i="6"/>
  <c r="BE165" i="7" s="1"/>
  <c r="AV6" i="3"/>
  <c r="AU110" i="6"/>
  <c r="BE171" i="7" s="1"/>
  <c r="AV12" i="3"/>
  <c r="AU105" i="6"/>
  <c r="BE166" i="7" s="1"/>
  <c r="AV7" i="3"/>
  <c r="AU112" i="6"/>
  <c r="BE173" i="7" s="1"/>
  <c r="AV14" i="3"/>
  <c r="AU113" i="6"/>
  <c r="BE174" i="7" s="1"/>
  <c r="AV15" i="3"/>
  <c r="AU108" i="6"/>
  <c r="BE169" i="7" s="1"/>
  <c r="AV10" i="3"/>
  <c r="AU109" i="6"/>
  <c r="BE170" i="7" s="1"/>
  <c r="AV11" i="3"/>
  <c r="AU115" i="6"/>
  <c r="BE176" i="7" s="1"/>
  <c r="AV17" i="3"/>
  <c r="AV19" i="3"/>
  <c r="AV117" i="6" s="1"/>
  <c r="BF178" i="7" s="1"/>
  <c r="AV9" i="3"/>
  <c r="AV107" i="6" s="1"/>
  <c r="BF168" i="7" s="1"/>
  <c r="AV8" i="3"/>
  <c r="AV106" i="6" s="1"/>
  <c r="BF167" i="7" s="1"/>
  <c r="AV20" i="3"/>
  <c r="AV118" i="6" s="1"/>
  <c r="BF179" i="7" s="1"/>
  <c r="H10" i="1"/>
  <c r="I7" i="1"/>
  <c r="I9" i="1" s="1"/>
  <c r="I13" i="1"/>
  <c r="H4" i="1"/>
  <c r="H12" i="1" s="1"/>
  <c r="T66" i="3"/>
  <c r="U66" i="3" s="1"/>
  <c r="V66" i="3" s="1"/>
  <c r="W66" i="3" s="1"/>
  <c r="X66" i="3" s="1"/>
  <c r="Y66" i="3" s="1"/>
  <c r="Z66" i="3" s="1"/>
  <c r="AA66" i="3" s="1"/>
  <c r="AB66" i="3" s="1"/>
  <c r="AC66" i="3" s="1"/>
  <c r="AD66" i="3" s="1"/>
  <c r="AE66" i="3" s="1"/>
  <c r="AF66" i="3" s="1"/>
  <c r="AG66" i="3" s="1"/>
  <c r="BF199" i="7" l="1"/>
  <c r="BF183" i="7"/>
  <c r="BE197" i="7"/>
  <c r="BE181" i="7"/>
  <c r="BE203" i="7"/>
  <c r="BE187" i="7"/>
  <c r="BF210" i="7"/>
  <c r="BF194" i="7"/>
  <c r="BE207" i="7"/>
  <c r="BE191" i="7"/>
  <c r="BF200" i="7"/>
  <c r="BF184" i="7"/>
  <c r="BE206" i="7"/>
  <c r="BE190" i="7"/>
  <c r="BF211" i="7"/>
  <c r="BF195" i="7"/>
  <c r="BE205" i="7"/>
  <c r="BE189" i="7"/>
  <c r="BE201" i="7"/>
  <c r="BE185" i="7"/>
  <c r="BE208" i="7"/>
  <c r="BE192" i="7"/>
  <c r="BE209" i="7"/>
  <c r="BE193" i="7"/>
  <c r="BE186" i="7"/>
  <c r="BE202" i="7"/>
  <c r="BE182" i="7"/>
  <c r="BE198" i="7"/>
  <c r="BE204" i="7"/>
  <c r="BE188" i="7"/>
  <c r="AV110" i="6"/>
  <c r="BF171" i="7" s="1"/>
  <c r="AW12" i="3"/>
  <c r="AV111" i="6"/>
  <c r="BF172" i="7" s="1"/>
  <c r="AW13" i="3"/>
  <c r="AV116" i="6"/>
  <c r="BF177" i="7" s="1"/>
  <c r="AW18" i="3"/>
  <c r="AV115" i="6"/>
  <c r="BF176" i="7" s="1"/>
  <c r="AW17" i="3"/>
  <c r="AV109" i="6"/>
  <c r="BF170" i="7" s="1"/>
  <c r="AW11" i="3"/>
  <c r="AV112" i="6"/>
  <c r="BF173" i="7" s="1"/>
  <c r="AW14" i="3"/>
  <c r="AV104" i="6"/>
  <c r="BF165" i="7" s="1"/>
  <c r="AW6" i="3"/>
  <c r="AV113" i="6"/>
  <c r="BF174" i="7" s="1"/>
  <c r="AW15" i="3"/>
  <c r="AV114" i="6"/>
  <c r="BF175" i="7" s="1"/>
  <c r="AW16" i="3"/>
  <c r="AV108" i="6"/>
  <c r="BF169" i="7" s="1"/>
  <c r="AW10" i="3"/>
  <c r="AV105" i="6"/>
  <c r="BF166" i="7" s="1"/>
  <c r="AW7" i="3"/>
  <c r="AW8" i="3"/>
  <c r="AW106" i="6" s="1"/>
  <c r="BG167" i="7" s="1"/>
  <c r="AW9" i="3"/>
  <c r="AW107" i="6" s="1"/>
  <c r="BG168" i="7" s="1"/>
  <c r="AW19" i="3"/>
  <c r="AW117" i="6" s="1"/>
  <c r="BG178" i="7" s="1"/>
  <c r="AW20" i="3"/>
  <c r="AW118" i="6" s="1"/>
  <c r="BG179" i="7" s="1"/>
  <c r="I10" i="1"/>
  <c r="J7" i="1"/>
  <c r="J9" i="1" s="1"/>
  <c r="J13" i="1"/>
  <c r="I4" i="1"/>
  <c r="I12" i="1" s="1"/>
  <c r="AH66" i="3"/>
  <c r="AI66" i="3" s="1"/>
  <c r="BF202" i="7" l="1"/>
  <c r="BF186" i="7"/>
  <c r="BF207" i="7"/>
  <c r="BF191" i="7"/>
  <c r="BG199" i="7"/>
  <c r="BG183" i="7"/>
  <c r="BF208" i="7"/>
  <c r="BF192" i="7"/>
  <c r="BF203" i="7"/>
  <c r="BF187" i="7"/>
  <c r="BG200" i="7"/>
  <c r="BG184" i="7"/>
  <c r="BF206" i="7"/>
  <c r="BF190" i="7"/>
  <c r="BF197" i="7"/>
  <c r="BF181" i="7"/>
  <c r="BG211" i="7"/>
  <c r="BG195" i="7"/>
  <c r="BG210" i="7"/>
  <c r="BG194" i="7"/>
  <c r="BF198" i="7"/>
  <c r="BF182" i="7"/>
  <c r="BF209" i="7"/>
  <c r="BF193" i="7"/>
  <c r="BF201" i="7"/>
  <c r="BF185" i="7"/>
  <c r="BF205" i="7"/>
  <c r="BF189" i="7"/>
  <c r="BF204" i="7"/>
  <c r="BF188" i="7"/>
  <c r="AW113" i="6"/>
  <c r="BG174" i="7" s="1"/>
  <c r="AX15" i="3"/>
  <c r="AW115" i="6"/>
  <c r="BG176" i="7" s="1"/>
  <c r="AX17" i="3"/>
  <c r="AW111" i="6"/>
  <c r="BG172" i="7" s="1"/>
  <c r="AX13" i="3"/>
  <c r="AW116" i="6"/>
  <c r="BG177" i="7" s="1"/>
  <c r="AX18" i="3"/>
  <c r="AW110" i="6"/>
  <c r="BG171" i="7" s="1"/>
  <c r="AX12" i="3"/>
  <c r="AW105" i="6"/>
  <c r="BG166" i="7" s="1"/>
  <c r="AX7" i="3"/>
  <c r="AW114" i="6"/>
  <c r="BG175" i="7" s="1"/>
  <c r="AX16" i="3"/>
  <c r="AW109" i="6"/>
  <c r="BG170" i="7" s="1"/>
  <c r="AX11" i="3"/>
  <c r="AW108" i="6"/>
  <c r="BG169" i="7" s="1"/>
  <c r="AX10" i="3"/>
  <c r="AW112" i="6"/>
  <c r="BG173" i="7" s="1"/>
  <c r="AX14" i="3"/>
  <c r="AW104" i="6"/>
  <c r="BG165" i="7" s="1"/>
  <c r="AX6" i="3"/>
  <c r="N307" i="7"/>
  <c r="AX8" i="3"/>
  <c r="AX106" i="6" s="1"/>
  <c r="BH167" i="7" s="1"/>
  <c r="AX19" i="3"/>
  <c r="AX117" i="6" s="1"/>
  <c r="BH178" i="7" s="1"/>
  <c r="AX20" i="3"/>
  <c r="AX118" i="6" s="1"/>
  <c r="BH179" i="7" s="1"/>
  <c r="AX9" i="3"/>
  <c r="AX107" i="6" s="1"/>
  <c r="BH168" i="7" s="1"/>
  <c r="J10" i="1"/>
  <c r="K7" i="1"/>
  <c r="K9" i="1" s="1"/>
  <c r="K13" i="1"/>
  <c r="J4" i="1"/>
  <c r="J12" i="1" s="1"/>
  <c r="AJ66" i="3"/>
  <c r="BH211" i="7" l="1"/>
  <c r="BH195" i="7"/>
  <c r="BH210" i="7"/>
  <c r="BH194" i="7"/>
  <c r="BG197" i="7"/>
  <c r="BG181" i="7"/>
  <c r="BG187" i="7"/>
  <c r="BG203" i="7"/>
  <c r="BG209" i="7"/>
  <c r="BG193" i="7"/>
  <c r="BG204" i="7"/>
  <c r="BG188" i="7"/>
  <c r="BG201" i="7"/>
  <c r="BG185" i="7"/>
  <c r="BG206" i="7"/>
  <c r="BG190" i="7"/>
  <c r="BH199" i="7"/>
  <c r="BH183" i="7"/>
  <c r="BG202" i="7"/>
  <c r="BG186" i="7"/>
  <c r="BG207" i="7"/>
  <c r="BG191" i="7"/>
  <c r="BH200" i="7"/>
  <c r="BH184" i="7"/>
  <c r="BG205" i="7"/>
  <c r="BG189" i="7"/>
  <c r="BG198" i="7"/>
  <c r="BG182" i="7"/>
  <c r="BG208" i="7"/>
  <c r="BG192" i="7"/>
  <c r="AX114" i="6"/>
  <c r="BH175" i="7" s="1"/>
  <c r="AY16" i="3"/>
  <c r="AX109" i="6"/>
  <c r="BH170" i="7" s="1"/>
  <c r="AY11" i="3"/>
  <c r="AX110" i="6"/>
  <c r="BH171" i="7" s="1"/>
  <c r="AY12" i="3"/>
  <c r="AX111" i="6"/>
  <c r="BH172" i="7" s="1"/>
  <c r="AY13" i="3"/>
  <c r="AX108" i="6"/>
  <c r="BH169" i="7" s="1"/>
  <c r="AY10" i="3"/>
  <c r="AX116" i="6"/>
  <c r="BH177" i="7" s="1"/>
  <c r="AY18" i="3"/>
  <c r="AX115" i="6"/>
  <c r="BH176" i="7" s="1"/>
  <c r="AY17" i="3"/>
  <c r="AX104" i="6"/>
  <c r="BH165" i="7" s="1"/>
  <c r="AY6" i="3"/>
  <c r="AX105" i="6"/>
  <c r="BH166" i="7" s="1"/>
  <c r="AY7" i="3"/>
  <c r="AX113" i="6"/>
  <c r="BH174" i="7" s="1"/>
  <c r="AY15" i="3"/>
  <c r="AX112" i="6"/>
  <c r="BH173" i="7" s="1"/>
  <c r="AY14" i="3"/>
  <c r="AY19" i="3"/>
  <c r="AY117" i="6" s="1"/>
  <c r="BI178" i="7" s="1"/>
  <c r="AY9" i="3"/>
  <c r="AY107" i="6" s="1"/>
  <c r="BI168" i="7" s="1"/>
  <c r="AY20" i="3"/>
  <c r="AY118" i="6" s="1"/>
  <c r="BI179" i="7" s="1"/>
  <c r="AY8" i="3"/>
  <c r="AY106" i="6" s="1"/>
  <c r="BI167" i="7" s="1"/>
  <c r="K10" i="1"/>
  <c r="L7" i="1"/>
  <c r="L9" i="1" s="1"/>
  <c r="L13" i="1"/>
  <c r="K4" i="1"/>
  <c r="K12" i="1" s="1"/>
  <c r="AK66" i="3"/>
  <c r="BI210" i="7" l="1"/>
  <c r="BI194" i="7"/>
  <c r="BI211" i="7"/>
  <c r="BI195" i="7"/>
  <c r="BH201" i="7"/>
  <c r="BH185" i="7"/>
  <c r="BI184" i="7"/>
  <c r="BI200" i="7"/>
  <c r="BH198" i="7"/>
  <c r="BH182" i="7"/>
  <c r="BH197" i="7"/>
  <c r="BH181" i="7"/>
  <c r="BH187" i="7"/>
  <c r="BH203" i="7"/>
  <c r="BI199" i="7"/>
  <c r="BI183" i="7"/>
  <c r="BH207" i="7"/>
  <c r="BH191" i="7"/>
  <c r="BH204" i="7"/>
  <c r="BH188" i="7"/>
  <c r="BH205" i="7"/>
  <c r="BH189" i="7"/>
  <c r="BH208" i="7"/>
  <c r="BH192" i="7"/>
  <c r="BH206" i="7"/>
  <c r="BH190" i="7"/>
  <c r="BH209" i="7"/>
  <c r="BH193" i="7"/>
  <c r="BH202" i="7"/>
  <c r="BH186" i="7"/>
  <c r="AY108" i="6"/>
  <c r="BI169" i="7" s="1"/>
  <c r="AZ10" i="3"/>
  <c r="AY113" i="6"/>
  <c r="BI174" i="7" s="1"/>
  <c r="AZ15" i="3"/>
  <c r="AY104" i="6"/>
  <c r="BI165" i="7" s="1"/>
  <c r="AZ6" i="3"/>
  <c r="AY105" i="6"/>
  <c r="BI166" i="7" s="1"/>
  <c r="AZ7" i="3"/>
  <c r="AY111" i="6"/>
  <c r="BI172" i="7" s="1"/>
  <c r="AZ13" i="3"/>
  <c r="AY115" i="6"/>
  <c r="BI176" i="7" s="1"/>
  <c r="AZ17" i="3"/>
  <c r="AY114" i="6"/>
  <c r="BI175" i="7" s="1"/>
  <c r="AZ16" i="3"/>
  <c r="AY110" i="6"/>
  <c r="BI171" i="7" s="1"/>
  <c r="AZ12" i="3"/>
  <c r="AY116" i="6"/>
  <c r="BI177" i="7" s="1"/>
  <c r="AZ18" i="3"/>
  <c r="AY112" i="6"/>
  <c r="BI173" i="7" s="1"/>
  <c r="AZ14" i="3"/>
  <c r="AY109" i="6"/>
  <c r="BI170" i="7" s="1"/>
  <c r="AZ11" i="3"/>
  <c r="AZ9" i="3"/>
  <c r="AZ107" i="6" s="1"/>
  <c r="BJ168" i="7" s="1"/>
  <c r="AZ19" i="3"/>
  <c r="AZ117" i="6" s="1"/>
  <c r="BJ178" i="7" s="1"/>
  <c r="AZ8" i="3"/>
  <c r="AZ106" i="6" s="1"/>
  <c r="BJ167" i="7" s="1"/>
  <c r="AZ20" i="3"/>
  <c r="AZ118" i="6" s="1"/>
  <c r="BJ179" i="7" s="1"/>
  <c r="L10" i="1"/>
  <c r="M7" i="1"/>
  <c r="M9" i="1" s="1"/>
  <c r="M13" i="1"/>
  <c r="L4" i="1"/>
  <c r="L12" i="1" s="1"/>
  <c r="AL66" i="3"/>
  <c r="BI209" i="7" l="1"/>
  <c r="BI193" i="7"/>
  <c r="BJ211" i="7"/>
  <c r="BJ195" i="7"/>
  <c r="BJ199" i="7"/>
  <c r="BJ183" i="7"/>
  <c r="BJ210" i="7"/>
  <c r="BJ194" i="7"/>
  <c r="BI204" i="7"/>
  <c r="BI188" i="7"/>
  <c r="BI203" i="7"/>
  <c r="BI187" i="7"/>
  <c r="BI201" i="7"/>
  <c r="BI185" i="7"/>
  <c r="BJ200" i="7"/>
  <c r="BJ184" i="7"/>
  <c r="BI198" i="7"/>
  <c r="BI182" i="7"/>
  <c r="BI202" i="7"/>
  <c r="BI186" i="7"/>
  <c r="BI207" i="7"/>
  <c r="BI191" i="7"/>
  <c r="BI197" i="7"/>
  <c r="BI181" i="7"/>
  <c r="BI205" i="7"/>
  <c r="BI189" i="7"/>
  <c r="BI208" i="7"/>
  <c r="BI192" i="7"/>
  <c r="BI206" i="7"/>
  <c r="BI190" i="7"/>
  <c r="AZ113" i="6"/>
  <c r="BJ174" i="7" s="1"/>
  <c r="BA15" i="3"/>
  <c r="AZ116" i="6"/>
  <c r="BJ177" i="7" s="1"/>
  <c r="BA18" i="3"/>
  <c r="AZ110" i="6"/>
  <c r="BJ171" i="7" s="1"/>
  <c r="BA12" i="3"/>
  <c r="AZ115" i="6"/>
  <c r="BJ176" i="7" s="1"/>
  <c r="BA17" i="3"/>
  <c r="AZ111" i="6"/>
  <c r="BJ172" i="7" s="1"/>
  <c r="BA13" i="3"/>
  <c r="AZ114" i="6"/>
  <c r="BJ175" i="7" s="1"/>
  <c r="BA16" i="3"/>
  <c r="AZ104" i="6"/>
  <c r="BJ165" i="7" s="1"/>
  <c r="BA6" i="3"/>
  <c r="AZ108" i="6"/>
  <c r="BJ169" i="7" s="1"/>
  <c r="BA10" i="3"/>
  <c r="AZ105" i="6"/>
  <c r="BJ166" i="7" s="1"/>
  <c r="BA7" i="3"/>
  <c r="AZ109" i="6"/>
  <c r="BJ170" i="7" s="1"/>
  <c r="BA11" i="3"/>
  <c r="AZ112" i="6"/>
  <c r="BJ173" i="7" s="1"/>
  <c r="BA14" i="3"/>
  <c r="BA8" i="3"/>
  <c r="BA106" i="6" s="1"/>
  <c r="BK167" i="7" s="1"/>
  <c r="BA9" i="3"/>
  <c r="BA107" i="6" s="1"/>
  <c r="BK168" i="7" s="1"/>
  <c r="BA19" i="3"/>
  <c r="BA117" i="6" s="1"/>
  <c r="BK178" i="7" s="1"/>
  <c r="BA20" i="3"/>
  <c r="BA118" i="6" s="1"/>
  <c r="BK179" i="7" s="1"/>
  <c r="M10" i="1"/>
  <c r="N7" i="1"/>
  <c r="N9" i="1" s="1"/>
  <c r="N13" i="1"/>
  <c r="M4" i="1"/>
  <c r="M12" i="1" s="1"/>
  <c r="AM66" i="3"/>
  <c r="BJ204" i="7" l="1"/>
  <c r="BJ188" i="7"/>
  <c r="BK211" i="7"/>
  <c r="BK195" i="7"/>
  <c r="BK210" i="7"/>
  <c r="J210" i="7" s="1"/>
  <c r="BK194" i="7"/>
  <c r="BJ206" i="7"/>
  <c r="BJ190" i="7"/>
  <c r="BJ208" i="7"/>
  <c r="BJ192" i="7"/>
  <c r="BJ198" i="7"/>
  <c r="BJ182" i="7"/>
  <c r="BK200" i="7"/>
  <c r="BK184" i="7"/>
  <c r="J184" i="7" s="1"/>
  <c r="BJ201" i="7"/>
  <c r="BJ185" i="7"/>
  <c r="BJ203" i="7"/>
  <c r="BJ187" i="7"/>
  <c r="BK199" i="7"/>
  <c r="BK183" i="7"/>
  <c r="BJ197" i="7"/>
  <c r="BJ181" i="7"/>
  <c r="BJ205" i="7"/>
  <c r="BJ189" i="7"/>
  <c r="BJ202" i="7"/>
  <c r="BJ186" i="7"/>
  <c r="BJ207" i="7"/>
  <c r="BJ191" i="7"/>
  <c r="BJ209" i="7"/>
  <c r="BJ193" i="7"/>
  <c r="BA116" i="6"/>
  <c r="BK177" i="7" s="1"/>
  <c r="BB18" i="3"/>
  <c r="BB116" i="6" s="1"/>
  <c r="BA110" i="6"/>
  <c r="BK171" i="7" s="1"/>
  <c r="BB12" i="3"/>
  <c r="BB110" i="6" s="1"/>
  <c r="BA108" i="6"/>
  <c r="BK169" i="7" s="1"/>
  <c r="BB10" i="3"/>
  <c r="BB108" i="6" s="1"/>
  <c r="BA114" i="6"/>
  <c r="BK175" i="7" s="1"/>
  <c r="BB16" i="3"/>
  <c r="BB114" i="6" s="1"/>
  <c r="J178" i="7"/>
  <c r="J194" i="7"/>
  <c r="BA109" i="6"/>
  <c r="BK170" i="7" s="1"/>
  <c r="BB11" i="3"/>
  <c r="BB109" i="6" s="1"/>
  <c r="BA104" i="6"/>
  <c r="BK165" i="7" s="1"/>
  <c r="BB6" i="3"/>
  <c r="BB104" i="6" s="1"/>
  <c r="BA113" i="6"/>
  <c r="BK174" i="7" s="1"/>
  <c r="BB15" i="3"/>
  <c r="BB113" i="6" s="1"/>
  <c r="BA111" i="6"/>
  <c r="BK172" i="7" s="1"/>
  <c r="BB13" i="3"/>
  <c r="BB111" i="6" s="1"/>
  <c r="J179" i="7"/>
  <c r="J195" i="7"/>
  <c r="J183" i="7"/>
  <c r="J167" i="7"/>
  <c r="BA112" i="6"/>
  <c r="BK173" i="7" s="1"/>
  <c r="BB14" i="3"/>
  <c r="BB112" i="6" s="1"/>
  <c r="BA105" i="6"/>
  <c r="BK166" i="7" s="1"/>
  <c r="BB7" i="3"/>
  <c r="J168" i="7"/>
  <c r="BA115" i="6"/>
  <c r="BK176" i="7" s="1"/>
  <c r="BB17" i="3"/>
  <c r="BB115" i="6" s="1"/>
  <c r="O307" i="7"/>
  <c r="BB19" i="3"/>
  <c r="BB117" i="6" s="1"/>
  <c r="BB9" i="3"/>
  <c r="BB107" i="6" s="1"/>
  <c r="BB20" i="3"/>
  <c r="BB118" i="6" s="1"/>
  <c r="BB8" i="3"/>
  <c r="BB106" i="6" s="1"/>
  <c r="N10" i="1"/>
  <c r="O7" i="1"/>
  <c r="O9" i="1" s="1"/>
  <c r="O13" i="1"/>
  <c r="N4" i="1"/>
  <c r="N12" i="1" s="1"/>
  <c r="AN66" i="3"/>
  <c r="BK204" i="7" l="1"/>
  <c r="BK188" i="7"/>
  <c r="BK209" i="7"/>
  <c r="J209" i="7" s="1"/>
  <c r="BK193" i="7"/>
  <c r="BK207" i="7"/>
  <c r="J207" i="7" s="1"/>
  <c r="BK191" i="7"/>
  <c r="J191" i="7" s="1"/>
  <c r="BK208" i="7"/>
  <c r="J208" i="7" s="1"/>
  <c r="BK192" i="7"/>
  <c r="BK197" i="7"/>
  <c r="BK181" i="7"/>
  <c r="BK185" i="7"/>
  <c r="BK201" i="7"/>
  <c r="J201" i="7" s="1"/>
  <c r="BK198" i="7"/>
  <c r="BK182" i="7"/>
  <c r="J182" i="7" s="1"/>
  <c r="BK205" i="7"/>
  <c r="J205" i="7" s="1"/>
  <c r="BK189" i="7"/>
  <c r="J189" i="7" s="1"/>
  <c r="BK206" i="7"/>
  <c r="BK190" i="7"/>
  <c r="BK202" i="7"/>
  <c r="BK186" i="7"/>
  <c r="J186" i="7" s="1"/>
  <c r="BK203" i="7"/>
  <c r="BK187" i="7"/>
  <c r="BB105" i="6"/>
  <c r="J199" i="7"/>
  <c r="J175" i="7"/>
  <c r="J165" i="7"/>
  <c r="J181" i="7"/>
  <c r="J197" i="7"/>
  <c r="J172" i="7"/>
  <c r="J188" i="7"/>
  <c r="J204" i="7"/>
  <c r="J202" i="7"/>
  <c r="J170" i="7"/>
  <c r="J171" i="7"/>
  <c r="J203" i="7"/>
  <c r="J187" i="7"/>
  <c r="J198" i="7"/>
  <c r="J166" i="7"/>
  <c r="J211" i="7"/>
  <c r="J190" i="7"/>
  <c r="J206" i="7"/>
  <c r="J174" i="7"/>
  <c r="J177" i="7"/>
  <c r="J193" i="7"/>
  <c r="J200" i="7"/>
  <c r="J173" i="7"/>
  <c r="J176" i="7"/>
  <c r="J192" i="7"/>
  <c r="J169" i="7"/>
  <c r="J185" i="7"/>
  <c r="O10" i="1"/>
  <c r="P7" i="1"/>
  <c r="P9" i="1" s="1"/>
  <c r="P13" i="1"/>
  <c r="O4" i="1"/>
  <c r="O12" i="1" s="1"/>
  <c r="AO66" i="3"/>
  <c r="P10" i="1" l="1"/>
  <c r="Q7" i="1"/>
  <c r="Q9" i="1" s="1"/>
  <c r="Q13" i="1"/>
  <c r="P4" i="1"/>
  <c r="P12" i="1" s="1"/>
  <c r="AP66" i="3"/>
  <c r="Q10" i="1" l="1"/>
  <c r="R7" i="1"/>
  <c r="R9" i="1" s="1"/>
  <c r="R13" i="1"/>
  <c r="Q4" i="1"/>
  <c r="Q12" i="1" s="1"/>
  <c r="AQ66" i="3"/>
  <c r="R10" i="1" l="1"/>
  <c r="S7" i="1"/>
  <c r="S9" i="1" s="1"/>
  <c r="S13" i="1"/>
  <c r="R4" i="1"/>
  <c r="R12" i="1" s="1"/>
  <c r="AR66" i="3"/>
  <c r="S10" i="1" l="1"/>
  <c r="T7" i="1"/>
  <c r="T9" i="1" s="1"/>
  <c r="T13" i="1"/>
  <c r="S4" i="1"/>
  <c r="S12" i="1" s="1"/>
  <c r="AS66" i="3"/>
  <c r="P307" i="7" l="1"/>
  <c r="T10" i="1"/>
  <c r="U7" i="1"/>
  <c r="U9" i="1" s="1"/>
  <c r="U13" i="1"/>
  <c r="T4" i="1"/>
  <c r="T12" i="1" s="1"/>
  <c r="AT66" i="3"/>
  <c r="Q307" i="7" l="1"/>
  <c r="U10" i="1"/>
  <c r="V7" i="1"/>
  <c r="V9" i="1" s="1"/>
  <c r="V13" i="1"/>
  <c r="U4" i="1"/>
  <c r="U12" i="1" s="1"/>
  <c r="T97" i="1"/>
  <c r="AU66" i="3"/>
  <c r="S307" i="7" l="1"/>
  <c r="R307" i="7"/>
  <c r="V10" i="1"/>
  <c r="W7" i="1"/>
  <c r="W9" i="1" s="1"/>
  <c r="W13" i="1"/>
  <c r="V4" i="1"/>
  <c r="V12" i="1" s="1"/>
  <c r="U97" i="1"/>
  <c r="AV66" i="3"/>
  <c r="W10" i="1" l="1"/>
  <c r="X7" i="1"/>
  <c r="X9" i="1" s="1"/>
  <c r="X13" i="1"/>
  <c r="W4" i="1"/>
  <c r="W12" i="1" s="1"/>
  <c r="V97" i="1"/>
  <c r="AW66" i="3"/>
  <c r="X10" i="1" l="1"/>
  <c r="Y7" i="1"/>
  <c r="Y9" i="1" s="1"/>
  <c r="Y13" i="1"/>
  <c r="X4" i="1"/>
  <c r="X12" i="1" s="1"/>
  <c r="W97" i="1"/>
  <c r="AX66" i="3"/>
  <c r="Y10" i="1" l="1"/>
  <c r="Z7" i="1"/>
  <c r="Z9" i="1" s="1"/>
  <c r="Z13" i="1"/>
  <c r="Y4" i="1"/>
  <c r="Y12" i="1" s="1"/>
  <c r="X97" i="1"/>
  <c r="AY66" i="3"/>
  <c r="Z10" i="1" l="1"/>
  <c r="AA7" i="1"/>
  <c r="AA13" i="1"/>
  <c r="Z4" i="1"/>
  <c r="Z12" i="1" s="1"/>
  <c r="Y97" i="1"/>
  <c r="AZ66" i="3"/>
  <c r="AA9" i="1" l="1"/>
  <c r="AB7" i="1"/>
  <c r="AB9" i="1" s="1"/>
  <c r="AA10" i="1"/>
  <c r="AB13" i="1"/>
  <c r="AA4" i="1"/>
  <c r="AA12" i="1" s="1"/>
  <c r="Z97" i="1"/>
  <c r="BA66" i="3"/>
  <c r="AB10" i="1" l="1"/>
  <c r="AC7" i="1"/>
  <c r="AC9" i="1" s="1"/>
  <c r="AC13" i="1"/>
  <c r="AB4" i="1"/>
  <c r="AB12" i="1" s="1"/>
  <c r="AA97" i="1"/>
  <c r="BB66" i="3"/>
  <c r="AC10" i="1" l="1"/>
  <c r="AD7" i="1"/>
  <c r="AD9" i="1" s="1"/>
  <c r="AD13" i="1"/>
  <c r="AC4" i="1"/>
  <c r="AC12" i="1" s="1"/>
  <c r="AB97" i="1"/>
  <c r="AD10" i="1" l="1"/>
  <c r="AE7" i="1"/>
  <c r="AE9" i="1" s="1"/>
  <c r="AE13" i="1"/>
  <c r="AD4" i="1"/>
  <c r="AD12" i="1" s="1"/>
  <c r="AC97" i="1"/>
  <c r="AE10" i="1" l="1"/>
  <c r="AF7" i="1"/>
  <c r="AF9" i="1" s="1"/>
  <c r="AF13" i="1"/>
  <c r="AE4" i="1"/>
  <c r="AE12" i="1" s="1"/>
  <c r="AD97" i="1"/>
  <c r="AF10" i="1" l="1"/>
  <c r="AG7" i="1"/>
  <c r="AG9" i="1" s="1"/>
  <c r="AG13" i="1"/>
  <c r="AF4" i="1"/>
  <c r="AF12" i="1" s="1"/>
  <c r="AE97" i="1"/>
  <c r="AG10" i="1" l="1"/>
  <c r="AH7" i="1"/>
  <c r="AH9" i="1" s="1"/>
  <c r="AH13" i="1"/>
  <c r="AG4" i="1"/>
  <c r="AG12" i="1" s="1"/>
  <c r="AF97" i="1"/>
  <c r="AH10" i="1" l="1"/>
  <c r="AI7" i="1"/>
  <c r="AI9" i="1" s="1"/>
  <c r="AI13" i="1"/>
  <c r="AH4" i="1"/>
  <c r="AH12" i="1" s="1"/>
  <c r="AG97" i="1"/>
  <c r="AI10" i="1" l="1"/>
  <c r="AJ7" i="1"/>
  <c r="AJ9" i="1" s="1"/>
  <c r="AJ13" i="1"/>
  <c r="AI4" i="1"/>
  <c r="AI12" i="1"/>
  <c r="AH97" i="1"/>
  <c r="AJ10" i="1" l="1"/>
  <c r="AK7" i="1"/>
  <c r="AK9" i="1" s="1"/>
  <c r="AK13" i="1"/>
  <c r="AJ4" i="1"/>
  <c r="AJ12" i="1" s="1"/>
  <c r="AI97" i="1"/>
  <c r="AK10" i="1" l="1"/>
  <c r="AL7" i="1"/>
  <c r="AL9" i="1" s="1"/>
  <c r="AL13" i="1"/>
  <c r="AK4" i="1"/>
  <c r="AK12" i="1" s="1"/>
  <c r="AJ97" i="1"/>
  <c r="AL10" i="1" l="1"/>
  <c r="AM7" i="1"/>
  <c r="AM9" i="1" s="1"/>
  <c r="AM13" i="1"/>
  <c r="AL4" i="1"/>
  <c r="AL12" i="1" s="1"/>
  <c r="AK97" i="1"/>
  <c r="AM10" i="1" l="1"/>
  <c r="AN7" i="1"/>
  <c r="AN9" i="1" s="1"/>
  <c r="AN13" i="1"/>
  <c r="AM4" i="1"/>
  <c r="AM12" i="1" s="1"/>
  <c r="AL97" i="1"/>
  <c r="AN10" i="1" l="1"/>
  <c r="AO7" i="1"/>
  <c r="AO9" i="1" s="1"/>
  <c r="AO13" i="1"/>
  <c r="AN4" i="1"/>
  <c r="AN12" i="1" s="1"/>
  <c r="AM97" i="1"/>
  <c r="AO10" i="1" l="1"/>
  <c r="AP7" i="1"/>
  <c r="AP9" i="1" s="1"/>
  <c r="AP13" i="1"/>
  <c r="AO4" i="1"/>
  <c r="AO12" i="1" s="1"/>
  <c r="AN97" i="1"/>
  <c r="AP10" i="1" l="1"/>
  <c r="AQ7" i="1"/>
  <c r="AQ9" i="1" s="1"/>
  <c r="AQ13" i="1"/>
  <c r="AP4" i="1"/>
  <c r="AP12" i="1" s="1"/>
  <c r="AO97" i="1"/>
  <c r="AQ10" i="1" l="1"/>
  <c r="AR7" i="1"/>
  <c r="AR9" i="1" s="1"/>
  <c r="AR13" i="1"/>
  <c r="AQ4" i="1"/>
  <c r="AQ12" i="1" s="1"/>
  <c r="AP97" i="1"/>
  <c r="AR10" i="1" l="1"/>
  <c r="AS7" i="1"/>
  <c r="AS9" i="1" s="1"/>
  <c r="AS13" i="1"/>
  <c r="AR4" i="1"/>
  <c r="AR12" i="1" s="1"/>
  <c r="AQ97" i="1"/>
  <c r="AS10" i="1" l="1"/>
  <c r="AT7" i="1"/>
  <c r="AT9" i="1" s="1"/>
  <c r="AT13" i="1"/>
  <c r="AS4" i="1"/>
  <c r="AS12" i="1" s="1"/>
  <c r="AR97" i="1"/>
  <c r="AT10" i="1" l="1"/>
  <c r="AU7" i="1"/>
  <c r="AU9" i="1" s="1"/>
  <c r="AU13" i="1"/>
  <c r="AT4" i="1"/>
  <c r="AT12" i="1" s="1"/>
  <c r="AS97" i="1"/>
  <c r="AU10" i="1" l="1"/>
  <c r="AV7" i="1"/>
  <c r="AV9" i="1" s="1"/>
  <c r="AV13" i="1"/>
  <c r="AU4" i="1"/>
  <c r="AU12" i="1" s="1"/>
  <c r="AT97" i="1"/>
  <c r="AV10" i="1" l="1"/>
  <c r="AW7" i="1"/>
  <c r="AW9" i="1" s="1"/>
  <c r="AW13" i="1"/>
  <c r="AV4" i="1"/>
  <c r="AV12" i="1" s="1"/>
  <c r="AU97" i="1"/>
  <c r="AW10" i="1" l="1"/>
  <c r="AX7" i="1"/>
  <c r="AX9" i="1" s="1"/>
  <c r="AX13" i="1"/>
  <c r="AW4" i="1"/>
  <c r="AW12" i="1" s="1"/>
  <c r="AV97" i="1"/>
  <c r="AX10" i="1" l="1"/>
  <c r="AY7" i="1"/>
  <c r="AY9" i="1" s="1"/>
  <c r="AY13" i="1"/>
  <c r="AX4" i="1"/>
  <c r="AX12" i="1" s="1"/>
  <c r="AW97" i="1"/>
  <c r="AY10" i="1" l="1"/>
  <c r="AZ7" i="1"/>
  <c r="AZ9" i="1" s="1"/>
  <c r="AZ13" i="1"/>
  <c r="AY4" i="1"/>
  <c r="AY12" i="1" s="1"/>
  <c r="AX97" i="1"/>
  <c r="AZ10" i="1" l="1"/>
  <c r="BA7" i="1"/>
  <c r="BA9" i="1" s="1"/>
  <c r="BA13" i="1"/>
  <c r="AZ4" i="1"/>
  <c r="AZ12" i="1" s="1"/>
  <c r="AY97" i="1"/>
  <c r="BA10" i="1" l="1"/>
  <c r="BB7" i="1"/>
  <c r="BB9" i="1" s="1"/>
  <c r="BB13" i="1"/>
  <c r="BA4" i="1"/>
  <c r="BA12" i="1" s="1"/>
  <c r="AZ97" i="1"/>
  <c r="BB10" i="1" l="1"/>
  <c r="BB4" i="1"/>
  <c r="BB12" i="1" s="1"/>
  <c r="BA97" i="1"/>
  <c r="BB97" i="1" l="1"/>
  <c r="F80" i="1" l="1"/>
  <c r="F30" i="1" l="1"/>
  <c r="G30" i="1" s="1"/>
  <c r="H30" i="1" s="1"/>
  <c r="I30" i="1" s="1"/>
  <c r="F36" i="3"/>
  <c r="F28" i="3"/>
  <c r="F27" i="3"/>
  <c r="F26" i="3"/>
  <c r="F25" i="3"/>
  <c r="F24" i="3"/>
  <c r="F23" i="3"/>
  <c r="F22" i="3"/>
  <c r="G22" i="3" l="1"/>
  <c r="G25" i="3"/>
  <c r="G23" i="6" s="1"/>
  <c r="G40" i="6" s="1"/>
  <c r="P130" i="7" s="1"/>
  <c r="G27" i="3"/>
  <c r="G24" i="3"/>
  <c r="G23" i="3"/>
  <c r="G26" i="3"/>
  <c r="G28" i="3"/>
  <c r="G36" i="3"/>
  <c r="P59" i="7" l="1"/>
  <c r="H25" i="3"/>
  <c r="H23" i="6" s="1"/>
  <c r="H40" i="6" s="1"/>
  <c r="Q130" i="7" s="1"/>
  <c r="H27" i="3"/>
  <c r="H22" i="3"/>
  <c r="H36" i="3"/>
  <c r="H26" i="3"/>
  <c r="H28" i="3"/>
  <c r="H23" i="3"/>
  <c r="H24" i="3"/>
  <c r="Q59" i="7" l="1"/>
  <c r="I27" i="3"/>
  <c r="I25" i="3"/>
  <c r="I23" i="6" s="1"/>
  <c r="I40" i="6" s="1"/>
  <c r="R130" i="7" s="1"/>
  <c r="I22" i="3"/>
  <c r="J30" i="1"/>
  <c r="I24" i="3"/>
  <c r="I26" i="3"/>
  <c r="I23" i="3"/>
  <c r="I28" i="3"/>
  <c r="I36" i="3"/>
  <c r="R59" i="7" l="1"/>
  <c r="J27" i="3"/>
  <c r="J25" i="3"/>
  <c r="J23" i="6" s="1"/>
  <c r="J40" i="6" s="1"/>
  <c r="S130" i="7" s="1"/>
  <c r="J22" i="3"/>
  <c r="K30" i="1"/>
  <c r="J28" i="3"/>
  <c r="J26" i="3"/>
  <c r="J36" i="3"/>
  <c r="J23" i="3"/>
  <c r="K27" i="3"/>
  <c r="J24" i="3"/>
  <c r="S59" i="7" l="1"/>
  <c r="K25" i="3"/>
  <c r="K23" i="6" s="1"/>
  <c r="K40" i="6" s="1"/>
  <c r="T130" i="7" s="1"/>
  <c r="K22" i="3"/>
  <c r="L30" i="1"/>
  <c r="L27" i="3"/>
  <c r="K23" i="3"/>
  <c r="K26" i="3"/>
  <c r="K24" i="3"/>
  <c r="K36" i="3"/>
  <c r="K28" i="3"/>
  <c r="T59" i="7" l="1"/>
  <c r="L25" i="3"/>
  <c r="L23" i="6" s="1"/>
  <c r="L40" i="6" s="1"/>
  <c r="U130" i="7" s="1"/>
  <c r="L22" i="3"/>
  <c r="M30" i="1"/>
  <c r="L28" i="3"/>
  <c r="L23" i="3"/>
  <c r="L36" i="3"/>
  <c r="L24" i="3"/>
  <c r="L26" i="3"/>
  <c r="M27" i="3"/>
  <c r="U59" i="7" l="1"/>
  <c r="M25" i="3"/>
  <c r="M23" i="6" s="1"/>
  <c r="M40" i="6" s="1"/>
  <c r="V130" i="7" s="1"/>
  <c r="M22" i="3"/>
  <c r="N30" i="1"/>
  <c r="N25" i="3"/>
  <c r="N23" i="6" s="1"/>
  <c r="N40" i="6" s="1"/>
  <c r="W130" i="7" s="1"/>
  <c r="M36" i="3"/>
  <c r="M28" i="3"/>
  <c r="N27" i="3"/>
  <c r="M24" i="3"/>
  <c r="M26" i="3"/>
  <c r="M23" i="3"/>
  <c r="V59" i="7" l="1"/>
  <c r="W59" i="7"/>
  <c r="N22" i="3"/>
  <c r="O30" i="1"/>
  <c r="N24" i="3"/>
  <c r="N26" i="3"/>
  <c r="N36" i="3"/>
  <c r="O25" i="3"/>
  <c r="O23" i="6" s="1"/>
  <c r="O40" i="6" s="1"/>
  <c r="X130" i="7" s="1"/>
  <c r="N23" i="3"/>
  <c r="O27" i="3"/>
  <c r="O22" i="3"/>
  <c r="N28" i="3"/>
  <c r="X59" i="7" l="1"/>
  <c r="P30" i="1"/>
  <c r="O28" i="3"/>
  <c r="P25" i="3"/>
  <c r="P23" i="6" s="1"/>
  <c r="P40" i="6" s="1"/>
  <c r="Y130" i="7" s="1"/>
  <c r="P22" i="3"/>
  <c r="O36" i="3"/>
  <c r="P27" i="3"/>
  <c r="O26" i="3"/>
  <c r="O23" i="3"/>
  <c r="O24" i="3"/>
  <c r="Y59" i="7" l="1"/>
  <c r="Q30" i="1"/>
  <c r="P24" i="3"/>
  <c r="P36" i="3"/>
  <c r="P26" i="3"/>
  <c r="Q25" i="3"/>
  <c r="Q23" i="6" s="1"/>
  <c r="Q40" i="6" s="1"/>
  <c r="Z130" i="7" s="1"/>
  <c r="P23" i="3"/>
  <c r="Q22" i="3"/>
  <c r="Q27" i="3"/>
  <c r="P28" i="3"/>
  <c r="Z59" i="7" l="1"/>
  <c r="R30" i="1"/>
  <c r="R25" i="3"/>
  <c r="R23" i="6" s="1"/>
  <c r="R40" i="6" s="1"/>
  <c r="AA130" i="7" s="1"/>
  <c r="R27" i="3"/>
  <c r="Q26" i="3"/>
  <c r="R22" i="3"/>
  <c r="Q36" i="3"/>
  <c r="Q28" i="3"/>
  <c r="Q23" i="3"/>
  <c r="Q24" i="3"/>
  <c r="R37" i="1"/>
  <c r="AA59" i="7" l="1"/>
  <c r="R33" i="1"/>
  <c r="R35" i="1"/>
  <c r="R34" i="1"/>
  <c r="R32" i="1"/>
  <c r="S30" i="1"/>
  <c r="S22" i="3"/>
  <c r="R23" i="3"/>
  <c r="R26" i="3"/>
  <c r="R28" i="3"/>
  <c r="S27" i="3"/>
  <c r="R24" i="3"/>
  <c r="R36" i="3"/>
  <c r="S25" i="3"/>
  <c r="S23" i="6" s="1"/>
  <c r="S40" i="6" s="1"/>
  <c r="AB130" i="7" s="1"/>
  <c r="R46" i="1"/>
  <c r="S37" i="1"/>
  <c r="R36" i="1"/>
  <c r="R38" i="1"/>
  <c r="AB59" i="7" l="1"/>
  <c r="S32" i="1"/>
  <c r="S34" i="1"/>
  <c r="S35" i="1"/>
  <c r="S33" i="1"/>
  <c r="T30" i="1"/>
  <c r="T25" i="3"/>
  <c r="T23" i="6" s="1"/>
  <c r="T40" i="6" s="1"/>
  <c r="AC130" i="7" s="1"/>
  <c r="S28" i="3"/>
  <c r="S36" i="3"/>
  <c r="S24" i="3"/>
  <c r="S23" i="3"/>
  <c r="S26" i="3"/>
  <c r="T27" i="3"/>
  <c r="T22" i="3"/>
  <c r="S46" i="1"/>
  <c r="S38" i="1"/>
  <c r="S36" i="1"/>
  <c r="T37" i="1"/>
  <c r="AC59" i="7" l="1"/>
  <c r="T33" i="1"/>
  <c r="T35" i="1"/>
  <c r="T34" i="1"/>
  <c r="T32" i="1"/>
  <c r="U30" i="1"/>
  <c r="T24" i="3"/>
  <c r="T36" i="3"/>
  <c r="T26" i="3"/>
  <c r="T28" i="3"/>
  <c r="U22" i="3"/>
  <c r="U27" i="3"/>
  <c r="T23" i="3"/>
  <c r="U25" i="3"/>
  <c r="U23" i="6" s="1"/>
  <c r="U40" i="6" s="1"/>
  <c r="AD130" i="7" s="1"/>
  <c r="T46" i="1"/>
  <c r="T36" i="1"/>
  <c r="U37" i="1"/>
  <c r="T38" i="1"/>
  <c r="AD59" i="7" l="1"/>
  <c r="U32" i="1"/>
  <c r="U34" i="1"/>
  <c r="U35" i="1"/>
  <c r="U33" i="1"/>
  <c r="V30" i="1"/>
  <c r="U24" i="3"/>
  <c r="U28" i="3"/>
  <c r="V25" i="3"/>
  <c r="V23" i="6" s="1"/>
  <c r="V40" i="6" s="1"/>
  <c r="AE130" i="7" s="1"/>
  <c r="U23" i="3"/>
  <c r="U26" i="3"/>
  <c r="V27" i="3"/>
  <c r="U36" i="3"/>
  <c r="V22" i="3"/>
  <c r="U46" i="1"/>
  <c r="U38" i="1"/>
  <c r="V37" i="1"/>
  <c r="U36" i="1"/>
  <c r="AE59" i="7" l="1"/>
  <c r="V33" i="1"/>
  <c r="V35" i="1"/>
  <c r="V34" i="1"/>
  <c r="V32" i="1"/>
  <c r="W30" i="1"/>
  <c r="W22" i="3"/>
  <c r="V23" i="3"/>
  <c r="V36" i="3"/>
  <c r="W27" i="3"/>
  <c r="V28" i="3"/>
  <c r="W25" i="3"/>
  <c r="W23" i="6" s="1"/>
  <c r="W40" i="6" s="1"/>
  <c r="AF130" i="7" s="1"/>
  <c r="V26" i="3"/>
  <c r="V24" i="3"/>
  <c r="V46" i="1"/>
  <c r="W37" i="1"/>
  <c r="V36" i="1"/>
  <c r="V38" i="1"/>
  <c r="AF59" i="7" l="1"/>
  <c r="W32" i="1"/>
  <c r="W34" i="1"/>
  <c r="W35" i="1"/>
  <c r="W33" i="1"/>
  <c r="X30" i="1"/>
  <c r="X22" i="3"/>
  <c r="X27" i="3"/>
  <c r="W26" i="3"/>
  <c r="W36" i="3"/>
  <c r="W28" i="3"/>
  <c r="W24" i="3"/>
  <c r="X25" i="3"/>
  <c r="X23" i="6" s="1"/>
  <c r="X40" i="6" s="1"/>
  <c r="AG130" i="7" s="1"/>
  <c r="W23" i="3"/>
  <c r="W46" i="1"/>
  <c r="W36" i="1"/>
  <c r="W38" i="1"/>
  <c r="X37" i="1"/>
  <c r="AG59" i="7" l="1"/>
  <c r="X33" i="1"/>
  <c r="X35" i="1"/>
  <c r="X34" i="1"/>
  <c r="X32" i="1"/>
  <c r="Y30" i="1"/>
  <c r="X28" i="3"/>
  <c r="Y22" i="3"/>
  <c r="X36" i="3"/>
  <c r="Y25" i="3"/>
  <c r="Y23" i="6" s="1"/>
  <c r="Y40" i="6" s="1"/>
  <c r="AH130" i="7" s="1"/>
  <c r="X26" i="3"/>
  <c r="X23" i="3"/>
  <c r="X24" i="3"/>
  <c r="Y27" i="3"/>
  <c r="X46" i="1"/>
  <c r="Y37" i="1"/>
  <c r="X38" i="1"/>
  <c r="X36" i="1"/>
  <c r="AH59" i="7" l="1"/>
  <c r="Y32" i="1"/>
  <c r="Y34" i="1"/>
  <c r="Y35" i="1"/>
  <c r="Y33" i="1"/>
  <c r="Z30" i="1"/>
  <c r="Y26" i="3"/>
  <c r="Z27" i="3"/>
  <c r="Y24" i="3"/>
  <c r="Y36" i="3"/>
  <c r="Y28" i="3"/>
  <c r="Z25" i="3"/>
  <c r="Z23" i="6" s="1"/>
  <c r="Z40" i="6" s="1"/>
  <c r="AI130" i="7" s="1"/>
  <c r="Y23" i="3"/>
  <c r="Z22" i="3"/>
  <c r="Y46" i="1"/>
  <c r="Z37" i="1"/>
  <c r="Y36" i="1"/>
  <c r="Y38" i="1"/>
  <c r="AI59" i="7" l="1"/>
  <c r="Z33" i="1"/>
  <c r="Z35" i="1"/>
  <c r="Z34" i="1"/>
  <c r="Z32" i="1"/>
  <c r="AA30" i="1"/>
  <c r="AA22" i="3"/>
  <c r="Z28" i="3"/>
  <c r="Z26" i="3"/>
  <c r="Z36" i="3"/>
  <c r="Z23" i="3"/>
  <c r="Z24" i="3"/>
  <c r="AA25" i="3"/>
  <c r="AA23" i="6" s="1"/>
  <c r="AA40" i="6" s="1"/>
  <c r="AJ130" i="7" s="1"/>
  <c r="AA27" i="3"/>
  <c r="Z46" i="1"/>
  <c r="Z36" i="1"/>
  <c r="Z38" i="1"/>
  <c r="AA37" i="1"/>
  <c r="AJ59" i="7" l="1"/>
  <c r="AA32" i="1"/>
  <c r="AA34" i="1"/>
  <c r="AA35" i="1"/>
  <c r="AA33" i="1"/>
  <c r="AB30" i="1"/>
  <c r="AB25" i="3"/>
  <c r="AB23" i="6" s="1"/>
  <c r="AB40" i="6" s="1"/>
  <c r="AK130" i="7" s="1"/>
  <c r="AA26" i="3"/>
  <c r="AB27" i="3"/>
  <c r="AA24" i="3"/>
  <c r="AA28" i="3"/>
  <c r="AA36" i="3"/>
  <c r="AA23" i="3"/>
  <c r="AB22" i="3"/>
  <c r="AA46" i="1"/>
  <c r="AA36" i="1"/>
  <c r="AB37" i="1"/>
  <c r="AA38" i="1"/>
  <c r="AK59" i="7" l="1"/>
  <c r="AB33" i="1"/>
  <c r="AB35" i="1"/>
  <c r="AB34" i="1"/>
  <c r="AB32" i="1"/>
  <c r="AC30" i="1"/>
  <c r="AB23" i="3"/>
  <c r="AC27" i="3"/>
  <c r="AB24" i="3"/>
  <c r="AB36" i="3"/>
  <c r="AB26" i="3"/>
  <c r="AC22" i="3"/>
  <c r="AB28" i="3"/>
  <c r="AC25" i="3"/>
  <c r="AC23" i="6" s="1"/>
  <c r="AC40" i="6" s="1"/>
  <c r="AL130" i="7" s="1"/>
  <c r="AB46" i="1"/>
  <c r="AC37" i="1"/>
  <c r="AB38" i="1"/>
  <c r="AB36" i="1"/>
  <c r="AL59" i="7" l="1"/>
  <c r="AC32" i="1"/>
  <c r="AC34" i="1"/>
  <c r="AC35" i="1"/>
  <c r="AC33" i="1"/>
  <c r="AD30" i="1"/>
  <c r="AC36" i="3"/>
  <c r="AC28" i="3"/>
  <c r="AC24" i="3"/>
  <c r="AD22" i="3"/>
  <c r="AD27" i="3"/>
  <c r="AD25" i="3"/>
  <c r="AD23" i="6" s="1"/>
  <c r="AD40" i="6" s="1"/>
  <c r="AM130" i="7" s="1"/>
  <c r="AC26" i="3"/>
  <c r="AC23" i="3"/>
  <c r="AC46" i="1"/>
  <c r="AC36" i="1"/>
  <c r="AC38" i="1"/>
  <c r="AD37" i="1"/>
  <c r="AM59" i="7" l="1"/>
  <c r="AD33" i="1"/>
  <c r="AD35" i="1"/>
  <c r="AD34" i="1"/>
  <c r="AD32" i="1"/>
  <c r="AE30" i="1"/>
  <c r="AE22" i="3"/>
  <c r="AD26" i="3"/>
  <c r="AD24" i="3"/>
  <c r="AD23" i="3"/>
  <c r="AE25" i="3"/>
  <c r="AE23" i="6" s="1"/>
  <c r="AE40" i="6" s="1"/>
  <c r="AN130" i="7" s="1"/>
  <c r="AD28" i="3"/>
  <c r="AE27" i="3"/>
  <c r="AD36" i="3"/>
  <c r="AD46" i="1"/>
  <c r="AE37" i="1"/>
  <c r="AD38" i="1"/>
  <c r="AD36" i="1"/>
  <c r="AN59" i="7" l="1"/>
  <c r="AE32" i="1"/>
  <c r="AE34" i="1"/>
  <c r="AE35" i="1"/>
  <c r="AE33" i="1"/>
  <c r="AF30" i="1"/>
  <c r="AF27" i="3"/>
  <c r="AE24" i="3"/>
  <c r="AE36" i="3"/>
  <c r="AE28" i="3"/>
  <c r="AE26" i="3"/>
  <c r="AE23" i="3"/>
  <c r="AF25" i="3"/>
  <c r="AF23" i="6" s="1"/>
  <c r="AF40" i="6" s="1"/>
  <c r="AO130" i="7" s="1"/>
  <c r="AF22" i="3"/>
  <c r="AE46" i="1"/>
  <c r="AE38" i="1"/>
  <c r="AE36" i="1"/>
  <c r="AF37" i="1"/>
  <c r="AO59" i="7" l="1"/>
  <c r="AF33" i="1"/>
  <c r="AF35" i="1"/>
  <c r="AF34" i="1"/>
  <c r="AF32" i="1"/>
  <c r="AG30" i="1"/>
  <c r="AF36" i="3"/>
  <c r="AF23" i="3"/>
  <c r="AF24" i="3"/>
  <c r="AF28" i="3"/>
  <c r="AG25" i="3"/>
  <c r="AG23" i="6" s="1"/>
  <c r="AG40" i="6" s="1"/>
  <c r="AP130" i="7" s="1"/>
  <c r="AG22" i="3"/>
  <c r="AF26" i="3"/>
  <c r="AG27" i="3"/>
  <c r="AF46" i="1"/>
  <c r="AF38" i="1"/>
  <c r="AG37" i="1"/>
  <c r="AF36" i="1"/>
  <c r="AP59" i="7" l="1"/>
  <c r="AG32" i="1"/>
  <c r="AG34" i="1"/>
  <c r="AG35" i="1"/>
  <c r="AG33" i="1"/>
  <c r="AH30" i="1"/>
  <c r="AG24" i="3"/>
  <c r="AH27" i="3"/>
  <c r="AG26" i="3"/>
  <c r="AH22" i="3"/>
  <c r="AG23" i="3"/>
  <c r="AG28" i="3"/>
  <c r="AH25" i="3"/>
  <c r="AH23" i="6" s="1"/>
  <c r="AH40" i="6" s="1"/>
  <c r="AQ130" i="7" s="1"/>
  <c r="AG36" i="3"/>
  <c r="AG46" i="1"/>
  <c r="AH37" i="1"/>
  <c r="AG36" i="1"/>
  <c r="AG38" i="1"/>
  <c r="AQ59" i="7" l="1"/>
  <c r="AH33" i="1"/>
  <c r="AH35" i="1"/>
  <c r="AH34" i="1"/>
  <c r="AH32" i="1"/>
  <c r="AI30" i="1"/>
  <c r="AI22" i="3"/>
  <c r="AI25" i="3"/>
  <c r="AI23" i="6" s="1"/>
  <c r="AI40" i="6" s="1"/>
  <c r="AR130" i="7" s="1"/>
  <c r="AH26" i="3"/>
  <c r="AH28" i="3"/>
  <c r="AI27" i="3"/>
  <c r="AH36" i="3"/>
  <c r="AH23" i="3"/>
  <c r="AH24" i="3"/>
  <c r="AH46" i="1"/>
  <c r="AH38" i="1"/>
  <c r="AI37" i="1"/>
  <c r="AH36" i="1"/>
  <c r="AR59" i="7" l="1"/>
  <c r="AI32" i="1"/>
  <c r="AI34" i="1"/>
  <c r="AI35" i="1"/>
  <c r="AI33" i="1"/>
  <c r="AJ30" i="1"/>
  <c r="AI28" i="3"/>
  <c r="AI23" i="3"/>
  <c r="AI26" i="3"/>
  <c r="AI36" i="3"/>
  <c r="AJ25" i="3"/>
  <c r="AJ23" i="6" s="1"/>
  <c r="AJ40" i="6" s="1"/>
  <c r="AS130" i="7" s="1"/>
  <c r="AI24" i="3"/>
  <c r="AJ27" i="3"/>
  <c r="AJ22" i="3"/>
  <c r="AI46" i="1"/>
  <c r="AJ37" i="1"/>
  <c r="AI38" i="1"/>
  <c r="AI36" i="1"/>
  <c r="AS59" i="7" l="1"/>
  <c r="AJ33" i="1"/>
  <c r="AJ35" i="1"/>
  <c r="AJ34" i="1"/>
  <c r="AJ32" i="1"/>
  <c r="AK30" i="1"/>
  <c r="AK22" i="3"/>
  <c r="AK27" i="3"/>
  <c r="AJ26" i="3"/>
  <c r="AJ24" i="3"/>
  <c r="AJ23" i="3"/>
  <c r="AJ36" i="3"/>
  <c r="AK25" i="3"/>
  <c r="AK23" i="6" s="1"/>
  <c r="AK40" i="6" s="1"/>
  <c r="AT130" i="7" s="1"/>
  <c r="AJ28" i="3"/>
  <c r="AJ46" i="1"/>
  <c r="AJ38" i="1"/>
  <c r="AJ36" i="1"/>
  <c r="AK37" i="1"/>
  <c r="AT59" i="7" l="1"/>
  <c r="AK32" i="1"/>
  <c r="AK34" i="1"/>
  <c r="AK35" i="1"/>
  <c r="AK33" i="1"/>
  <c r="AL30" i="1"/>
  <c r="AK23" i="3"/>
  <c r="AL22" i="3"/>
  <c r="AK28" i="3"/>
  <c r="AL25" i="3"/>
  <c r="AL23" i="6" s="1"/>
  <c r="AL40" i="6" s="1"/>
  <c r="AU130" i="7" s="1"/>
  <c r="AK26" i="3"/>
  <c r="AK24" i="3"/>
  <c r="AK36" i="3"/>
  <c r="AL27" i="3"/>
  <c r="AK46" i="1"/>
  <c r="AL37" i="1"/>
  <c r="AK36" i="1"/>
  <c r="AK38" i="1"/>
  <c r="AU59" i="7" l="1"/>
  <c r="AL33" i="1"/>
  <c r="AL35" i="1"/>
  <c r="AL34" i="1"/>
  <c r="AL32" i="1"/>
  <c r="AM30" i="1"/>
  <c r="AM27" i="3"/>
  <c r="AL36" i="3"/>
  <c r="AL28" i="3"/>
  <c r="AM25" i="3"/>
  <c r="AM23" i="6" s="1"/>
  <c r="AM40" i="6" s="1"/>
  <c r="AV130" i="7" s="1"/>
  <c r="AL24" i="3"/>
  <c r="AM22" i="3"/>
  <c r="AL26" i="3"/>
  <c r="AL23" i="3"/>
  <c r="AL46" i="1"/>
  <c r="AL38" i="1"/>
  <c r="AL36" i="1"/>
  <c r="AM37" i="1"/>
  <c r="AV59" i="7" l="1"/>
  <c r="AM32" i="1"/>
  <c r="AM34" i="1"/>
  <c r="AM35" i="1"/>
  <c r="AM33" i="1"/>
  <c r="AN30" i="1"/>
  <c r="AM23" i="3"/>
  <c r="AM26" i="3"/>
  <c r="AM28" i="3"/>
  <c r="AN22" i="3"/>
  <c r="AM36" i="3"/>
  <c r="AN25" i="3"/>
  <c r="AN23" i="6" s="1"/>
  <c r="AN40" i="6" s="1"/>
  <c r="AW130" i="7" s="1"/>
  <c r="AM24" i="3"/>
  <c r="AN27" i="3"/>
  <c r="AM46" i="1"/>
  <c r="AM38" i="1"/>
  <c r="AN37" i="1"/>
  <c r="AM36" i="1"/>
  <c r="AW59" i="7" l="1"/>
  <c r="AN33" i="1"/>
  <c r="AN35" i="1"/>
  <c r="AN34" i="1"/>
  <c r="AN32" i="1"/>
  <c r="AO30" i="1"/>
  <c r="AN24" i="3"/>
  <c r="AN28" i="3"/>
  <c r="AO27" i="3"/>
  <c r="AO25" i="3"/>
  <c r="AO23" i="6" s="1"/>
  <c r="AO40" i="6" s="1"/>
  <c r="AX130" i="7" s="1"/>
  <c r="AN26" i="3"/>
  <c r="AO22" i="3"/>
  <c r="AN36" i="3"/>
  <c r="AN23" i="3"/>
  <c r="AN46" i="1"/>
  <c r="AO37" i="1"/>
  <c r="AN36" i="1"/>
  <c r="AN38" i="1"/>
  <c r="AX59" i="7" l="1"/>
  <c r="AO32" i="1"/>
  <c r="AO34" i="1"/>
  <c r="AO35" i="1"/>
  <c r="AO33" i="1"/>
  <c r="AP30" i="1"/>
  <c r="AO23" i="3"/>
  <c r="AP25" i="3"/>
  <c r="AP23" i="6" s="1"/>
  <c r="AP40" i="6" s="1"/>
  <c r="AY130" i="7" s="1"/>
  <c r="AP27" i="3"/>
  <c r="AP22" i="3"/>
  <c r="AO28" i="3"/>
  <c r="AO36" i="3"/>
  <c r="AO26" i="3"/>
  <c r="AO24" i="3"/>
  <c r="AO46" i="1"/>
  <c r="AP37" i="1"/>
  <c r="AO38" i="1"/>
  <c r="AO36" i="1"/>
  <c r="AY59" i="7" l="1"/>
  <c r="AP33" i="1"/>
  <c r="AP35" i="1"/>
  <c r="AP34" i="1"/>
  <c r="AP32" i="1"/>
  <c r="AQ30" i="1"/>
  <c r="AP24" i="3"/>
  <c r="AQ22" i="3"/>
  <c r="AP36" i="3"/>
  <c r="AQ25" i="3"/>
  <c r="AQ23" i="6" s="1"/>
  <c r="AQ40" i="6" s="1"/>
  <c r="AZ130" i="7" s="1"/>
  <c r="AP26" i="3"/>
  <c r="AQ27" i="3"/>
  <c r="AP28" i="3"/>
  <c r="AP23" i="3"/>
  <c r="AP46" i="1"/>
  <c r="AP38" i="1"/>
  <c r="AP36" i="1"/>
  <c r="AQ37" i="1"/>
  <c r="AZ59" i="7" l="1"/>
  <c r="AQ32" i="1"/>
  <c r="AQ34" i="1"/>
  <c r="AQ35" i="1"/>
  <c r="AQ33" i="1"/>
  <c r="AR30" i="1"/>
  <c r="AR25" i="3"/>
  <c r="AR23" i="6" s="1"/>
  <c r="AR40" i="6" s="1"/>
  <c r="BA130" i="7" s="1"/>
  <c r="AQ28" i="3"/>
  <c r="AQ36" i="3"/>
  <c r="AQ23" i="3"/>
  <c r="AR27" i="3"/>
  <c r="AR22" i="3"/>
  <c r="AQ26" i="3"/>
  <c r="AQ24" i="3"/>
  <c r="AQ46" i="1"/>
  <c r="AR37" i="1"/>
  <c r="AQ38" i="1"/>
  <c r="AQ36" i="1"/>
  <c r="BA59" i="7" l="1"/>
  <c r="AR33" i="1"/>
  <c r="AR35" i="1"/>
  <c r="AR34" i="1"/>
  <c r="AR32" i="1"/>
  <c r="AS30" i="1"/>
  <c r="AR23" i="3"/>
  <c r="AR24" i="3"/>
  <c r="AR26" i="3"/>
  <c r="AR36" i="3"/>
  <c r="AS22" i="3"/>
  <c r="AR28" i="3"/>
  <c r="AS27" i="3"/>
  <c r="AS25" i="3"/>
  <c r="AS23" i="6" s="1"/>
  <c r="AS40" i="6" s="1"/>
  <c r="BB130" i="7" s="1"/>
  <c r="AR46" i="1"/>
  <c r="AR38" i="1"/>
  <c r="AR36" i="1"/>
  <c r="AS37" i="1"/>
  <c r="BB59" i="7" l="1"/>
  <c r="AS32" i="1"/>
  <c r="AS34" i="1"/>
  <c r="AS35" i="1"/>
  <c r="AS33" i="1"/>
  <c r="AT30" i="1"/>
  <c r="AS36" i="3"/>
  <c r="AT27" i="3"/>
  <c r="AS26" i="3"/>
  <c r="AS28" i="3"/>
  <c r="AS24" i="3"/>
  <c r="AT25" i="3"/>
  <c r="AT23" i="6" s="1"/>
  <c r="AT40" i="6" s="1"/>
  <c r="BC130" i="7" s="1"/>
  <c r="AT22" i="3"/>
  <c r="AS23" i="3"/>
  <c r="AS46" i="1"/>
  <c r="AS38" i="1"/>
  <c r="AT37" i="1"/>
  <c r="AS36" i="1"/>
  <c r="BC59" i="7" l="1"/>
  <c r="AT33" i="1"/>
  <c r="AT35" i="1"/>
  <c r="AT34" i="1"/>
  <c r="AT32" i="1"/>
  <c r="AU30" i="1"/>
  <c r="AT23" i="3"/>
  <c r="AU22" i="3"/>
  <c r="AT26" i="3"/>
  <c r="AT28" i="3"/>
  <c r="AU25" i="3"/>
  <c r="AU23" i="6" s="1"/>
  <c r="AU40" i="6" s="1"/>
  <c r="BD130" i="7" s="1"/>
  <c r="AU27" i="3"/>
  <c r="AT24" i="3"/>
  <c r="AT36" i="3"/>
  <c r="AT46" i="1"/>
  <c r="AU37" i="1"/>
  <c r="AT36" i="1"/>
  <c r="AT38" i="1"/>
  <c r="BD59" i="7" l="1"/>
  <c r="AU32" i="1"/>
  <c r="AU34" i="1"/>
  <c r="AU35" i="1"/>
  <c r="AU33" i="1"/>
  <c r="AV30" i="1"/>
  <c r="AU28" i="3"/>
  <c r="AU24" i="3"/>
  <c r="AU26" i="3"/>
  <c r="AV27" i="3"/>
  <c r="AV22" i="3"/>
  <c r="AU36" i="3"/>
  <c r="AV25" i="3"/>
  <c r="AV23" i="6" s="1"/>
  <c r="AV40" i="6" s="1"/>
  <c r="BE130" i="7" s="1"/>
  <c r="AU23" i="3"/>
  <c r="AU46" i="1"/>
  <c r="AV37" i="1"/>
  <c r="AU38" i="1"/>
  <c r="AU36" i="1"/>
  <c r="BE59" i="7" l="1"/>
  <c r="AV33" i="1"/>
  <c r="AV35" i="1"/>
  <c r="AV34" i="1"/>
  <c r="AV32" i="1"/>
  <c r="AW30" i="1"/>
  <c r="AW27" i="3"/>
  <c r="AW25" i="3"/>
  <c r="AW23" i="6" s="1"/>
  <c r="AW40" i="6" s="1"/>
  <c r="BF130" i="7" s="1"/>
  <c r="AV26" i="3"/>
  <c r="AV23" i="3"/>
  <c r="AV36" i="3"/>
  <c r="AV24" i="3"/>
  <c r="AW22" i="3"/>
  <c r="AV28" i="3"/>
  <c r="AV46" i="1"/>
  <c r="AV38" i="1"/>
  <c r="AV36" i="1"/>
  <c r="AW37" i="1"/>
  <c r="BF59" i="7" l="1"/>
  <c r="AW32" i="1"/>
  <c r="AW34" i="1"/>
  <c r="AW35" i="1"/>
  <c r="AW33" i="1"/>
  <c r="AX30" i="1"/>
  <c r="AW28" i="3"/>
  <c r="AX22" i="3"/>
  <c r="AW26" i="3"/>
  <c r="AW23" i="3"/>
  <c r="AW24" i="3"/>
  <c r="AX25" i="3"/>
  <c r="AX23" i="6" s="1"/>
  <c r="AX40" i="6" s="1"/>
  <c r="BG130" i="7" s="1"/>
  <c r="AW36" i="3"/>
  <c r="AX27" i="3"/>
  <c r="AW46" i="1"/>
  <c r="AX37" i="1"/>
  <c r="AW36" i="1"/>
  <c r="AW38" i="1"/>
  <c r="BG59" i="7" l="1"/>
  <c r="AX33" i="1"/>
  <c r="AX35" i="1"/>
  <c r="AX34" i="1"/>
  <c r="AX32" i="1"/>
  <c r="AY30" i="1"/>
  <c r="AY27" i="3"/>
  <c r="AX36" i="3"/>
  <c r="AX26" i="3"/>
  <c r="AY25" i="3"/>
  <c r="AY23" i="6" s="1"/>
  <c r="AY40" i="6" s="1"/>
  <c r="BH130" i="7" s="1"/>
  <c r="AY22" i="3"/>
  <c r="AX23" i="3"/>
  <c r="AX24" i="3"/>
  <c r="AX28" i="3"/>
  <c r="AX46" i="1"/>
  <c r="AX38" i="1"/>
  <c r="AY37" i="1"/>
  <c r="AX36" i="1"/>
  <c r="BH59" i="7" l="1"/>
  <c r="AY32" i="1"/>
  <c r="AY34" i="1"/>
  <c r="AY35" i="1"/>
  <c r="AY33" i="1"/>
  <c r="AZ30" i="1"/>
  <c r="AY28" i="3"/>
  <c r="AY24" i="3"/>
  <c r="AY26" i="3"/>
  <c r="AZ25" i="3"/>
  <c r="AZ23" i="6" s="1"/>
  <c r="AZ40" i="6" s="1"/>
  <c r="BI130" i="7" s="1"/>
  <c r="AY23" i="3"/>
  <c r="AY36" i="3"/>
  <c r="AZ22" i="3"/>
  <c r="AZ27" i="3"/>
  <c r="AY46" i="1"/>
  <c r="AY38" i="1"/>
  <c r="AZ37" i="1"/>
  <c r="AY36" i="1"/>
  <c r="BI59" i="7" l="1"/>
  <c r="AZ33" i="1"/>
  <c r="AZ35" i="1"/>
  <c r="AZ34" i="1"/>
  <c r="AZ32" i="1"/>
  <c r="BA30" i="1"/>
  <c r="BA27" i="3"/>
  <c r="BA25" i="3"/>
  <c r="BA23" i="6" s="1"/>
  <c r="BA40" i="6" s="1"/>
  <c r="BJ130" i="7" s="1"/>
  <c r="BA22" i="3"/>
  <c r="AZ36" i="3"/>
  <c r="AZ24" i="3"/>
  <c r="AZ26" i="3"/>
  <c r="AZ23" i="3"/>
  <c r="AZ28" i="3"/>
  <c r="AZ46" i="1"/>
  <c r="AZ38" i="1"/>
  <c r="BA37" i="1"/>
  <c r="AZ36" i="1"/>
  <c r="BJ59" i="7" l="1"/>
  <c r="BA32" i="1"/>
  <c r="BA34" i="1"/>
  <c r="BA35" i="1"/>
  <c r="BA33" i="1"/>
  <c r="BB30" i="1"/>
  <c r="BA36" i="3"/>
  <c r="BB22" i="3"/>
  <c r="BA26" i="3"/>
  <c r="BB25" i="3"/>
  <c r="BB23" i="6" s="1"/>
  <c r="BB40" i="6" s="1"/>
  <c r="BK130" i="7" s="1"/>
  <c r="BA28" i="3"/>
  <c r="BA23" i="3"/>
  <c r="BA24" i="3"/>
  <c r="BB27" i="3"/>
  <c r="BA46" i="1"/>
  <c r="BA36" i="1"/>
  <c r="BB37" i="1"/>
  <c r="BA38" i="1"/>
  <c r="BK59" i="7" l="1"/>
  <c r="BB32" i="1"/>
  <c r="BB33" i="1"/>
  <c r="BB35" i="1"/>
  <c r="BB34" i="1"/>
  <c r="BB26" i="3"/>
  <c r="BB23" i="3"/>
  <c r="BB24" i="3"/>
  <c r="BB28" i="3"/>
  <c r="BB36" i="3"/>
  <c r="BB46" i="1"/>
  <c r="BB38" i="1"/>
  <c r="BB36" i="1"/>
  <c r="G20" i="1" l="1"/>
  <c r="H20" i="1"/>
  <c r="I20" i="1"/>
  <c r="J20" i="1"/>
  <c r="K20" i="1"/>
  <c r="L20" i="1"/>
  <c r="M20" i="1"/>
  <c r="N20" i="1"/>
  <c r="O20" i="1"/>
  <c r="P20" i="1"/>
  <c r="Q20" i="1"/>
  <c r="R20" i="1"/>
  <c r="S20" i="1"/>
  <c r="T20" i="1"/>
  <c r="U20" i="1"/>
  <c r="V20" i="1"/>
  <c r="W20" i="1"/>
  <c r="X20" i="1"/>
  <c r="Y20" i="1"/>
  <c r="Z20" i="1"/>
  <c r="AA20" i="1"/>
  <c r="AB20" i="1"/>
  <c r="AC20" i="1"/>
  <c r="AD20" i="1"/>
  <c r="AE20" i="1"/>
  <c r="AF20" i="1"/>
  <c r="AG20" i="1"/>
  <c r="AH20" i="1"/>
  <c r="AI20" i="1"/>
  <c r="AJ20" i="1"/>
  <c r="AK20" i="1"/>
  <c r="AL20" i="1"/>
  <c r="AM20" i="1"/>
  <c r="AN20" i="1"/>
  <c r="AO20" i="1"/>
  <c r="AP20" i="1"/>
  <c r="AQ20" i="1"/>
  <c r="AR20" i="1"/>
  <c r="AS20" i="1"/>
  <c r="AT20" i="1"/>
  <c r="AU20" i="1"/>
  <c r="AV20" i="1"/>
  <c r="AW20" i="1"/>
  <c r="AX20" i="1"/>
  <c r="AY20" i="1"/>
  <c r="AZ20" i="1"/>
  <c r="BA20" i="1"/>
  <c r="BB20" i="1"/>
  <c r="G19" i="1"/>
  <c r="H19" i="1"/>
  <c r="I19" i="1"/>
  <c r="J19" i="1"/>
  <c r="K19" i="1"/>
  <c r="L19" i="1"/>
  <c r="M19" i="1"/>
  <c r="N19" i="1"/>
  <c r="O19" i="1"/>
  <c r="P19" i="1"/>
  <c r="Q19" i="1"/>
  <c r="R19" i="1"/>
  <c r="S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H18" i="1"/>
  <c r="I18" i="1"/>
  <c r="J18" i="1"/>
  <c r="K18" i="1"/>
  <c r="L18" i="1"/>
  <c r="M18" i="1"/>
  <c r="N18"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AQ18" i="1"/>
  <c r="AR18" i="1"/>
  <c r="AS18" i="1"/>
  <c r="AT18" i="1"/>
  <c r="AU18" i="1"/>
  <c r="AV18" i="1"/>
  <c r="AW18" i="1"/>
  <c r="AX18" i="1"/>
  <c r="AY18" i="1"/>
  <c r="AZ18" i="1"/>
  <c r="BA18" i="1"/>
  <c r="BB18"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F11" i="1"/>
  <c r="BF4" i="1"/>
  <c r="G16" i="1" l="1"/>
  <c r="AW16" i="1"/>
  <c r="F26" i="1" l="1"/>
  <c r="F29" i="3"/>
  <c r="F30" i="3"/>
  <c r="F31" i="3"/>
  <c r="F32" i="3"/>
  <c r="F33" i="3"/>
  <c r="F34" i="3"/>
  <c r="F35" i="3"/>
  <c r="F4" i="3"/>
  <c r="F27" i="1"/>
  <c r="G27" i="1" l="1"/>
  <c r="G4" i="3"/>
  <c r="G35" i="3"/>
  <c r="G34" i="3"/>
  <c r="G33" i="3"/>
  <c r="G32" i="3"/>
  <c r="G31" i="3"/>
  <c r="G30" i="3"/>
  <c r="G29" i="3"/>
  <c r="G26" i="1"/>
  <c r="T98" i="1"/>
  <c r="U98" i="1" s="1"/>
  <c r="V98" i="1" s="1"/>
  <c r="W98" i="1" s="1"/>
  <c r="X98" i="1" s="1"/>
  <c r="Y98" i="1" s="1"/>
  <c r="Z98" i="1" s="1"/>
  <c r="AA98" i="1" s="1"/>
  <c r="AB98" i="1" s="1"/>
  <c r="AC98" i="1" s="1"/>
  <c r="AD98" i="1" s="1"/>
  <c r="AE98" i="1" s="1"/>
  <c r="AF98" i="1" s="1"/>
  <c r="AG98" i="1" s="1"/>
  <c r="AH98" i="1" s="1"/>
  <c r="AI98" i="1" s="1"/>
  <c r="AJ98" i="1" s="1"/>
  <c r="AK98" i="1" s="1"/>
  <c r="AL98" i="1" s="1"/>
  <c r="AM98" i="1" s="1"/>
  <c r="AN98" i="1" s="1"/>
  <c r="AO98" i="1" s="1"/>
  <c r="AP98" i="1" s="1"/>
  <c r="AQ98" i="1" s="1"/>
  <c r="AR98" i="1" s="1"/>
  <c r="AS98" i="1" s="1"/>
  <c r="AT98" i="1" s="1"/>
  <c r="AU98" i="1" s="1"/>
  <c r="AV98" i="1" s="1"/>
  <c r="AW98" i="1" s="1"/>
  <c r="AX98" i="1" s="1"/>
  <c r="AY98" i="1" s="1"/>
  <c r="AZ98" i="1" s="1"/>
  <c r="BA98" i="1" s="1"/>
  <c r="BB98" i="1" s="1"/>
  <c r="T86" i="1"/>
  <c r="U86" i="1" s="1"/>
  <c r="V86" i="1" s="1"/>
  <c r="W86" i="1" s="1"/>
  <c r="X86" i="1" s="1"/>
  <c r="Y86" i="1" s="1"/>
  <c r="Z86" i="1" s="1"/>
  <c r="AA86" i="1" s="1"/>
  <c r="AB86" i="1" s="1"/>
  <c r="AC86" i="1" s="1"/>
  <c r="AD86" i="1" s="1"/>
  <c r="AE86" i="1" s="1"/>
  <c r="AF86" i="1" s="1"/>
  <c r="AG86" i="1" s="1"/>
  <c r="AH86" i="1" s="1"/>
  <c r="AI86" i="1" s="1"/>
  <c r="AJ86" i="1" s="1"/>
  <c r="AK86" i="1" s="1"/>
  <c r="AL86" i="1" s="1"/>
  <c r="AM86" i="1" s="1"/>
  <c r="AN86" i="1" s="1"/>
  <c r="AO86" i="1" s="1"/>
  <c r="AP86" i="1" s="1"/>
  <c r="AQ86" i="1" s="1"/>
  <c r="AR86" i="1" s="1"/>
  <c r="AS86" i="1" s="1"/>
  <c r="AT86" i="1" s="1"/>
  <c r="AU86" i="1" s="1"/>
  <c r="AV86" i="1" s="1"/>
  <c r="AW86" i="1" s="1"/>
  <c r="AX86" i="1" s="1"/>
  <c r="AY86" i="1" s="1"/>
  <c r="AZ86" i="1" s="1"/>
  <c r="BA86" i="1" s="1"/>
  <c r="BB86" i="1" s="1"/>
  <c r="F29" i="1"/>
  <c r="T61" i="3"/>
  <c r="F54" i="3"/>
  <c r="F3" i="3"/>
  <c r="U61" i="3" l="1"/>
  <c r="H34" i="3"/>
  <c r="G80" i="1"/>
  <c r="G3" i="3"/>
  <c r="G54" i="3"/>
  <c r="G29" i="1"/>
  <c r="H26" i="1"/>
  <c r="H29" i="3"/>
  <c r="H30" i="3"/>
  <c r="H31" i="3"/>
  <c r="H32" i="3"/>
  <c r="H33" i="3"/>
  <c r="H35" i="3"/>
  <c r="H4" i="3"/>
  <c r="H27" i="1"/>
  <c r="V61" i="3" l="1"/>
  <c r="F21" i="1"/>
  <c r="I26" i="1"/>
  <c r="I34" i="3"/>
  <c r="H80" i="1"/>
  <c r="I27" i="1"/>
  <c r="I4" i="3"/>
  <c r="I35" i="3"/>
  <c r="I33" i="3"/>
  <c r="I32" i="3"/>
  <c r="I31" i="3"/>
  <c r="I30" i="3"/>
  <c r="I29" i="3"/>
  <c r="H29" i="1"/>
  <c r="H54" i="3"/>
  <c r="H3" i="3"/>
  <c r="W61" i="3" l="1"/>
  <c r="I29" i="1"/>
  <c r="J26" i="1"/>
  <c r="J34" i="3"/>
  <c r="I80" i="1"/>
  <c r="I3" i="3"/>
  <c r="I54" i="3"/>
  <c r="J29" i="3"/>
  <c r="J30" i="3"/>
  <c r="J31" i="3"/>
  <c r="J32" i="3"/>
  <c r="J33" i="3"/>
  <c r="J35" i="3"/>
  <c r="J4" i="3"/>
  <c r="J27" i="1"/>
  <c r="G21" i="1"/>
  <c r="H16" i="1"/>
  <c r="X61" i="3" l="1"/>
  <c r="J29" i="1"/>
  <c r="K26" i="1"/>
  <c r="K34" i="3"/>
  <c r="J80" i="1"/>
  <c r="K27" i="1"/>
  <c r="K4" i="3"/>
  <c r="K35" i="3"/>
  <c r="K33" i="3"/>
  <c r="K32" i="3"/>
  <c r="K31" i="3"/>
  <c r="K30" i="3"/>
  <c r="K29" i="3"/>
  <c r="J54" i="3"/>
  <c r="J3" i="3"/>
  <c r="H21" i="1"/>
  <c r="I16" i="1"/>
  <c r="Y61" i="3" l="1"/>
  <c r="K29" i="1"/>
  <c r="L26" i="1"/>
  <c r="L34" i="3"/>
  <c r="K80" i="1"/>
  <c r="K3" i="3"/>
  <c r="K54" i="3"/>
  <c r="L29" i="3"/>
  <c r="L30" i="3"/>
  <c r="L31" i="3"/>
  <c r="L32" i="3"/>
  <c r="L33" i="3"/>
  <c r="L35" i="3"/>
  <c r="L4" i="3"/>
  <c r="L27" i="1"/>
  <c r="I21" i="1"/>
  <c r="J16" i="1"/>
  <c r="Z61" i="3" l="1"/>
  <c r="K90" i="6"/>
  <c r="L29" i="1"/>
  <c r="M26" i="1"/>
  <c r="M34" i="3"/>
  <c r="L80" i="1"/>
  <c r="M27" i="1"/>
  <c r="M4" i="3"/>
  <c r="M35" i="3"/>
  <c r="M33" i="3"/>
  <c r="M32" i="3"/>
  <c r="M31" i="3"/>
  <c r="M30" i="3"/>
  <c r="M29" i="3"/>
  <c r="L54" i="3"/>
  <c r="L3" i="3"/>
  <c r="J21" i="1"/>
  <c r="K16" i="1"/>
  <c r="K125" i="6" l="1"/>
  <c r="T240" i="7"/>
  <c r="AA61" i="3"/>
  <c r="L90" i="6"/>
  <c r="M29" i="1"/>
  <c r="N26" i="1"/>
  <c r="N34" i="3"/>
  <c r="M80" i="1"/>
  <c r="M3" i="3"/>
  <c r="M54" i="3"/>
  <c r="N29" i="3"/>
  <c r="N30" i="3"/>
  <c r="N31" i="3"/>
  <c r="N32" i="3"/>
  <c r="N33" i="3"/>
  <c r="N35" i="3"/>
  <c r="N4" i="3"/>
  <c r="N27" i="1"/>
  <c r="K21" i="1"/>
  <c r="L16" i="1"/>
  <c r="L125" i="6" l="1"/>
  <c r="U240" i="7"/>
  <c r="AB61" i="3"/>
  <c r="M90" i="6"/>
  <c r="N29" i="1"/>
  <c r="O26" i="1"/>
  <c r="O34" i="3"/>
  <c r="N80" i="1"/>
  <c r="O27" i="1"/>
  <c r="O4" i="3"/>
  <c r="O35" i="3"/>
  <c r="O33" i="3"/>
  <c r="O32" i="3"/>
  <c r="O31" i="3"/>
  <c r="O30" i="3"/>
  <c r="O29" i="3"/>
  <c r="N54" i="3"/>
  <c r="N3" i="3"/>
  <c r="M16" i="1"/>
  <c r="N16" i="1"/>
  <c r="L21" i="1"/>
  <c r="M125" i="6" l="1"/>
  <c r="V240" i="7"/>
  <c r="AC61" i="3"/>
  <c r="M21" i="1"/>
  <c r="O29" i="1"/>
  <c r="P26" i="1"/>
  <c r="P34" i="3"/>
  <c r="O80" i="1"/>
  <c r="N21" i="1"/>
  <c r="O3" i="3"/>
  <c r="O54" i="3"/>
  <c r="P29" i="3"/>
  <c r="P30" i="3"/>
  <c r="P31" i="3"/>
  <c r="P32" i="3"/>
  <c r="P33" i="3"/>
  <c r="P35" i="3"/>
  <c r="P4" i="3"/>
  <c r="P27" i="1"/>
  <c r="AD61" i="3" l="1"/>
  <c r="N90" i="6"/>
  <c r="O90" i="6"/>
  <c r="P29" i="1"/>
  <c r="Q26" i="1"/>
  <c r="Q34" i="3"/>
  <c r="P80" i="1"/>
  <c r="O16" i="1"/>
  <c r="Q27" i="1"/>
  <c r="Q4" i="3"/>
  <c r="Q35" i="3"/>
  <c r="Q33" i="3"/>
  <c r="Q32" i="3"/>
  <c r="Q31" i="3"/>
  <c r="Q30" i="3"/>
  <c r="Q29" i="3"/>
  <c r="P54" i="3"/>
  <c r="P3" i="3"/>
  <c r="N125" i="6" l="1"/>
  <c r="W240" i="7"/>
  <c r="O125" i="6"/>
  <c r="X240" i="7"/>
  <c r="AE61" i="3"/>
  <c r="O21" i="1"/>
  <c r="R45" i="1"/>
  <c r="R44" i="1"/>
  <c r="P90" i="6"/>
  <c r="Q29" i="1"/>
  <c r="R26" i="1"/>
  <c r="R34" i="3"/>
  <c r="Q80" i="1"/>
  <c r="P16" i="1"/>
  <c r="Q3" i="3"/>
  <c r="Q54" i="3"/>
  <c r="R29" i="3"/>
  <c r="R30" i="3"/>
  <c r="R31" i="3"/>
  <c r="R32" i="3"/>
  <c r="R33" i="3"/>
  <c r="R35" i="3"/>
  <c r="R4" i="3"/>
  <c r="R27" i="1"/>
  <c r="R39" i="1"/>
  <c r="R40" i="1"/>
  <c r="R41" i="1"/>
  <c r="R42" i="1"/>
  <c r="R43" i="1"/>
  <c r="P125" i="6" l="1"/>
  <c r="Y240" i="7"/>
  <c r="AF61" i="3"/>
  <c r="P21" i="1"/>
  <c r="S44" i="1"/>
  <c r="S45" i="1"/>
  <c r="Q90" i="6"/>
  <c r="R29" i="1"/>
  <c r="S26" i="1"/>
  <c r="S34" i="3"/>
  <c r="R80" i="1"/>
  <c r="Q16" i="1"/>
  <c r="S43" i="1"/>
  <c r="S42" i="1"/>
  <c r="S41" i="1"/>
  <c r="S40" i="1"/>
  <c r="S39" i="1"/>
  <c r="S27" i="1"/>
  <c r="S4" i="3"/>
  <c r="S35" i="3"/>
  <c r="S33" i="3"/>
  <c r="S32" i="3"/>
  <c r="S31" i="3"/>
  <c r="S30" i="3"/>
  <c r="S29" i="3"/>
  <c r="R54" i="3"/>
  <c r="R3" i="3"/>
  <c r="Q125" i="6" l="1"/>
  <c r="Z240" i="7"/>
  <c r="AG61" i="3"/>
  <c r="Q21" i="1"/>
  <c r="T45" i="1"/>
  <c r="T44" i="1"/>
  <c r="R90" i="6"/>
  <c r="S29" i="1"/>
  <c r="T26" i="1"/>
  <c r="T34" i="3"/>
  <c r="S80" i="1"/>
  <c r="R16" i="1"/>
  <c r="S3" i="3"/>
  <c r="S54" i="3"/>
  <c r="T29" i="3"/>
  <c r="T30" i="3"/>
  <c r="T31" i="3"/>
  <c r="T32" i="3"/>
  <c r="T33" i="3"/>
  <c r="T35" i="3"/>
  <c r="T4" i="3"/>
  <c r="T27" i="1"/>
  <c r="T39" i="1"/>
  <c r="T40" i="1"/>
  <c r="T41" i="1"/>
  <c r="T42" i="1"/>
  <c r="T43" i="1"/>
  <c r="R125" i="6" l="1"/>
  <c r="AA240" i="7"/>
  <c r="AH61" i="3"/>
  <c r="R21" i="1"/>
  <c r="U44" i="1"/>
  <c r="U45" i="1"/>
  <c r="S90" i="6"/>
  <c r="T29" i="1"/>
  <c r="U26" i="1"/>
  <c r="U34" i="3"/>
  <c r="T80" i="1"/>
  <c r="S16" i="1"/>
  <c r="U43" i="1"/>
  <c r="U42" i="1"/>
  <c r="U41" i="1"/>
  <c r="U40" i="1"/>
  <c r="U39" i="1"/>
  <c r="U27" i="1"/>
  <c r="U4" i="3"/>
  <c r="U35" i="3"/>
  <c r="U33" i="3"/>
  <c r="U32" i="3"/>
  <c r="U31" i="3"/>
  <c r="U30" i="3"/>
  <c r="U29" i="3"/>
  <c r="T89" i="1"/>
  <c r="T88" i="1"/>
  <c r="T85" i="1"/>
  <c r="T83" i="1"/>
  <c r="T82" i="1"/>
  <c r="T56" i="3"/>
  <c r="T57" i="3"/>
  <c r="T60" i="3"/>
  <c r="T63" i="3"/>
  <c r="T64" i="3"/>
  <c r="T67" i="3"/>
  <c r="T54" i="3"/>
  <c r="T3" i="3"/>
  <c r="S125" i="6" l="1"/>
  <c r="AB240" i="7"/>
  <c r="T146" i="6"/>
  <c r="T143" i="6" s="1"/>
  <c r="T147" i="6"/>
  <c r="T144" i="6" s="1"/>
  <c r="T162" i="6"/>
  <c r="T163" i="6"/>
  <c r="AI61" i="3"/>
  <c r="S21" i="1"/>
  <c r="T277" i="6"/>
  <c r="T279" i="6"/>
  <c r="V45" i="1"/>
  <c r="V44" i="1"/>
  <c r="T90" i="6"/>
  <c r="U29" i="1"/>
  <c r="V26" i="1"/>
  <c r="V34" i="3"/>
  <c r="U80" i="1"/>
  <c r="T16" i="1"/>
  <c r="U3" i="3"/>
  <c r="U54" i="3"/>
  <c r="U67" i="3"/>
  <c r="U64" i="3"/>
  <c r="U63" i="3"/>
  <c r="U60" i="3"/>
  <c r="U57" i="3"/>
  <c r="U56" i="3"/>
  <c r="U82" i="1"/>
  <c r="U83" i="1"/>
  <c r="U85" i="1"/>
  <c r="U88" i="1"/>
  <c r="U89" i="1"/>
  <c r="V29" i="3"/>
  <c r="V30" i="3"/>
  <c r="V31" i="3"/>
  <c r="V32" i="3"/>
  <c r="V33" i="3"/>
  <c r="V35" i="3"/>
  <c r="V4" i="3"/>
  <c r="V27" i="1"/>
  <c r="V39" i="1"/>
  <c r="V40" i="1"/>
  <c r="V41" i="1"/>
  <c r="V42" i="1"/>
  <c r="V43" i="1"/>
  <c r="T125" i="6" l="1"/>
  <c r="AC240" i="7"/>
  <c r="U146" i="6"/>
  <c r="U143" i="6" s="1"/>
  <c r="U147" i="6"/>
  <c r="U144" i="6" s="1"/>
  <c r="U163" i="6"/>
  <c r="AJ61" i="3"/>
  <c r="U162" i="6"/>
  <c r="T21" i="1"/>
  <c r="T309" i="6"/>
  <c r="T312" i="6" s="1"/>
  <c r="T316" i="6" s="1"/>
  <c r="T307" i="6"/>
  <c r="T308" i="6"/>
  <c r="T311" i="6" s="1"/>
  <c r="T315" i="6" s="1"/>
  <c r="U277" i="6"/>
  <c r="U279" i="6"/>
  <c r="T278" i="6"/>
  <c r="W44" i="1"/>
  <c r="W45" i="1"/>
  <c r="U90" i="6"/>
  <c r="V29" i="1"/>
  <c r="W26" i="1"/>
  <c r="W34" i="3"/>
  <c r="V80" i="1"/>
  <c r="U16" i="1"/>
  <c r="W43" i="1"/>
  <c r="W42" i="1"/>
  <c r="W41" i="1"/>
  <c r="W40" i="1"/>
  <c r="W39" i="1"/>
  <c r="W27" i="1"/>
  <c r="W4" i="3"/>
  <c r="W35" i="3"/>
  <c r="W33" i="3"/>
  <c r="W32" i="3"/>
  <c r="W31" i="3"/>
  <c r="W30" i="3"/>
  <c r="W29" i="3"/>
  <c r="V89" i="1"/>
  <c r="V88" i="1"/>
  <c r="V85" i="1"/>
  <c r="V83" i="1"/>
  <c r="V82" i="1"/>
  <c r="V56" i="3"/>
  <c r="V57" i="3"/>
  <c r="V60" i="3"/>
  <c r="V63" i="3"/>
  <c r="V64" i="3"/>
  <c r="V67" i="3"/>
  <c r="V54" i="3"/>
  <c r="V3" i="3"/>
  <c r="U125" i="6" l="1"/>
  <c r="AD240" i="7"/>
  <c r="V146" i="6"/>
  <c r="V143" i="6" s="1"/>
  <c r="V147" i="6"/>
  <c r="V144" i="6" s="1"/>
  <c r="V162" i="6"/>
  <c r="AK61" i="3"/>
  <c r="V163" i="6"/>
  <c r="U21" i="1"/>
  <c r="U307" i="6"/>
  <c r="U309" i="6"/>
  <c r="U312" i="6" s="1"/>
  <c r="U316" i="6" s="1"/>
  <c r="U308" i="6"/>
  <c r="U311" i="6" s="1"/>
  <c r="U315" i="6" s="1"/>
  <c r="V277" i="6"/>
  <c r="V279" i="6"/>
  <c r="U278" i="6"/>
  <c r="X45" i="1"/>
  <c r="X44" i="1"/>
  <c r="V90" i="6"/>
  <c r="W29" i="1"/>
  <c r="X26" i="1"/>
  <c r="X34" i="3"/>
  <c r="W80" i="1"/>
  <c r="V16" i="1"/>
  <c r="W3" i="3"/>
  <c r="W54" i="3"/>
  <c r="W67" i="3"/>
  <c r="W64" i="3"/>
  <c r="W63" i="3"/>
  <c r="W60" i="3"/>
  <c r="W57" i="3"/>
  <c r="W56" i="3"/>
  <c r="W82" i="1"/>
  <c r="W83" i="1"/>
  <c r="W85" i="1"/>
  <c r="W88" i="1"/>
  <c r="W89" i="1"/>
  <c r="X29" i="3"/>
  <c r="X30" i="3"/>
  <c r="X31" i="3"/>
  <c r="X32" i="3"/>
  <c r="X33" i="3"/>
  <c r="X35" i="3"/>
  <c r="X4" i="3"/>
  <c r="X27" i="1"/>
  <c r="X39" i="1"/>
  <c r="X40" i="1"/>
  <c r="X41" i="1"/>
  <c r="X42" i="1"/>
  <c r="X43" i="1"/>
  <c r="V125" i="6" l="1"/>
  <c r="AE240" i="7"/>
  <c r="W146" i="6"/>
  <c r="W143" i="6" s="1"/>
  <c r="W147" i="6"/>
  <c r="W144" i="6" s="1"/>
  <c r="AL61" i="3"/>
  <c r="W162" i="6"/>
  <c r="P341" i="7" s="1"/>
  <c r="W163" i="6"/>
  <c r="P344" i="7" s="1"/>
  <c r="V307" i="6"/>
  <c r="V308" i="6"/>
  <c r="V311" i="6" s="1"/>
  <c r="V315" i="6" s="1"/>
  <c r="V309" i="6"/>
  <c r="V312" i="6" s="1"/>
  <c r="V316" i="6" s="1"/>
  <c r="W277" i="6"/>
  <c r="W279" i="6"/>
  <c r="V278" i="6"/>
  <c r="Y44" i="1"/>
  <c r="Y45" i="1"/>
  <c r="W90" i="6"/>
  <c r="X29" i="1"/>
  <c r="Y26" i="1"/>
  <c r="Y34" i="3"/>
  <c r="X80" i="1"/>
  <c r="W16" i="1"/>
  <c r="V21" i="1"/>
  <c r="Y43" i="1"/>
  <c r="Y42" i="1"/>
  <c r="Y41" i="1"/>
  <c r="Y40" i="1"/>
  <c r="Y39" i="1"/>
  <c r="Y27" i="1"/>
  <c r="Y4" i="3"/>
  <c r="Y35" i="3"/>
  <c r="Y33" i="3"/>
  <c r="Y32" i="3"/>
  <c r="Y31" i="3"/>
  <c r="Y30" i="3"/>
  <c r="Y29" i="3"/>
  <c r="X89" i="1"/>
  <c r="X88" i="1"/>
  <c r="X85" i="1"/>
  <c r="X83" i="1"/>
  <c r="X82" i="1"/>
  <c r="X56" i="3"/>
  <c r="X57" i="3"/>
  <c r="X60" i="3"/>
  <c r="X63" i="3"/>
  <c r="X64" i="3"/>
  <c r="X67" i="3"/>
  <c r="X54" i="3"/>
  <c r="X3" i="3"/>
  <c r="W125" i="6" l="1"/>
  <c r="AF240" i="7"/>
  <c r="X146" i="6"/>
  <c r="X143" i="6" s="1"/>
  <c r="X147" i="6"/>
  <c r="X144" i="6" s="1"/>
  <c r="X163" i="6"/>
  <c r="X162" i="6"/>
  <c r="AM61" i="3"/>
  <c r="W21" i="1"/>
  <c r="W308" i="6"/>
  <c r="W311" i="6" s="1"/>
  <c r="W315" i="6" s="1"/>
  <c r="W309" i="6"/>
  <c r="W312" i="6" s="1"/>
  <c r="W316" i="6" s="1"/>
  <c r="W307" i="6"/>
  <c r="X277" i="6"/>
  <c r="X279" i="6"/>
  <c r="W278" i="6"/>
  <c r="Z45" i="1"/>
  <c r="Z44" i="1"/>
  <c r="Y29" i="1"/>
  <c r="Z26" i="1"/>
  <c r="Z34" i="3"/>
  <c r="Y80" i="1"/>
  <c r="X16" i="1"/>
  <c r="Y3" i="3"/>
  <c r="Y54" i="3"/>
  <c r="Y67" i="3"/>
  <c r="Y64" i="3"/>
  <c r="Y63" i="3"/>
  <c r="Y60" i="3"/>
  <c r="Y57" i="3"/>
  <c r="Y56" i="3"/>
  <c r="Y82" i="1"/>
  <c r="Y83" i="1"/>
  <c r="Y85" i="1"/>
  <c r="Y88" i="1"/>
  <c r="Y89" i="1"/>
  <c r="Z29" i="3"/>
  <c r="Z30" i="3"/>
  <c r="Z31" i="3"/>
  <c r="Z32" i="3"/>
  <c r="Z33" i="3"/>
  <c r="Z35" i="3"/>
  <c r="Z4" i="3"/>
  <c r="Z27" i="1"/>
  <c r="Z39" i="1"/>
  <c r="Z40" i="1"/>
  <c r="Z41" i="1"/>
  <c r="Z42" i="1"/>
  <c r="Z43" i="1"/>
  <c r="Y146" i="6" l="1"/>
  <c r="Y143" i="6" s="1"/>
  <c r="Y147" i="6"/>
  <c r="Y144" i="6" s="1"/>
  <c r="AN61" i="3"/>
  <c r="Y162" i="6"/>
  <c r="Y163" i="6"/>
  <c r="X90" i="6"/>
  <c r="X21" i="1"/>
  <c r="X308" i="6"/>
  <c r="X311" i="6" s="1"/>
  <c r="X315" i="6" s="1"/>
  <c r="X307" i="6"/>
  <c r="X309" i="6"/>
  <c r="X312" i="6" s="1"/>
  <c r="X316" i="6" s="1"/>
  <c r="Y277" i="6"/>
  <c r="Y279" i="6"/>
  <c r="X278" i="6"/>
  <c r="AA44" i="1"/>
  <c r="AA45" i="1"/>
  <c r="Y90" i="6"/>
  <c r="Z29" i="1"/>
  <c r="AA26" i="1"/>
  <c r="AA34" i="3"/>
  <c r="Z80" i="1"/>
  <c r="Y16" i="1"/>
  <c r="AA43" i="1"/>
  <c r="AA42" i="1"/>
  <c r="AA41" i="1"/>
  <c r="AA40" i="1"/>
  <c r="AA39" i="1"/>
  <c r="AA27" i="1"/>
  <c r="AA4" i="3"/>
  <c r="AA35" i="3"/>
  <c r="AA33" i="3"/>
  <c r="AA32" i="3"/>
  <c r="AA31" i="3"/>
  <c r="AA30" i="3"/>
  <c r="AA29" i="3"/>
  <c r="Z89" i="1"/>
  <c r="Z88" i="1"/>
  <c r="Z85" i="1"/>
  <c r="Z83" i="1"/>
  <c r="Z82" i="1"/>
  <c r="Z56" i="3"/>
  <c r="Z57" i="3"/>
  <c r="Z60" i="3"/>
  <c r="Z63" i="3"/>
  <c r="Z64" i="3"/>
  <c r="Z67" i="3"/>
  <c r="Z54" i="3"/>
  <c r="Z3" i="3"/>
  <c r="Y125" i="6" l="1"/>
  <c r="AH240" i="7"/>
  <c r="X125" i="6"/>
  <c r="AG240" i="7"/>
  <c r="Z146" i="6"/>
  <c r="Z147" i="6"/>
  <c r="Z144" i="6" s="1"/>
  <c r="Z143" i="6"/>
  <c r="Z162" i="6"/>
  <c r="Z163" i="6"/>
  <c r="AO61" i="3"/>
  <c r="Y21" i="1"/>
  <c r="Y309" i="6"/>
  <c r="Y312" i="6" s="1"/>
  <c r="Y316" i="6" s="1"/>
  <c r="Y307" i="6"/>
  <c r="Y308" i="6"/>
  <c r="Y311" i="6" s="1"/>
  <c r="Y315" i="6" s="1"/>
  <c r="Z277" i="6"/>
  <c r="Z279" i="6"/>
  <c r="Y278" i="6"/>
  <c r="AB45" i="1"/>
  <c r="AB44" i="1"/>
  <c r="Z90" i="6"/>
  <c r="AA29" i="1"/>
  <c r="AB26" i="1"/>
  <c r="AB34" i="3"/>
  <c r="AA80" i="1"/>
  <c r="Z16" i="1"/>
  <c r="AA3" i="3"/>
  <c r="AA54" i="3"/>
  <c r="AA67" i="3"/>
  <c r="AA64" i="3"/>
  <c r="AA63" i="3"/>
  <c r="AA60" i="3"/>
  <c r="AA57" i="3"/>
  <c r="AA56" i="3"/>
  <c r="AA82" i="1"/>
  <c r="AA83" i="1"/>
  <c r="AA85" i="1"/>
  <c r="AA88" i="1"/>
  <c r="AA89" i="1"/>
  <c r="AB29" i="3"/>
  <c r="AB30" i="3"/>
  <c r="AB31" i="3"/>
  <c r="AB32" i="3"/>
  <c r="AB33" i="3"/>
  <c r="AB35" i="3"/>
  <c r="AB4" i="3"/>
  <c r="AB27" i="1"/>
  <c r="AB39" i="1"/>
  <c r="AB40" i="1"/>
  <c r="AB41" i="1"/>
  <c r="AB42" i="1"/>
  <c r="AB43" i="1"/>
  <c r="Z125" i="6" l="1"/>
  <c r="AI240" i="7"/>
  <c r="AA146" i="6"/>
  <c r="AA143" i="6" s="1"/>
  <c r="AA147" i="6"/>
  <c r="AA144" i="6" s="1"/>
  <c r="AP61" i="3"/>
  <c r="AA162" i="6"/>
  <c r="AA163" i="6"/>
  <c r="Z21" i="1"/>
  <c r="Z307" i="6"/>
  <c r="Z308" i="6"/>
  <c r="Z311" i="6" s="1"/>
  <c r="Z315" i="6" s="1"/>
  <c r="Z309" i="6"/>
  <c r="Z312" i="6" s="1"/>
  <c r="Z316" i="6" s="1"/>
  <c r="AA277" i="6"/>
  <c r="AA279" i="6"/>
  <c r="Z278" i="6"/>
  <c r="AC44" i="1"/>
  <c r="AC45" i="1"/>
  <c r="AA90" i="6"/>
  <c r="AB29" i="1"/>
  <c r="AC26" i="1"/>
  <c r="AC34" i="3"/>
  <c r="AB80" i="1"/>
  <c r="AA16" i="1"/>
  <c r="AC43" i="1"/>
  <c r="AC42" i="1"/>
  <c r="AC41" i="1"/>
  <c r="AC40" i="1"/>
  <c r="AC39" i="1"/>
  <c r="AC27" i="1"/>
  <c r="AC4" i="3"/>
  <c r="AC35" i="3"/>
  <c r="AC33" i="3"/>
  <c r="AC32" i="3"/>
  <c r="AC31" i="3"/>
  <c r="AC30" i="3"/>
  <c r="AC29" i="3"/>
  <c r="AB89" i="1"/>
  <c r="AB88" i="1"/>
  <c r="AB85" i="1"/>
  <c r="AB83" i="1"/>
  <c r="AB82" i="1"/>
  <c r="AB56" i="3"/>
  <c r="AB57" i="3"/>
  <c r="AB60" i="3"/>
  <c r="AB63" i="3"/>
  <c r="AB64" i="3"/>
  <c r="AB67" i="3"/>
  <c r="AB54" i="3"/>
  <c r="AB3" i="3"/>
  <c r="AA125" i="6" l="1"/>
  <c r="AJ240" i="7"/>
  <c r="AB146" i="6"/>
  <c r="AB143" i="6" s="1"/>
  <c r="AB147" i="6"/>
  <c r="AB144" i="6" s="1"/>
  <c r="AB163" i="6"/>
  <c r="AB162" i="6"/>
  <c r="AQ61" i="3"/>
  <c r="AA21" i="1"/>
  <c r="AA309" i="6"/>
  <c r="AA312" i="6" s="1"/>
  <c r="AA316" i="6" s="1"/>
  <c r="AA307" i="6"/>
  <c r="AA308" i="6"/>
  <c r="AA311" i="6" s="1"/>
  <c r="AA315" i="6" s="1"/>
  <c r="AB277" i="6"/>
  <c r="AB279" i="6"/>
  <c r="AA278" i="6"/>
  <c r="AD45" i="1"/>
  <c r="AD44" i="1"/>
  <c r="AB90" i="6"/>
  <c r="AC29" i="1"/>
  <c r="AD26" i="1"/>
  <c r="AD34" i="3"/>
  <c r="AC80" i="1"/>
  <c r="AB16" i="1"/>
  <c r="AC3" i="3"/>
  <c r="AC54" i="3"/>
  <c r="AC67" i="3"/>
  <c r="AC64" i="3"/>
  <c r="AC63" i="3"/>
  <c r="AC60" i="3"/>
  <c r="AC57" i="3"/>
  <c r="AC56" i="3"/>
  <c r="AC82" i="1"/>
  <c r="AC83" i="1"/>
  <c r="AC85" i="1"/>
  <c r="AC88" i="1"/>
  <c r="AC89" i="1"/>
  <c r="AD29" i="3"/>
  <c r="AD30" i="3"/>
  <c r="AD31" i="3"/>
  <c r="AD32" i="3"/>
  <c r="AD33" i="3"/>
  <c r="AD35" i="3"/>
  <c r="AD4" i="3"/>
  <c r="AD27" i="1"/>
  <c r="AD39" i="1"/>
  <c r="AD40" i="1"/>
  <c r="AD41" i="1"/>
  <c r="AD42" i="1"/>
  <c r="AD43" i="1"/>
  <c r="AC146" i="6" l="1"/>
  <c r="AB125" i="6"/>
  <c r="AK240" i="7"/>
  <c r="AC147" i="6"/>
  <c r="AC144" i="6" s="1"/>
  <c r="AC143" i="6"/>
  <c r="AR61" i="3"/>
  <c r="AC162" i="6"/>
  <c r="AC163" i="6"/>
  <c r="AB309" i="6"/>
  <c r="AB312" i="6" s="1"/>
  <c r="AB316" i="6" s="1"/>
  <c r="AB307" i="6"/>
  <c r="AB308" i="6"/>
  <c r="AB311" i="6" s="1"/>
  <c r="AB315" i="6" s="1"/>
  <c r="AC277" i="6"/>
  <c r="AC279" i="6"/>
  <c r="AB278" i="6"/>
  <c r="AE44" i="1"/>
  <c r="AE45" i="1"/>
  <c r="AC90" i="6"/>
  <c r="AD29" i="1"/>
  <c r="AE26" i="1"/>
  <c r="AE34" i="3"/>
  <c r="AD80" i="1"/>
  <c r="AC16" i="1"/>
  <c r="AB21" i="1"/>
  <c r="AE43" i="1"/>
  <c r="AE42" i="1"/>
  <c r="AE41" i="1"/>
  <c r="AE40" i="1"/>
  <c r="AE39" i="1"/>
  <c r="AE27" i="1"/>
  <c r="AE4" i="3"/>
  <c r="AE35" i="3"/>
  <c r="AE33" i="3"/>
  <c r="AE32" i="3"/>
  <c r="AE31" i="3"/>
  <c r="AE30" i="3"/>
  <c r="AE29" i="3"/>
  <c r="AD89" i="1"/>
  <c r="AD88" i="1"/>
  <c r="AD85" i="1"/>
  <c r="AD83" i="1"/>
  <c r="AD82" i="1"/>
  <c r="AD56" i="3"/>
  <c r="AD57" i="3"/>
  <c r="AD60" i="3"/>
  <c r="AD63" i="3"/>
  <c r="AD64" i="3"/>
  <c r="AD67" i="3"/>
  <c r="AD54" i="3"/>
  <c r="AD3" i="3"/>
  <c r="AC125" i="6" l="1"/>
  <c r="AL240" i="7"/>
  <c r="AD146" i="6"/>
  <c r="AD143" i="6" s="1"/>
  <c r="AD147" i="6"/>
  <c r="AD144" i="6" s="1"/>
  <c r="AD163" i="6"/>
  <c r="AD162" i="6"/>
  <c r="AS61" i="3"/>
  <c r="AC309" i="6"/>
  <c r="AC312" i="6" s="1"/>
  <c r="AC316" i="6" s="1"/>
  <c r="AC307" i="6"/>
  <c r="AC308" i="6"/>
  <c r="AC311" i="6" s="1"/>
  <c r="AC315" i="6" s="1"/>
  <c r="AD277" i="6"/>
  <c r="AD279" i="6"/>
  <c r="AC278" i="6"/>
  <c r="AF45" i="1"/>
  <c r="AF44" i="1"/>
  <c r="AD90" i="6"/>
  <c r="AE29" i="1"/>
  <c r="AF26" i="1"/>
  <c r="AF34" i="3"/>
  <c r="AE80" i="1"/>
  <c r="AD16" i="1"/>
  <c r="AC21" i="1"/>
  <c r="AE3" i="3"/>
  <c r="AE54" i="3"/>
  <c r="AE67" i="3"/>
  <c r="AE64" i="3"/>
  <c r="AE63" i="3"/>
  <c r="AE60" i="3"/>
  <c r="AE57" i="3"/>
  <c r="AE163" i="6" s="1"/>
  <c r="AE56" i="3"/>
  <c r="AE82" i="1"/>
  <c r="AE83" i="1"/>
  <c r="AE85" i="1"/>
  <c r="AE88" i="1"/>
  <c r="AE89" i="1"/>
  <c r="AF29" i="3"/>
  <c r="AF30" i="3"/>
  <c r="AF31" i="3"/>
  <c r="AF32" i="3"/>
  <c r="AF33" i="3"/>
  <c r="AF35" i="3"/>
  <c r="AF4" i="3"/>
  <c r="AF27" i="1"/>
  <c r="AF39" i="1"/>
  <c r="AF40" i="1"/>
  <c r="AF41" i="1"/>
  <c r="AF42" i="1"/>
  <c r="AF43" i="1"/>
  <c r="AE146" i="6" l="1"/>
  <c r="AD125" i="6"/>
  <c r="AM240" i="7"/>
  <c r="AE147" i="6"/>
  <c r="AE144" i="6" s="1"/>
  <c r="AE143" i="6"/>
  <c r="AT61" i="3"/>
  <c r="AE162" i="6"/>
  <c r="AD21" i="1"/>
  <c r="AD309" i="6"/>
  <c r="AD312" i="6" s="1"/>
  <c r="AD316" i="6" s="1"/>
  <c r="AD308" i="6"/>
  <c r="AD311" i="6" s="1"/>
  <c r="AD315" i="6" s="1"/>
  <c r="AD307" i="6"/>
  <c r="AE277" i="6"/>
  <c r="AE279" i="6"/>
  <c r="AD278" i="6"/>
  <c r="AG44" i="1"/>
  <c r="AG45" i="1"/>
  <c r="AE90" i="6"/>
  <c r="AF29" i="1"/>
  <c r="AG26" i="1"/>
  <c r="AG34" i="3"/>
  <c r="AF80" i="1"/>
  <c r="AE16" i="1"/>
  <c r="AG43" i="1"/>
  <c r="AG42" i="1"/>
  <c r="AG41" i="1"/>
  <c r="AG40" i="1"/>
  <c r="AG39" i="1"/>
  <c r="AG27" i="1"/>
  <c r="AG4" i="3"/>
  <c r="AH4" i="3" s="1"/>
  <c r="AI4" i="3" s="1"/>
  <c r="AJ4" i="3" s="1"/>
  <c r="AK4" i="3" s="1"/>
  <c r="AL4" i="3" s="1"/>
  <c r="AM4" i="3" s="1"/>
  <c r="AN4" i="3" s="1"/>
  <c r="AO4" i="3" s="1"/>
  <c r="AP4" i="3" s="1"/>
  <c r="AQ4" i="3" s="1"/>
  <c r="AR4" i="3" s="1"/>
  <c r="AS4" i="3" s="1"/>
  <c r="AT4" i="3" s="1"/>
  <c r="AU4" i="3" s="1"/>
  <c r="AV4" i="3" s="1"/>
  <c r="AW4" i="3" s="1"/>
  <c r="AX4" i="3" s="1"/>
  <c r="AY4" i="3" s="1"/>
  <c r="AZ4" i="3" s="1"/>
  <c r="BA4" i="3" s="1"/>
  <c r="BB4" i="3" s="1"/>
  <c r="AG35" i="3"/>
  <c r="AG33" i="3"/>
  <c r="AG32" i="3"/>
  <c r="AG31" i="3"/>
  <c r="AG30" i="3"/>
  <c r="AG29" i="3"/>
  <c r="AF89" i="1"/>
  <c r="AF88" i="1"/>
  <c r="AF85" i="1"/>
  <c r="AF83" i="1"/>
  <c r="AF82" i="1"/>
  <c r="AF56" i="3"/>
  <c r="AF57" i="3"/>
  <c r="AF60" i="3"/>
  <c r="AF63" i="3"/>
  <c r="AF64" i="3"/>
  <c r="AF67" i="3"/>
  <c r="AF54" i="3"/>
  <c r="AF3" i="3"/>
  <c r="AE125" i="6" l="1"/>
  <c r="AN240" i="7"/>
  <c r="AF146" i="6"/>
  <c r="AF143" i="6" s="1"/>
  <c r="AF147" i="6"/>
  <c r="AF144" i="6" s="1"/>
  <c r="AF163" i="6"/>
  <c r="AF162" i="6"/>
  <c r="AU61" i="3"/>
  <c r="AE21" i="1"/>
  <c r="AE309" i="6"/>
  <c r="AE312" i="6" s="1"/>
  <c r="AE316" i="6" s="1"/>
  <c r="AE308" i="6"/>
  <c r="AE311" i="6" s="1"/>
  <c r="AE315" i="6" s="1"/>
  <c r="AE307" i="6"/>
  <c r="AF277" i="6"/>
  <c r="AF279" i="6"/>
  <c r="AE278" i="6"/>
  <c r="AH45" i="1"/>
  <c r="AH44" i="1"/>
  <c r="AF90" i="6"/>
  <c r="AG29" i="1"/>
  <c r="AH26" i="1"/>
  <c r="AH34" i="3"/>
  <c r="AG80" i="1"/>
  <c r="AF16" i="1"/>
  <c r="AG3" i="3"/>
  <c r="AG54" i="3"/>
  <c r="AG67" i="3"/>
  <c r="AG64" i="3"/>
  <c r="AG63" i="3"/>
  <c r="AG60" i="3"/>
  <c r="AG57" i="3"/>
  <c r="AG163" i="6" s="1"/>
  <c r="AG56" i="3"/>
  <c r="AG82" i="1"/>
  <c r="AG83" i="1"/>
  <c r="AG85" i="1"/>
  <c r="AG88" i="1"/>
  <c r="AG89" i="1"/>
  <c r="AH29" i="3"/>
  <c r="AH30" i="3"/>
  <c r="AH31" i="3"/>
  <c r="AH32" i="3"/>
  <c r="AH33" i="3"/>
  <c r="AH35" i="3"/>
  <c r="AH27" i="1"/>
  <c r="AH39" i="1"/>
  <c r="AH40" i="1"/>
  <c r="AH41" i="1"/>
  <c r="AH42" i="1"/>
  <c r="AH43" i="1"/>
  <c r="AG146" i="6" l="1"/>
  <c r="AF125" i="6"/>
  <c r="AO240" i="7"/>
  <c r="AG147" i="6"/>
  <c r="AG144" i="6" s="1"/>
  <c r="AG143" i="6"/>
  <c r="AV61" i="3"/>
  <c r="AG162" i="6"/>
  <c r="AH57" i="3"/>
  <c r="AH163" i="6" s="1"/>
  <c r="Q344" i="7" s="1"/>
  <c r="AF21" i="1"/>
  <c r="AF308" i="6"/>
  <c r="AF311" i="6" s="1"/>
  <c r="AF315" i="6" s="1"/>
  <c r="AF309" i="6"/>
  <c r="AF312" i="6" s="1"/>
  <c r="AF316" i="6" s="1"/>
  <c r="AF307" i="6"/>
  <c r="AH56" i="3"/>
  <c r="AG277" i="6"/>
  <c r="AG279" i="6"/>
  <c r="AF278" i="6"/>
  <c r="AI44" i="1"/>
  <c r="AI45" i="1"/>
  <c r="AH3" i="3"/>
  <c r="AH60" i="3"/>
  <c r="AH63" i="3"/>
  <c r="AH64" i="3"/>
  <c r="AG90" i="6"/>
  <c r="AH29" i="1"/>
  <c r="AI26" i="1"/>
  <c r="AI34" i="3"/>
  <c r="AH80" i="1"/>
  <c r="AG16" i="1"/>
  <c r="AI43" i="1"/>
  <c r="AI42" i="1"/>
  <c r="AI41" i="1"/>
  <c r="AI40" i="1"/>
  <c r="AI39" i="1"/>
  <c r="AI27" i="1"/>
  <c r="AI35" i="3"/>
  <c r="AI33" i="3"/>
  <c r="AI32" i="3"/>
  <c r="AI31" i="3"/>
  <c r="AI30" i="3"/>
  <c r="AI29" i="3"/>
  <c r="AH89" i="1"/>
  <c r="AH88" i="1"/>
  <c r="AH85" i="1"/>
  <c r="AH83" i="1"/>
  <c r="AH82" i="1"/>
  <c r="AH67" i="3"/>
  <c r="AH54" i="3"/>
  <c r="AG125" i="6" l="1"/>
  <c r="AP240" i="7"/>
  <c r="AH146" i="6"/>
  <c r="AH143" i="6" s="1"/>
  <c r="AH147" i="6"/>
  <c r="AH144" i="6" s="1"/>
  <c r="AH162" i="6"/>
  <c r="Q341" i="7" s="1"/>
  <c r="AW61" i="3"/>
  <c r="AG21" i="1"/>
  <c r="AI57" i="3"/>
  <c r="AI163" i="6" s="1"/>
  <c r="AG309" i="6"/>
  <c r="AG312" i="6" s="1"/>
  <c r="AG316" i="6" s="1"/>
  <c r="AG307" i="6"/>
  <c r="AG308" i="6"/>
  <c r="AG311" i="6" s="1"/>
  <c r="AG315" i="6" s="1"/>
  <c r="AG278" i="6"/>
  <c r="AI56" i="3"/>
  <c r="AH277" i="6"/>
  <c r="AH279" i="6"/>
  <c r="AJ45" i="1"/>
  <c r="AJ44" i="1"/>
  <c r="AI3" i="3"/>
  <c r="AI29" i="1"/>
  <c r="AI64" i="3"/>
  <c r="AI63" i="3"/>
  <c r="AI60" i="3"/>
  <c r="AJ26" i="1"/>
  <c r="AJ34" i="3"/>
  <c r="AI80" i="1"/>
  <c r="AH16" i="1"/>
  <c r="AI54" i="3"/>
  <c r="AI67" i="3"/>
  <c r="AI82" i="1"/>
  <c r="AI83" i="1"/>
  <c r="AI85" i="1"/>
  <c r="AI88" i="1"/>
  <c r="AI89" i="1"/>
  <c r="AJ29" i="3"/>
  <c r="AJ30" i="3"/>
  <c r="AJ31" i="3"/>
  <c r="AJ32" i="3"/>
  <c r="AJ33" i="3"/>
  <c r="AJ35" i="3"/>
  <c r="AJ27" i="1"/>
  <c r="AJ39" i="1"/>
  <c r="AJ40" i="1"/>
  <c r="AJ41" i="1"/>
  <c r="AJ42" i="1"/>
  <c r="AJ43" i="1"/>
  <c r="AI146" i="6" l="1"/>
  <c r="AI143" i="6" s="1"/>
  <c r="AI147" i="6"/>
  <c r="AI144" i="6" s="1"/>
  <c r="AX61" i="3"/>
  <c r="AI162" i="6"/>
  <c r="AJ64" i="3"/>
  <c r="AJ63" i="3"/>
  <c r="AH90" i="6"/>
  <c r="AJ60" i="3"/>
  <c r="AJ57" i="3"/>
  <c r="AJ163" i="6" s="1"/>
  <c r="AH307" i="6"/>
  <c r="AH308" i="6"/>
  <c r="AH311" i="6" s="1"/>
  <c r="AH315" i="6" s="1"/>
  <c r="AH309" i="6"/>
  <c r="AH312" i="6" s="1"/>
  <c r="AH316" i="6" s="1"/>
  <c r="AH278" i="6"/>
  <c r="AJ56" i="3"/>
  <c r="AI277" i="6"/>
  <c r="AI279" i="6"/>
  <c r="AH21" i="1"/>
  <c r="AK44" i="1"/>
  <c r="AK45" i="1"/>
  <c r="AJ3" i="3"/>
  <c r="AI90" i="6"/>
  <c r="AJ29" i="1"/>
  <c r="AK26" i="1"/>
  <c r="AK34" i="3"/>
  <c r="AJ80" i="1"/>
  <c r="AI16" i="1"/>
  <c r="AK43" i="1"/>
  <c r="AK42" i="1"/>
  <c r="AK41" i="1"/>
  <c r="AK40" i="1"/>
  <c r="AK39" i="1"/>
  <c r="AK27" i="1"/>
  <c r="AK35" i="3"/>
  <c r="AK33" i="3"/>
  <c r="AK32" i="3"/>
  <c r="AK31" i="3"/>
  <c r="AK30" i="3"/>
  <c r="AK29" i="3"/>
  <c r="AJ89" i="1"/>
  <c r="AJ88" i="1"/>
  <c r="AJ85" i="1"/>
  <c r="AJ83" i="1"/>
  <c r="AJ82" i="1"/>
  <c r="AJ67" i="3"/>
  <c r="AJ54" i="3"/>
  <c r="AI125" i="6" l="1"/>
  <c r="AR240" i="7"/>
  <c r="AH125" i="6"/>
  <c r="AQ240" i="7"/>
  <c r="AJ146" i="6"/>
  <c r="AJ143" i="6" s="1"/>
  <c r="AJ147" i="6"/>
  <c r="AJ144" i="6" s="1"/>
  <c r="AJ162" i="6"/>
  <c r="AY61" i="3"/>
  <c r="AK64" i="3"/>
  <c r="AK63" i="3"/>
  <c r="AK57" i="3"/>
  <c r="AK163" i="6" s="1"/>
  <c r="AK60" i="3"/>
  <c r="AK146" i="6" s="1"/>
  <c r="AI308" i="6"/>
  <c r="AI311" i="6" s="1"/>
  <c r="AI315" i="6" s="1"/>
  <c r="AI309" i="6"/>
  <c r="AI312" i="6" s="1"/>
  <c r="AI316" i="6" s="1"/>
  <c r="AI307" i="6"/>
  <c r="AI278" i="6"/>
  <c r="AK56" i="3"/>
  <c r="AJ277" i="6"/>
  <c r="AJ279" i="6"/>
  <c r="AL45" i="1"/>
  <c r="AL44" i="1"/>
  <c r="AK3" i="3"/>
  <c r="AK29" i="1"/>
  <c r="AJ90" i="6"/>
  <c r="AI21" i="1"/>
  <c r="AL26" i="1"/>
  <c r="AL34" i="3"/>
  <c r="AK80" i="1"/>
  <c r="AJ16" i="1"/>
  <c r="AK54" i="3"/>
  <c r="AK67" i="3"/>
  <c r="AK82" i="1"/>
  <c r="AK83" i="1"/>
  <c r="AK85" i="1"/>
  <c r="AK88" i="1"/>
  <c r="AK89" i="1"/>
  <c r="AL29" i="3"/>
  <c r="AL30" i="3"/>
  <c r="AL31" i="3"/>
  <c r="AL32" i="3"/>
  <c r="AL33" i="3"/>
  <c r="AL35" i="3"/>
  <c r="AL27" i="1"/>
  <c r="AL39" i="1"/>
  <c r="AL40" i="1"/>
  <c r="AL41" i="1"/>
  <c r="AL42" i="1"/>
  <c r="AL43" i="1"/>
  <c r="AJ125" i="6" l="1"/>
  <c r="AS240" i="7"/>
  <c r="AM31" i="3"/>
  <c r="AK147" i="6"/>
  <c r="AK144" i="6" s="1"/>
  <c r="AK143" i="6"/>
  <c r="AK162" i="6"/>
  <c r="AZ61" i="3"/>
  <c r="AL64" i="3"/>
  <c r="AL63" i="3"/>
  <c r="AJ21" i="1"/>
  <c r="AL60" i="3"/>
  <c r="AL57" i="3"/>
  <c r="AL163" i="6" s="1"/>
  <c r="AJ309" i="6"/>
  <c r="AJ312" i="6" s="1"/>
  <c r="AJ316" i="6" s="1"/>
  <c r="AJ307" i="6"/>
  <c r="AJ308" i="6"/>
  <c r="AJ311" i="6" s="1"/>
  <c r="AJ315" i="6" s="1"/>
  <c r="AJ278" i="6"/>
  <c r="AL56" i="3"/>
  <c r="AK277" i="6"/>
  <c r="AK279" i="6"/>
  <c r="AM44" i="1"/>
  <c r="AM45" i="1"/>
  <c r="AL3" i="3"/>
  <c r="AK90" i="6"/>
  <c r="AL29" i="1"/>
  <c r="AM26" i="1"/>
  <c r="AM34" i="3"/>
  <c r="AL80" i="1"/>
  <c r="AK16" i="1"/>
  <c r="AM43" i="1"/>
  <c r="AM42" i="1"/>
  <c r="AM41" i="1"/>
  <c r="AM40" i="1"/>
  <c r="AM39" i="1"/>
  <c r="AM27" i="1"/>
  <c r="AM35" i="3"/>
  <c r="AM33" i="3"/>
  <c r="AM32" i="3"/>
  <c r="AM30" i="3"/>
  <c r="AM29" i="3"/>
  <c r="AL89" i="1"/>
  <c r="AL88" i="1"/>
  <c r="AL85" i="1"/>
  <c r="AL83" i="1"/>
  <c r="AL82" i="1"/>
  <c r="AL67" i="3"/>
  <c r="AL54" i="3"/>
  <c r="AK125" i="6" l="1"/>
  <c r="AT240" i="7"/>
  <c r="AL146" i="6"/>
  <c r="AN31" i="3"/>
  <c r="AL147" i="6"/>
  <c r="AL144" i="6" s="1"/>
  <c r="AL143" i="6"/>
  <c r="AL162" i="6"/>
  <c r="BA61" i="3"/>
  <c r="AM64" i="3"/>
  <c r="AM63" i="3"/>
  <c r="AK21" i="1"/>
  <c r="AM57" i="3"/>
  <c r="AM163" i="6" s="1"/>
  <c r="AM60" i="3"/>
  <c r="AM146" i="6" s="1"/>
  <c r="AK308" i="6"/>
  <c r="AK311" i="6" s="1"/>
  <c r="AK315" i="6" s="1"/>
  <c r="AK307" i="6"/>
  <c r="AK309" i="6"/>
  <c r="AK312" i="6" s="1"/>
  <c r="AK316" i="6" s="1"/>
  <c r="AK278" i="6"/>
  <c r="AM56" i="3"/>
  <c r="AL277" i="6"/>
  <c r="AL279" i="6"/>
  <c r="AN45" i="1"/>
  <c r="AN44" i="1"/>
  <c r="AM3" i="3"/>
  <c r="AM29" i="1"/>
  <c r="AL90" i="6"/>
  <c r="AN26" i="1"/>
  <c r="AN34" i="3"/>
  <c r="AM80" i="1"/>
  <c r="AL16" i="1"/>
  <c r="AM54" i="3"/>
  <c r="AM67" i="3"/>
  <c r="AM82" i="1"/>
  <c r="AM83" i="1"/>
  <c r="AM85" i="1"/>
  <c r="AM88" i="1"/>
  <c r="AM89" i="1"/>
  <c r="AN29" i="3"/>
  <c r="AN30" i="3"/>
  <c r="AN32" i="3"/>
  <c r="AN33" i="3"/>
  <c r="AN35" i="3"/>
  <c r="AN27" i="1"/>
  <c r="AN39" i="1"/>
  <c r="AN40" i="1"/>
  <c r="AN41" i="1"/>
  <c r="AN42" i="1"/>
  <c r="AN43" i="1"/>
  <c r="AL125" i="6" l="1"/>
  <c r="AU240" i="7"/>
  <c r="AO31" i="3"/>
  <c r="AM143" i="6"/>
  <c r="AM147" i="6"/>
  <c r="AM144" i="6" s="1"/>
  <c r="AM162" i="6"/>
  <c r="BB61" i="3"/>
  <c r="AN64" i="3"/>
  <c r="AN63" i="3"/>
  <c r="AL21" i="1"/>
  <c r="AN60" i="3"/>
  <c r="AN57" i="3"/>
  <c r="AN163" i="6" s="1"/>
  <c r="AL309" i="6"/>
  <c r="AL312" i="6" s="1"/>
  <c r="AL316" i="6" s="1"/>
  <c r="AL307" i="6"/>
  <c r="AL308" i="6"/>
  <c r="AL311" i="6" s="1"/>
  <c r="AL315" i="6" s="1"/>
  <c r="AL278" i="6"/>
  <c r="AN56" i="3"/>
  <c r="AM277" i="6"/>
  <c r="AM279" i="6"/>
  <c r="AO44" i="1"/>
  <c r="AO45" i="1"/>
  <c r="AN3" i="3"/>
  <c r="AM90" i="6"/>
  <c r="AN29" i="1"/>
  <c r="AO26" i="1"/>
  <c r="AO34" i="3"/>
  <c r="AN80" i="1"/>
  <c r="AM16" i="1"/>
  <c r="AO43" i="1"/>
  <c r="AO42" i="1"/>
  <c r="AO41" i="1"/>
  <c r="AO40" i="1"/>
  <c r="AO39" i="1"/>
  <c r="AO27" i="1"/>
  <c r="AO35" i="3"/>
  <c r="AO33" i="3"/>
  <c r="AO32" i="3"/>
  <c r="AO30" i="3"/>
  <c r="AO29" i="3"/>
  <c r="AN89" i="1"/>
  <c r="AN88" i="1"/>
  <c r="AN85" i="1"/>
  <c r="AN83" i="1"/>
  <c r="AN82" i="1"/>
  <c r="AN67" i="3"/>
  <c r="AN54" i="3"/>
  <c r="AM125" i="6" l="1"/>
  <c r="AV240" i="7"/>
  <c r="AN146" i="6"/>
  <c r="AN143" i="6" s="1"/>
  <c r="AP31" i="3"/>
  <c r="AN147" i="6"/>
  <c r="AN144" i="6" s="1"/>
  <c r="AN162" i="6"/>
  <c r="AO64" i="3"/>
  <c r="AO63" i="3"/>
  <c r="AM21" i="1"/>
  <c r="AO57" i="3"/>
  <c r="AO163" i="6" s="1"/>
  <c r="AO60" i="3"/>
  <c r="AM309" i="6"/>
  <c r="AM312" i="6" s="1"/>
  <c r="AM316" i="6" s="1"/>
  <c r="AM308" i="6"/>
  <c r="AM307" i="6"/>
  <c r="AM278" i="6"/>
  <c r="AO56" i="3"/>
  <c r="AN277" i="6"/>
  <c r="AN279" i="6"/>
  <c r="AP45" i="1"/>
  <c r="AP44" i="1"/>
  <c r="AO3" i="3"/>
  <c r="AO29" i="1"/>
  <c r="AN90" i="6"/>
  <c r="AP26" i="1"/>
  <c r="AP34" i="3"/>
  <c r="AO80" i="1"/>
  <c r="AN16" i="1"/>
  <c r="AO54" i="3"/>
  <c r="AO67" i="3"/>
  <c r="AO82" i="1"/>
  <c r="AO83" i="1"/>
  <c r="AO85" i="1"/>
  <c r="AO88" i="1"/>
  <c r="AO89" i="1"/>
  <c r="AP29" i="3"/>
  <c r="AP30" i="3"/>
  <c r="AP32" i="3"/>
  <c r="AP33" i="3"/>
  <c r="AP35" i="3"/>
  <c r="AP27" i="1"/>
  <c r="AP39" i="1"/>
  <c r="AP40" i="1"/>
  <c r="AP41" i="1"/>
  <c r="AP42" i="1"/>
  <c r="AP43" i="1"/>
  <c r="AN125" i="6" l="1"/>
  <c r="AW240" i="7"/>
  <c r="AO146" i="6"/>
  <c r="AO143" i="6" s="1"/>
  <c r="AQ31" i="3"/>
  <c r="AO147" i="6"/>
  <c r="AO144" i="6" s="1"/>
  <c r="AO162" i="6"/>
  <c r="AP64" i="3"/>
  <c r="AP63" i="3"/>
  <c r="AN21" i="1"/>
  <c r="AP60" i="3"/>
  <c r="AP57" i="3"/>
  <c r="AP163" i="6" s="1"/>
  <c r="AN309" i="6"/>
  <c r="AN312" i="6" s="1"/>
  <c r="AN316" i="6" s="1"/>
  <c r="AN308" i="6"/>
  <c r="AN307" i="6"/>
  <c r="AN278" i="6"/>
  <c r="AP56" i="3"/>
  <c r="AO277" i="6"/>
  <c r="AO279" i="6"/>
  <c r="AQ44" i="1"/>
  <c r="AQ45" i="1"/>
  <c r="AP3" i="3"/>
  <c r="AO90" i="6"/>
  <c r="AP29" i="1"/>
  <c r="AQ26" i="1"/>
  <c r="AQ34" i="3"/>
  <c r="AP80" i="1"/>
  <c r="AO16" i="1"/>
  <c r="AQ43" i="1"/>
  <c r="AQ42" i="1"/>
  <c r="AQ41" i="1"/>
  <c r="AQ40" i="1"/>
  <c r="AQ39" i="1"/>
  <c r="AQ27" i="1"/>
  <c r="AQ35" i="3"/>
  <c r="AQ33" i="3"/>
  <c r="AQ32" i="3"/>
  <c r="AQ30" i="3"/>
  <c r="AQ29" i="3"/>
  <c r="AP89" i="1"/>
  <c r="AP88" i="1"/>
  <c r="AP85" i="1"/>
  <c r="AP83" i="1"/>
  <c r="AP82" i="1"/>
  <c r="AP67" i="3"/>
  <c r="AP54" i="3"/>
  <c r="AO125" i="6" l="1"/>
  <c r="AX240" i="7"/>
  <c r="AP146" i="6"/>
  <c r="AP143" i="6" s="1"/>
  <c r="AR31" i="3"/>
  <c r="AP147" i="6"/>
  <c r="AP144" i="6" s="1"/>
  <c r="AP162" i="6"/>
  <c r="AQ64" i="3"/>
  <c r="AQ63" i="3"/>
  <c r="AQ57" i="3"/>
  <c r="AQ163" i="6" s="1"/>
  <c r="AQ60" i="3"/>
  <c r="AO309" i="6"/>
  <c r="AO312" i="6" s="1"/>
  <c r="AO316" i="6" s="1"/>
  <c r="AO307" i="6"/>
  <c r="AO308" i="6"/>
  <c r="AO278" i="6"/>
  <c r="AQ56" i="3"/>
  <c r="AP277" i="6"/>
  <c r="AP279" i="6"/>
  <c r="AR45" i="1"/>
  <c r="AR44" i="1"/>
  <c r="AQ3" i="3"/>
  <c r="AQ29" i="1"/>
  <c r="AP90" i="6"/>
  <c r="AR26" i="1"/>
  <c r="AR34" i="3"/>
  <c r="AQ80" i="1"/>
  <c r="AP16" i="1"/>
  <c r="AO21" i="1"/>
  <c r="AQ54" i="3"/>
  <c r="AQ67" i="3"/>
  <c r="AQ82" i="1"/>
  <c r="AQ83" i="1"/>
  <c r="AQ85" i="1"/>
  <c r="AQ88" i="1"/>
  <c r="AQ89" i="1"/>
  <c r="AR29" i="3"/>
  <c r="AR30" i="3"/>
  <c r="AR32" i="3"/>
  <c r="AR33" i="3"/>
  <c r="AR35" i="3"/>
  <c r="AR27" i="1"/>
  <c r="AR39" i="1"/>
  <c r="AR40" i="1"/>
  <c r="AR41" i="1"/>
  <c r="AR42" i="1"/>
  <c r="AR43" i="1"/>
  <c r="AP125" i="6" l="1"/>
  <c r="AY240" i="7"/>
  <c r="AQ146" i="6"/>
  <c r="AS31" i="3"/>
  <c r="AQ147" i="6"/>
  <c r="AQ144" i="6" s="1"/>
  <c r="AQ143" i="6"/>
  <c r="AQ162" i="6"/>
  <c r="AR64" i="3"/>
  <c r="AR63" i="3"/>
  <c r="AP21" i="1"/>
  <c r="AR60" i="3"/>
  <c r="AR57" i="3"/>
  <c r="AR163" i="6" s="1"/>
  <c r="R344" i="7" s="1"/>
  <c r="AP307" i="6"/>
  <c r="AP308" i="6"/>
  <c r="AP309" i="6"/>
  <c r="AP312" i="6" s="1"/>
  <c r="AP316" i="6" s="1"/>
  <c r="AP278" i="6"/>
  <c r="AR56" i="3"/>
  <c r="AQ277" i="6"/>
  <c r="AQ279" i="6"/>
  <c r="AS44" i="1"/>
  <c r="AS45" i="1"/>
  <c r="AR3" i="3"/>
  <c r="AQ90" i="6"/>
  <c r="AR29" i="1"/>
  <c r="AS26" i="1"/>
  <c r="AS34" i="3"/>
  <c r="AR80" i="1"/>
  <c r="AQ16" i="1"/>
  <c r="AS43" i="1"/>
  <c r="AS42" i="1"/>
  <c r="AS41" i="1"/>
  <c r="AS40" i="1"/>
  <c r="AS39" i="1"/>
  <c r="AS27" i="1"/>
  <c r="AS35" i="3"/>
  <c r="AS33" i="3"/>
  <c r="AS32" i="3"/>
  <c r="AS30" i="3"/>
  <c r="AS29" i="3"/>
  <c r="AR89" i="1"/>
  <c r="AR88" i="1"/>
  <c r="AR85" i="1"/>
  <c r="AR83" i="1"/>
  <c r="AR82" i="1"/>
  <c r="AR67" i="3"/>
  <c r="AR54" i="3"/>
  <c r="AQ125" i="6" l="1"/>
  <c r="AZ240" i="7"/>
  <c r="AR146" i="6"/>
  <c r="AR143" i="6" s="1"/>
  <c r="AT31" i="3"/>
  <c r="AR147" i="6"/>
  <c r="AR144" i="6" s="1"/>
  <c r="AR162" i="6"/>
  <c r="R341" i="7" s="1"/>
  <c r="AS64" i="3"/>
  <c r="AS63" i="3"/>
  <c r="AQ21" i="1"/>
  <c r="AS57" i="3"/>
  <c r="AS163" i="6" s="1"/>
  <c r="AS60" i="3"/>
  <c r="AQ308" i="6"/>
  <c r="AQ309" i="6"/>
  <c r="AQ312" i="6" s="1"/>
  <c r="AQ316" i="6" s="1"/>
  <c r="AQ307" i="6"/>
  <c r="AQ278" i="6"/>
  <c r="AS56" i="3"/>
  <c r="AR277" i="6"/>
  <c r="AR279" i="6"/>
  <c r="AT45" i="1"/>
  <c r="AT44" i="1"/>
  <c r="AS3" i="3"/>
  <c r="AS29" i="1"/>
  <c r="AT26" i="1"/>
  <c r="AT34" i="3"/>
  <c r="AS80" i="1"/>
  <c r="AR16" i="1"/>
  <c r="AS54" i="3"/>
  <c r="AS67" i="3"/>
  <c r="AS82" i="1"/>
  <c r="AS83" i="1"/>
  <c r="AS85" i="1"/>
  <c r="AS88" i="1"/>
  <c r="AS89" i="1"/>
  <c r="AT29" i="3"/>
  <c r="AT30" i="3"/>
  <c r="AT32" i="3"/>
  <c r="AT33" i="3"/>
  <c r="AT35" i="3"/>
  <c r="AT27" i="1"/>
  <c r="AT39" i="1"/>
  <c r="AT40" i="1"/>
  <c r="AT41" i="1"/>
  <c r="AT42" i="1"/>
  <c r="AT43" i="1"/>
  <c r="AS146" i="6" l="1"/>
  <c r="AU31" i="3"/>
  <c r="AS147" i="6"/>
  <c r="AS144" i="6" s="1"/>
  <c r="AS143" i="6"/>
  <c r="AS162" i="6"/>
  <c r="AT64" i="3"/>
  <c r="AT63" i="3"/>
  <c r="AR90" i="6"/>
  <c r="AR21" i="1"/>
  <c r="AT60" i="3"/>
  <c r="AT57" i="3"/>
  <c r="AT163" i="6" s="1"/>
  <c r="AR309" i="6"/>
  <c r="AR312" i="6" s="1"/>
  <c r="AR316" i="6" s="1"/>
  <c r="AR307" i="6"/>
  <c r="AR308" i="6"/>
  <c r="AR278" i="6"/>
  <c r="AT56" i="3"/>
  <c r="AS277" i="6"/>
  <c r="AS279" i="6"/>
  <c r="AU44" i="1"/>
  <c r="AU45" i="1"/>
  <c r="AT3" i="3"/>
  <c r="AS90" i="6"/>
  <c r="AT29" i="1"/>
  <c r="AU26" i="1"/>
  <c r="AU34" i="3"/>
  <c r="AT80" i="1"/>
  <c r="AS16" i="1"/>
  <c r="AU43" i="1"/>
  <c r="AU42" i="1"/>
  <c r="AU41" i="1"/>
  <c r="AU40" i="1"/>
  <c r="AU39" i="1"/>
  <c r="AU27" i="1"/>
  <c r="AU35" i="3"/>
  <c r="AU33" i="3"/>
  <c r="AU32" i="3"/>
  <c r="AU30" i="3"/>
  <c r="AU29" i="3"/>
  <c r="AT89" i="1"/>
  <c r="AT88" i="1"/>
  <c r="AT85" i="1"/>
  <c r="AT83" i="1"/>
  <c r="AT82" i="1"/>
  <c r="AT67" i="3"/>
  <c r="AT54" i="3"/>
  <c r="AS125" i="6" l="1"/>
  <c r="BB240" i="7"/>
  <c r="AR125" i="6"/>
  <c r="BA240" i="7"/>
  <c r="AT146" i="6"/>
  <c r="AT143" i="6" s="1"/>
  <c r="AV31" i="3"/>
  <c r="AT147" i="6"/>
  <c r="AT144" i="6" s="1"/>
  <c r="AT162" i="6"/>
  <c r="AU64" i="3"/>
  <c r="AU63" i="3"/>
  <c r="AU57" i="3"/>
  <c r="AU163" i="6" s="1"/>
  <c r="AU60" i="3"/>
  <c r="AS307" i="6"/>
  <c r="AS308" i="6"/>
  <c r="AS309" i="6"/>
  <c r="AS312" i="6" s="1"/>
  <c r="AS316" i="6" s="1"/>
  <c r="AS278" i="6"/>
  <c r="AU56" i="3"/>
  <c r="AT277" i="6"/>
  <c r="AT279" i="6"/>
  <c r="AV45" i="1"/>
  <c r="AV44" i="1"/>
  <c r="AU3" i="3"/>
  <c r="AU29" i="1"/>
  <c r="AT90" i="6"/>
  <c r="AV26" i="1"/>
  <c r="AV34" i="3"/>
  <c r="AS21" i="1"/>
  <c r="AU80" i="1"/>
  <c r="AT16" i="1"/>
  <c r="AU54" i="3"/>
  <c r="AU67" i="3"/>
  <c r="AU82" i="1"/>
  <c r="AU83" i="1"/>
  <c r="AU85" i="1"/>
  <c r="AU88" i="1"/>
  <c r="AU89" i="1"/>
  <c r="AV29" i="3"/>
  <c r="AV30" i="3"/>
  <c r="AV32" i="3"/>
  <c r="AV33" i="3"/>
  <c r="AV35" i="3"/>
  <c r="AV27" i="1"/>
  <c r="AV39" i="1"/>
  <c r="AV40" i="1"/>
  <c r="AV41" i="1"/>
  <c r="AV42" i="1"/>
  <c r="AV43" i="1"/>
  <c r="AT125" i="6" l="1"/>
  <c r="BC240" i="7"/>
  <c r="AU146" i="6"/>
  <c r="AW31" i="3"/>
  <c r="AU147" i="6"/>
  <c r="AU144" i="6" s="1"/>
  <c r="AU143" i="6"/>
  <c r="AU162" i="6"/>
  <c r="AV64" i="3"/>
  <c r="AV63" i="3"/>
  <c r="AT21" i="1"/>
  <c r="AV60" i="3"/>
  <c r="AV57" i="3"/>
  <c r="AV163" i="6" s="1"/>
  <c r="AT307" i="6"/>
  <c r="AT309" i="6"/>
  <c r="AT312" i="6" s="1"/>
  <c r="AT316" i="6" s="1"/>
  <c r="AT308" i="6"/>
  <c r="AT278" i="6"/>
  <c r="AV56" i="3"/>
  <c r="AU277" i="6"/>
  <c r="AU279" i="6"/>
  <c r="AW44" i="1"/>
  <c r="AW45" i="1"/>
  <c r="AV3" i="3"/>
  <c r="AU90" i="6"/>
  <c r="AV29" i="1"/>
  <c r="AW26" i="1"/>
  <c r="AW34" i="3"/>
  <c r="AV80" i="1"/>
  <c r="AU16" i="1"/>
  <c r="AW43" i="1"/>
  <c r="AW42" i="1"/>
  <c r="AW41" i="1"/>
  <c r="AW40" i="1"/>
  <c r="AW39" i="1"/>
  <c r="AW27" i="1"/>
  <c r="AW35" i="3"/>
  <c r="AW33" i="3"/>
  <c r="AW32" i="3"/>
  <c r="AW30" i="3"/>
  <c r="AW29" i="3"/>
  <c r="AV89" i="1"/>
  <c r="AV88" i="1"/>
  <c r="AV85" i="1"/>
  <c r="AV83" i="1"/>
  <c r="AV82" i="1"/>
  <c r="AV67" i="3"/>
  <c r="AV54" i="3"/>
  <c r="AU125" i="6" l="1"/>
  <c r="BD240" i="7"/>
  <c r="AV146" i="6"/>
  <c r="AX31" i="3"/>
  <c r="AV147" i="6"/>
  <c r="AV144" i="6" s="1"/>
  <c r="AV143" i="6"/>
  <c r="AV162" i="6"/>
  <c r="AW64" i="3"/>
  <c r="AW63" i="3"/>
  <c r="AU21" i="1"/>
  <c r="AW57" i="3"/>
  <c r="AW163" i="6" s="1"/>
  <c r="AW60" i="3"/>
  <c r="AU308" i="6"/>
  <c r="AU309" i="6"/>
  <c r="AU312" i="6" s="1"/>
  <c r="AU316" i="6" s="1"/>
  <c r="AU307" i="6"/>
  <c r="AU278" i="6"/>
  <c r="AW56" i="3"/>
  <c r="AV277" i="6"/>
  <c r="AV279" i="6"/>
  <c r="AX45" i="1"/>
  <c r="AX44" i="1"/>
  <c r="AW3" i="3"/>
  <c r="AW29" i="1"/>
  <c r="AV90" i="6"/>
  <c r="AX26" i="1"/>
  <c r="AX34" i="3"/>
  <c r="AW80" i="1"/>
  <c r="AV16" i="1"/>
  <c r="AW54" i="3"/>
  <c r="AW67" i="3"/>
  <c r="AW82" i="1"/>
  <c r="AW83" i="1"/>
  <c r="AW85" i="1"/>
  <c r="AW88" i="1"/>
  <c r="AW89" i="1"/>
  <c r="AX29" i="3"/>
  <c r="AX30" i="3"/>
  <c r="AX32" i="3"/>
  <c r="AX33" i="3"/>
  <c r="AX35" i="3"/>
  <c r="AX27" i="1"/>
  <c r="AX39" i="1"/>
  <c r="AX40" i="1"/>
  <c r="AX41" i="1"/>
  <c r="AX42" i="1"/>
  <c r="AX43" i="1"/>
  <c r="AV125" i="6" l="1"/>
  <c r="BE240" i="7"/>
  <c r="AW146" i="6"/>
  <c r="AY31" i="3"/>
  <c r="AW147" i="6"/>
  <c r="AW144" i="6" s="1"/>
  <c r="AW143" i="6"/>
  <c r="AW162" i="6"/>
  <c r="AX64" i="3"/>
  <c r="AX63" i="3"/>
  <c r="AV21" i="1"/>
  <c r="AX60" i="3"/>
  <c r="AX57" i="3"/>
  <c r="AX163" i="6" s="1"/>
  <c r="AV309" i="6"/>
  <c r="AV312" i="6" s="1"/>
  <c r="AV316" i="6" s="1"/>
  <c r="AV307" i="6"/>
  <c r="AV308" i="6"/>
  <c r="AV278" i="6"/>
  <c r="AX56" i="3"/>
  <c r="AW277" i="6"/>
  <c r="AW279" i="6"/>
  <c r="AY44" i="1"/>
  <c r="AY45" i="1"/>
  <c r="AX3" i="3"/>
  <c r="AW90" i="6"/>
  <c r="AX29" i="1"/>
  <c r="AY26" i="1"/>
  <c r="AY34" i="3"/>
  <c r="AX80" i="1"/>
  <c r="AW21" i="1"/>
  <c r="AY43" i="1"/>
  <c r="AY42" i="1"/>
  <c r="AY41" i="1"/>
  <c r="AY40" i="1"/>
  <c r="AY39" i="1"/>
  <c r="AY27" i="1"/>
  <c r="AY35" i="3"/>
  <c r="AY33" i="3"/>
  <c r="AY32" i="3"/>
  <c r="AY30" i="3"/>
  <c r="AY29" i="3"/>
  <c r="AX89" i="1"/>
  <c r="AX88" i="1"/>
  <c r="AX85" i="1"/>
  <c r="AX83" i="1"/>
  <c r="AX82" i="1"/>
  <c r="AX67" i="3"/>
  <c r="AX54" i="3"/>
  <c r="AW125" i="6" l="1"/>
  <c r="BF240" i="7"/>
  <c r="AX146" i="6"/>
  <c r="AZ31" i="3"/>
  <c r="AX147" i="6"/>
  <c r="AX144" i="6" s="1"/>
  <c r="AX143" i="6"/>
  <c r="AX162" i="6"/>
  <c r="AY64" i="3"/>
  <c r="AY63" i="3"/>
  <c r="AY57" i="3"/>
  <c r="AY163" i="6" s="1"/>
  <c r="AY60" i="3"/>
  <c r="AW309" i="6"/>
  <c r="AW312" i="6" s="1"/>
  <c r="AW316" i="6" s="1"/>
  <c r="AW307" i="6"/>
  <c r="AW308" i="6"/>
  <c r="AW278" i="6"/>
  <c r="AY56" i="3"/>
  <c r="AX277" i="6"/>
  <c r="AX279" i="6"/>
  <c r="AZ45" i="1"/>
  <c r="AZ44" i="1"/>
  <c r="AY3" i="3"/>
  <c r="AY29" i="1"/>
  <c r="AX90" i="6"/>
  <c r="AZ26" i="1"/>
  <c r="AZ34" i="3"/>
  <c r="AY80" i="1"/>
  <c r="AX16" i="1"/>
  <c r="AY54" i="3"/>
  <c r="AY67" i="3"/>
  <c r="AY82" i="1"/>
  <c r="AY83" i="1"/>
  <c r="AY85" i="1"/>
  <c r="AY88" i="1"/>
  <c r="AY89" i="1"/>
  <c r="AZ29" i="3"/>
  <c r="AZ30" i="3"/>
  <c r="AZ32" i="3"/>
  <c r="AZ33" i="3"/>
  <c r="AZ35" i="3"/>
  <c r="AZ27" i="1"/>
  <c r="AZ39" i="1"/>
  <c r="AZ40" i="1"/>
  <c r="AZ41" i="1"/>
  <c r="AZ42" i="1"/>
  <c r="AZ43" i="1"/>
  <c r="AX125" i="6" l="1"/>
  <c r="BG240" i="7"/>
  <c r="AY146" i="6"/>
  <c r="BA31" i="3"/>
  <c r="AY147" i="6"/>
  <c r="AY144" i="6" s="1"/>
  <c r="AY143" i="6"/>
  <c r="AY162" i="6"/>
  <c r="AZ64" i="3"/>
  <c r="AZ63" i="3"/>
  <c r="AX21" i="1"/>
  <c r="AZ60" i="3"/>
  <c r="AZ57" i="3"/>
  <c r="AZ163" i="6" s="1"/>
  <c r="AX307" i="6"/>
  <c r="AX308" i="6"/>
  <c r="AX309" i="6"/>
  <c r="AX312" i="6" s="1"/>
  <c r="AX316" i="6" s="1"/>
  <c r="AX278" i="6"/>
  <c r="AZ56" i="3"/>
  <c r="AY277" i="6"/>
  <c r="AY279" i="6"/>
  <c r="BA44" i="1"/>
  <c r="BA45" i="1"/>
  <c r="AZ3" i="3"/>
  <c r="AY90" i="6"/>
  <c r="AZ29" i="1"/>
  <c r="BA26" i="1"/>
  <c r="BA34" i="3"/>
  <c r="AZ80" i="1"/>
  <c r="AY16" i="1"/>
  <c r="BA43" i="1"/>
  <c r="BA42" i="1"/>
  <c r="BA41" i="1"/>
  <c r="BA40" i="1"/>
  <c r="BA39" i="1"/>
  <c r="BA27" i="1"/>
  <c r="BA35" i="3"/>
  <c r="BA33" i="3"/>
  <c r="BA32" i="3"/>
  <c r="BA30" i="3"/>
  <c r="BA29" i="3"/>
  <c r="AZ89" i="1"/>
  <c r="AZ88" i="1"/>
  <c r="AZ85" i="1"/>
  <c r="AZ83" i="1"/>
  <c r="AZ82" i="1"/>
  <c r="AZ67" i="3"/>
  <c r="AZ54" i="3"/>
  <c r="AY125" i="6" l="1"/>
  <c r="BH240" i="7"/>
  <c r="AZ146" i="6"/>
  <c r="BB31" i="3"/>
  <c r="AZ147" i="6"/>
  <c r="AZ144" i="6" s="1"/>
  <c r="AZ143" i="6"/>
  <c r="AZ162" i="6"/>
  <c r="BA64" i="3"/>
  <c r="BA63" i="3"/>
  <c r="AY21" i="1"/>
  <c r="BA57" i="3"/>
  <c r="BA163" i="6" s="1"/>
  <c r="BA60" i="3"/>
  <c r="AY309" i="6"/>
  <c r="AY312" i="6" s="1"/>
  <c r="AY316" i="6" s="1"/>
  <c r="AY307" i="6"/>
  <c r="AY308" i="6"/>
  <c r="AY278" i="6"/>
  <c r="AY289" i="6"/>
  <c r="BA56" i="3"/>
  <c r="AZ277" i="6"/>
  <c r="AZ279" i="6"/>
  <c r="BB45" i="1"/>
  <c r="BB44" i="1"/>
  <c r="BA3" i="3"/>
  <c r="BA29" i="1"/>
  <c r="AZ90" i="6"/>
  <c r="BB26" i="1"/>
  <c r="BB34" i="3"/>
  <c r="BA80" i="1"/>
  <c r="AZ16" i="1"/>
  <c r="BA54" i="3"/>
  <c r="BA67" i="3"/>
  <c r="BA82" i="1"/>
  <c r="BA83" i="1"/>
  <c r="BA85" i="1"/>
  <c r="BA88" i="1"/>
  <c r="BA89" i="1"/>
  <c r="BB29" i="3"/>
  <c r="BB30" i="3"/>
  <c r="BB32" i="3"/>
  <c r="BB33" i="3"/>
  <c r="BB35" i="3"/>
  <c r="BB27" i="1"/>
  <c r="BB39" i="1"/>
  <c r="BB40" i="1"/>
  <c r="BB41" i="1"/>
  <c r="BB42" i="1"/>
  <c r="BB43" i="1"/>
  <c r="AZ125" i="6" l="1"/>
  <c r="BI240" i="7"/>
  <c r="BA146" i="6"/>
  <c r="BA143" i="6" s="1"/>
  <c r="BA147" i="6"/>
  <c r="BA144" i="6" s="1"/>
  <c r="BA162" i="6"/>
  <c r="BB64" i="3"/>
  <c r="BB63" i="3"/>
  <c r="BB60" i="3"/>
  <c r="BB57" i="3"/>
  <c r="AZ309" i="6"/>
  <c r="AZ307" i="6"/>
  <c r="AZ308" i="6"/>
  <c r="AZ278" i="6"/>
  <c r="AZ289" i="6"/>
  <c r="BB56" i="3"/>
  <c r="BA277" i="6"/>
  <c r="BA279" i="6"/>
  <c r="BB3" i="3"/>
  <c r="BA90" i="6"/>
  <c r="BB29" i="1"/>
  <c r="AZ21" i="1"/>
  <c r="BB80" i="1"/>
  <c r="BA16" i="1"/>
  <c r="BB89" i="1"/>
  <c r="BB88" i="1"/>
  <c r="BB85" i="1"/>
  <c r="BB83" i="1"/>
  <c r="BB82" i="1"/>
  <c r="BB67" i="3"/>
  <c r="BB54" i="3"/>
  <c r="BA125" i="6" l="1"/>
  <c r="BJ240" i="7"/>
  <c r="BB146" i="6"/>
  <c r="BB147" i="6"/>
  <c r="BB144" i="6" s="1"/>
  <c r="BB143" i="6"/>
  <c r="BB163" i="6"/>
  <c r="S344" i="7" s="1"/>
  <c r="BB162" i="6"/>
  <c r="S341" i="7" s="1"/>
  <c r="BA307" i="6"/>
  <c r="BA308" i="6"/>
  <c r="BA309" i="6"/>
  <c r="BA278" i="6"/>
  <c r="BA289" i="6"/>
  <c r="BB277" i="6"/>
  <c r="BB279" i="6"/>
  <c r="BB16" i="1"/>
  <c r="BB21" i="1" s="1"/>
  <c r="BA21" i="1"/>
  <c r="BB90" i="6" l="1"/>
  <c r="BB307" i="6"/>
  <c r="BB309" i="6"/>
  <c r="BB308" i="6"/>
  <c r="BB278" i="6"/>
  <c r="BB289" i="6"/>
  <c r="BB125" i="6" l="1"/>
  <c r="BK240" i="7"/>
  <c r="N271" i="7" l="1"/>
  <c r="O271" i="7" l="1"/>
  <c r="P271" i="7" l="1"/>
  <c r="Q271" i="7" l="1"/>
  <c r="R271" i="7" l="1"/>
  <c r="S271" i="7" l="1"/>
  <c r="N264" i="7" l="1"/>
  <c r="G157" i="6" l="1"/>
  <c r="G282" i="6"/>
  <c r="G280" i="6"/>
  <c r="G166" i="6"/>
  <c r="G158" i="6"/>
  <c r="G167" i="6"/>
  <c r="G156" i="6"/>
  <c r="G281" i="6"/>
  <c r="G168" i="6" l="1"/>
  <c r="H166" i="6"/>
  <c r="H158" i="6"/>
  <c r="H280" i="6"/>
  <c r="H283" i="6" s="1"/>
  <c r="H287" i="6" s="1"/>
  <c r="H167" i="6"/>
  <c r="H282" i="6"/>
  <c r="H285" i="6" s="1"/>
  <c r="H289" i="6" s="1"/>
  <c r="H281" i="6"/>
  <c r="H284" i="6" s="1"/>
  <c r="H288" i="6" s="1"/>
  <c r="H157" i="6"/>
  <c r="H156" i="6"/>
  <c r="H168" i="6" l="1"/>
  <c r="N263" i="7"/>
  <c r="I166" i="6" l="1"/>
  <c r="I167" i="6"/>
  <c r="I158" i="6"/>
  <c r="N280" i="7" s="1"/>
  <c r="I281" i="6"/>
  <c r="I284" i="6" s="1"/>
  <c r="I288" i="6" s="1"/>
  <c r="I282" i="6"/>
  <c r="I285" i="6" s="1"/>
  <c r="I289" i="6" s="1"/>
  <c r="N317" i="7"/>
  <c r="I280" i="6"/>
  <c r="I283" i="6" s="1"/>
  <c r="I287" i="6" s="1"/>
  <c r="I156" i="6"/>
  <c r="N282" i="7" s="1"/>
  <c r="I157" i="6"/>
  <c r="N281" i="7" s="1"/>
  <c r="N286" i="7"/>
  <c r="J158" i="6"/>
  <c r="J167" i="6"/>
  <c r="J281" i="6"/>
  <c r="J284" i="6" s="1"/>
  <c r="J288" i="6" s="1"/>
  <c r="J280" i="6"/>
  <c r="J282" i="6"/>
  <c r="J156" i="6"/>
  <c r="J157" i="6"/>
  <c r="J166" i="6"/>
  <c r="J168" i="6" l="1"/>
  <c r="J285" i="6"/>
  <c r="J289" i="6" s="1"/>
  <c r="J283" i="6"/>
  <c r="J287" i="6" s="1"/>
  <c r="K281" i="6"/>
  <c r="K284" i="6" s="1"/>
  <c r="K288" i="6" s="1"/>
  <c r="K282" i="6"/>
  <c r="K285" i="6" s="1"/>
  <c r="K289" i="6" s="1"/>
  <c r="K156" i="6"/>
  <c r="K280" i="6"/>
  <c r="K283" i="6" s="1"/>
  <c r="K287" i="6" s="1"/>
  <c r="K157" i="6"/>
  <c r="K166" i="6"/>
  <c r="K167" i="6"/>
  <c r="K158" i="6"/>
  <c r="I168" i="6"/>
  <c r="N336" i="7" s="1"/>
  <c r="O264" i="7"/>
  <c r="K168" i="6" l="1"/>
  <c r="L167" i="6"/>
  <c r="L282" i="6"/>
  <c r="L285" i="6" s="1"/>
  <c r="L289" i="6" s="1"/>
  <c r="L166" i="6"/>
  <c r="L280" i="6"/>
  <c r="L283" i="6" s="1"/>
  <c r="L287" i="6" s="1"/>
  <c r="L156" i="6"/>
  <c r="L158" i="6"/>
  <c r="L157" i="6"/>
  <c r="L281" i="6"/>
  <c r="L284" i="6" s="1"/>
  <c r="L288" i="6" s="1"/>
  <c r="M280" i="6" l="1"/>
  <c r="M283" i="6" s="1"/>
  <c r="M287" i="6" s="1"/>
  <c r="M157" i="6"/>
  <c r="M156" i="6"/>
  <c r="M166" i="6"/>
  <c r="M158" i="6"/>
  <c r="M167" i="6"/>
  <c r="M281" i="6"/>
  <c r="M284" i="6" s="1"/>
  <c r="M288" i="6" s="1"/>
  <c r="M282" i="6"/>
  <c r="M285" i="6" s="1"/>
  <c r="M289" i="6" s="1"/>
  <c r="L168" i="6"/>
  <c r="M168" i="6" l="1"/>
  <c r="O263" i="7"/>
  <c r="O286" i="7" l="1"/>
  <c r="N157" i="6"/>
  <c r="O281" i="7" s="1"/>
  <c r="N167" i="6"/>
  <c r="N156" i="6"/>
  <c r="O282" i="7" s="1"/>
  <c r="N166" i="6"/>
  <c r="N168" i="6" s="1"/>
  <c r="O336" i="7" s="1"/>
  <c r="N282" i="6"/>
  <c r="N285" i="6" s="1"/>
  <c r="N289" i="6" s="1"/>
  <c r="N280" i="6"/>
  <c r="N283" i="6" s="1"/>
  <c r="N287" i="6" s="1"/>
  <c r="N281" i="6"/>
  <c r="N284" i="6" s="1"/>
  <c r="N288" i="6" s="1"/>
  <c r="O317" i="7"/>
  <c r="N158" i="6"/>
  <c r="O280" i="7" s="1"/>
  <c r="O281" i="6"/>
  <c r="O280" i="6"/>
  <c r="O158" i="6"/>
  <c r="O167" i="6"/>
  <c r="O282" i="6"/>
  <c r="O166" i="6"/>
  <c r="O156" i="6"/>
  <c r="O157" i="6"/>
  <c r="O284" i="6" l="1"/>
  <c r="O288" i="6" s="1"/>
  <c r="O283" i="6"/>
  <c r="O287" i="6" s="1"/>
  <c r="O168" i="6"/>
  <c r="O285" i="6"/>
  <c r="O289" i="6" s="1"/>
  <c r="P158" i="6"/>
  <c r="P281" i="6"/>
  <c r="P284" i="6" s="1"/>
  <c r="P288" i="6" s="1"/>
  <c r="P280" i="6"/>
  <c r="P283" i="6" s="1"/>
  <c r="P287" i="6" s="1"/>
  <c r="P156" i="6"/>
  <c r="P166" i="6"/>
  <c r="P167" i="6"/>
  <c r="P157" i="6"/>
  <c r="P282" i="6"/>
  <c r="P285" i="6" s="1"/>
  <c r="P289" i="6" s="1"/>
  <c r="Q158" i="6" l="1"/>
  <c r="Q281" i="6"/>
  <c r="Q284" i="6" s="1"/>
  <c r="Q288" i="6" s="1"/>
  <c r="Q280" i="6"/>
  <c r="Q283" i="6" s="1"/>
  <c r="Q287" i="6" s="1"/>
  <c r="Q166" i="6"/>
  <c r="Q156" i="6"/>
  <c r="Q157" i="6"/>
  <c r="Q282" i="6"/>
  <c r="Q285" i="6" s="1"/>
  <c r="Q289" i="6" s="1"/>
  <c r="Q167" i="6"/>
  <c r="P168" i="6"/>
  <c r="Q168" i="6" l="1"/>
  <c r="R156" i="6"/>
  <c r="R281" i="6"/>
  <c r="R284" i="6" s="1"/>
  <c r="R288" i="6" s="1"/>
  <c r="R157" i="6"/>
  <c r="R158" i="6"/>
  <c r="R282" i="6"/>
  <c r="R285" i="6" s="1"/>
  <c r="R289" i="6" s="1"/>
  <c r="R166" i="6"/>
  <c r="R280" i="6"/>
  <c r="R283" i="6" s="1"/>
  <c r="R287" i="6" s="1"/>
  <c r="R167" i="6"/>
  <c r="R168" i="6" l="1"/>
  <c r="S166" i="6"/>
  <c r="S158" i="6"/>
  <c r="S281" i="6"/>
  <c r="S284" i="6" s="1"/>
  <c r="S288" i="6" s="1"/>
  <c r="S167" i="6"/>
  <c r="S157" i="6"/>
  <c r="S156" i="6"/>
  <c r="S282" i="6"/>
  <c r="S285" i="6" s="1"/>
  <c r="S289" i="6" s="1"/>
  <c r="S280" i="6"/>
  <c r="S168" i="6" l="1"/>
  <c r="T167" i="6"/>
  <c r="T280" i="6"/>
  <c r="T166" i="6"/>
  <c r="T157" i="6"/>
  <c r="T282" i="6"/>
  <c r="T285" i="6" s="1"/>
  <c r="T289" i="6" s="1"/>
  <c r="T156" i="6"/>
  <c r="T281" i="6"/>
  <c r="T284" i="6" s="1"/>
  <c r="T288" i="6" s="1"/>
  <c r="T158" i="6"/>
  <c r="T168" i="6" l="1"/>
  <c r="U167" i="6"/>
  <c r="U166" i="6"/>
  <c r="U280" i="6"/>
  <c r="U282" i="6"/>
  <c r="U285" i="6" s="1"/>
  <c r="U289" i="6" s="1"/>
  <c r="U156" i="6"/>
  <c r="U281" i="6"/>
  <c r="U284" i="6" s="1"/>
  <c r="U288" i="6" s="1"/>
  <c r="U158" i="6"/>
  <c r="U157" i="6"/>
  <c r="P264" i="7"/>
  <c r="U168" i="6" l="1"/>
  <c r="V156" i="6"/>
  <c r="V281" i="6"/>
  <c r="V284" i="6" s="1"/>
  <c r="V288" i="6" s="1"/>
  <c r="V157" i="6"/>
  <c r="V166" i="6"/>
  <c r="V167" i="6"/>
  <c r="V280" i="6"/>
  <c r="V158" i="6"/>
  <c r="V282" i="6"/>
  <c r="V285" i="6" s="1"/>
  <c r="V289" i="6" s="1"/>
  <c r="V168" i="6" l="1"/>
  <c r="W280" i="6"/>
  <c r="W281" i="6"/>
  <c r="W284" i="6" s="1"/>
  <c r="W288" i="6" s="1"/>
  <c r="W166" i="6"/>
  <c r="W282" i="6"/>
  <c r="W285" i="6" s="1"/>
  <c r="W289" i="6" s="1"/>
  <c r="W156" i="6"/>
  <c r="W157" i="6"/>
  <c r="P317" i="7"/>
  <c r="W167" i="6"/>
  <c r="W158" i="6"/>
  <c r="W168" i="6" l="1"/>
  <c r="P336" i="7" s="1"/>
  <c r="P263" i="7"/>
  <c r="X281" i="6" l="1"/>
  <c r="X284" i="6" s="1"/>
  <c r="X288" i="6" s="1"/>
  <c r="X157" i="6"/>
  <c r="P281" i="7" s="1"/>
  <c r="X166" i="6"/>
  <c r="X158" i="6"/>
  <c r="P280" i="7" s="1"/>
  <c r="X280" i="6"/>
  <c r="X156" i="6"/>
  <c r="P282" i="7" s="1"/>
  <c r="P286" i="7"/>
  <c r="X282" i="6"/>
  <c r="X285" i="6" s="1"/>
  <c r="X289" i="6" s="1"/>
  <c r="X167" i="6"/>
  <c r="Y167" i="6"/>
  <c r="Y166" i="6"/>
  <c r="Y156" i="6"/>
  <c r="Y158" i="6"/>
  <c r="Y280" i="6"/>
  <c r="Y281" i="6"/>
  <c r="Y282" i="6"/>
  <c r="Y157" i="6"/>
  <c r="Y284" i="6" l="1"/>
  <c r="Y288" i="6" s="1"/>
  <c r="X168" i="6"/>
  <c r="Y285" i="6"/>
  <c r="Y289" i="6" s="1"/>
  <c r="Y168" i="6"/>
  <c r="Z167" i="6"/>
  <c r="Z157" i="6"/>
  <c r="Z156" i="6"/>
  <c r="Z281" i="6"/>
  <c r="Z284" i="6" s="1"/>
  <c r="Z288" i="6" s="1"/>
  <c r="Z166" i="6"/>
  <c r="Z158" i="6"/>
  <c r="Z280" i="6"/>
  <c r="Z282" i="6"/>
  <c r="Z285" i="6" s="1"/>
  <c r="Z289" i="6" s="1"/>
  <c r="Z168" i="6" l="1"/>
  <c r="AA282" i="6"/>
  <c r="AA285" i="6" s="1"/>
  <c r="AA289" i="6" s="1"/>
  <c r="AA167" i="6"/>
  <c r="AA156" i="6"/>
  <c r="AA281" i="6"/>
  <c r="AA284" i="6" s="1"/>
  <c r="AA288" i="6" s="1"/>
  <c r="AA166" i="6"/>
  <c r="AA168" i="6" s="1"/>
  <c r="AA157" i="6"/>
  <c r="AA280" i="6"/>
  <c r="AA158" i="6"/>
  <c r="AB158" i="6" l="1"/>
  <c r="AB280" i="6"/>
  <c r="AB282" i="6"/>
  <c r="AB285" i="6" s="1"/>
  <c r="AB289" i="6" s="1"/>
  <c r="AB167" i="6"/>
  <c r="AB166" i="6"/>
  <c r="AB156" i="6"/>
  <c r="AB281" i="6"/>
  <c r="AB157" i="6"/>
  <c r="AB168" i="6" l="1"/>
  <c r="AC157" i="6"/>
  <c r="AC280" i="6"/>
  <c r="AC167" i="6"/>
  <c r="AC156" i="6"/>
  <c r="AC281" i="6"/>
  <c r="AC158" i="6"/>
  <c r="AC166" i="6"/>
  <c r="AC282" i="6"/>
  <c r="AC285" i="6" s="1"/>
  <c r="AC289" i="6" s="1"/>
  <c r="AC168" i="6" l="1"/>
  <c r="AD156" i="6"/>
  <c r="AD167" i="6"/>
  <c r="AD158" i="6"/>
  <c r="AD280" i="6"/>
  <c r="AD166" i="6"/>
  <c r="AD157" i="6"/>
  <c r="AD281" i="6"/>
  <c r="AD282" i="6"/>
  <c r="AD285" i="6" s="1"/>
  <c r="AD289" i="6" s="1"/>
  <c r="AD168" i="6" l="1"/>
  <c r="AE156" i="6"/>
  <c r="AE281" i="6"/>
  <c r="AE157" i="6"/>
  <c r="AE280" i="6"/>
  <c r="AE166" i="6"/>
  <c r="AE158" i="6"/>
  <c r="AE282" i="6"/>
  <c r="AE285" i="6" s="1"/>
  <c r="AE289" i="6" s="1"/>
  <c r="AE167" i="6"/>
  <c r="Q264" i="7"/>
  <c r="AE168" i="6" l="1"/>
  <c r="AF280" i="6"/>
  <c r="AF281" i="6"/>
  <c r="AF157" i="6"/>
  <c r="AF158" i="6"/>
  <c r="AF166" i="6"/>
  <c r="AF282" i="6"/>
  <c r="AF285" i="6" s="1"/>
  <c r="AF289" i="6" s="1"/>
  <c r="AF156" i="6"/>
  <c r="AF167" i="6"/>
  <c r="AF168" i="6" l="1"/>
  <c r="AG167" i="6"/>
  <c r="AG166" i="6"/>
  <c r="AG282" i="6"/>
  <c r="AG285" i="6" s="1"/>
  <c r="AG289" i="6" s="1"/>
  <c r="AG280" i="6"/>
  <c r="AG157" i="6"/>
  <c r="AG156" i="6"/>
  <c r="AG158" i="6"/>
  <c r="AG281" i="6"/>
  <c r="AG168" i="6" l="1"/>
  <c r="Q263" i="7"/>
  <c r="AH282" i="6" l="1"/>
  <c r="AH285" i="6" s="1"/>
  <c r="AH289" i="6" s="1"/>
  <c r="Q286" i="7"/>
  <c r="AH158" i="6"/>
  <c r="Q280" i="7" s="1"/>
  <c r="AH157" i="6"/>
  <c r="Q281" i="7" s="1"/>
  <c r="AH281" i="6"/>
  <c r="Q317" i="7"/>
  <c r="AH167" i="6"/>
  <c r="AH280" i="6"/>
  <c r="AH166" i="6"/>
  <c r="AH156" i="6"/>
  <c r="Q282" i="7" s="1"/>
  <c r="AI282" i="6"/>
  <c r="AI156" i="6"/>
  <c r="AI167" i="6"/>
  <c r="AI158" i="6"/>
  <c r="AI157" i="6"/>
  <c r="AI280" i="6"/>
  <c r="AI166" i="6"/>
  <c r="AI281" i="6"/>
  <c r="AI285" i="6" l="1"/>
  <c r="AI289" i="6" s="1"/>
  <c r="AI168" i="6"/>
  <c r="AJ282" i="6"/>
  <c r="AJ285" i="6" s="1"/>
  <c r="AJ289" i="6" s="1"/>
  <c r="AJ281" i="6"/>
  <c r="AJ156" i="6"/>
  <c r="AJ158" i="6"/>
  <c r="AJ280" i="6"/>
  <c r="AJ167" i="6"/>
  <c r="AJ157" i="6"/>
  <c r="AJ166" i="6"/>
  <c r="AH168" i="6"/>
  <c r="Q336" i="7" s="1"/>
  <c r="AJ168" i="6" l="1"/>
  <c r="AK158" i="6"/>
  <c r="AK167" i="6"/>
  <c r="AK282" i="6"/>
  <c r="AK285" i="6" s="1"/>
  <c r="AK289" i="6" s="1"/>
  <c r="AK281" i="6"/>
  <c r="AK156" i="6"/>
  <c r="AK280" i="6"/>
  <c r="AK157" i="6"/>
  <c r="AK166" i="6"/>
  <c r="AL166" i="6" l="1"/>
  <c r="AL281" i="6"/>
  <c r="AL156" i="6"/>
  <c r="AL167" i="6"/>
  <c r="AL282" i="6"/>
  <c r="AL285" i="6" s="1"/>
  <c r="AL289" i="6" s="1"/>
  <c r="AL158" i="6"/>
  <c r="AL157" i="6"/>
  <c r="AL280" i="6"/>
  <c r="AK168" i="6"/>
  <c r="AM158" i="6" l="1"/>
  <c r="AM282" i="6"/>
  <c r="AM285" i="6" s="1"/>
  <c r="AM289" i="6" s="1"/>
  <c r="AM157" i="6"/>
  <c r="AM166" i="6"/>
  <c r="AM281" i="6"/>
  <c r="AM167" i="6"/>
  <c r="AM156" i="6"/>
  <c r="AM280" i="6"/>
  <c r="AL168" i="6"/>
  <c r="AM168" i="6" l="1"/>
  <c r="AN156" i="6"/>
  <c r="AN280" i="6"/>
  <c r="AN166" i="6"/>
  <c r="AN157" i="6"/>
  <c r="AN158" i="6"/>
  <c r="AN167" i="6"/>
  <c r="AN282" i="6"/>
  <c r="AN285" i="6" s="1"/>
  <c r="AN289" i="6" s="1"/>
  <c r="AN281" i="6"/>
  <c r="G285" i="6"/>
  <c r="G289" i="6" s="1"/>
  <c r="G284" i="6"/>
  <c r="G288" i="6" s="1"/>
  <c r="G283" i="6"/>
  <c r="G287" i="6" s="1"/>
  <c r="AN168" i="6" l="1"/>
  <c r="AO167" i="6"/>
  <c r="AO157" i="6"/>
  <c r="AO156" i="6"/>
  <c r="AO281" i="6"/>
  <c r="AO280" i="6"/>
  <c r="AO166" i="6"/>
  <c r="AO282" i="6"/>
  <c r="AO285" i="6" s="1"/>
  <c r="AO289" i="6" s="1"/>
  <c r="AO158" i="6"/>
  <c r="R264" i="7"/>
  <c r="AO168" i="6" l="1"/>
  <c r="AP167" i="6"/>
  <c r="AP158" i="6"/>
  <c r="AP282" i="6"/>
  <c r="AP285" i="6" s="1"/>
  <c r="AP289" i="6" s="1"/>
  <c r="AP157" i="6"/>
  <c r="AP166" i="6"/>
  <c r="AP168" i="6" s="1"/>
  <c r="AP156" i="6"/>
  <c r="AP280" i="6"/>
  <c r="AP281" i="6"/>
  <c r="N272" i="7"/>
  <c r="AQ157" i="6" l="1"/>
  <c r="AQ280" i="6"/>
  <c r="AQ158" i="6"/>
  <c r="AQ156" i="6"/>
  <c r="AQ166" i="6"/>
  <c r="AQ281" i="6"/>
  <c r="AQ167" i="6"/>
  <c r="AQ282" i="6"/>
  <c r="AQ285" i="6" s="1"/>
  <c r="AQ289" i="6" s="1"/>
  <c r="AQ168" i="6" l="1"/>
  <c r="R263" i="7"/>
  <c r="AR281" i="6" l="1"/>
  <c r="AR166" i="6"/>
  <c r="AR157" i="6"/>
  <c r="R281" i="7" s="1"/>
  <c r="AR156" i="6"/>
  <c r="R282" i="7" s="1"/>
  <c r="AR158" i="6"/>
  <c r="R280" i="7" s="1"/>
  <c r="R286" i="7"/>
  <c r="AR280" i="6"/>
  <c r="AR282" i="6"/>
  <c r="AR285" i="6" s="1"/>
  <c r="AR289" i="6" s="1"/>
  <c r="AR167" i="6"/>
  <c r="R317" i="7"/>
  <c r="AS166" i="6"/>
  <c r="AS158" i="6"/>
  <c r="AS167" i="6"/>
  <c r="AS280" i="6"/>
  <c r="AS156" i="6"/>
  <c r="AS157" i="6"/>
  <c r="AS281" i="6"/>
  <c r="AS282" i="6"/>
  <c r="AS168" i="6" l="1"/>
  <c r="AS285" i="6"/>
  <c r="AS289" i="6" s="1"/>
  <c r="AT158" i="6"/>
  <c r="AT156" i="6"/>
  <c r="AT281" i="6"/>
  <c r="AT157" i="6"/>
  <c r="AT280" i="6"/>
  <c r="AT167" i="6"/>
  <c r="AT282" i="6"/>
  <c r="AT285" i="6" s="1"/>
  <c r="AT289" i="6" s="1"/>
  <c r="AT166" i="6"/>
  <c r="AR168" i="6"/>
  <c r="R336" i="7" s="1"/>
  <c r="AT168" i="6" l="1"/>
  <c r="AU157" i="6"/>
  <c r="AU281" i="6"/>
  <c r="AU280" i="6"/>
  <c r="AU156" i="6"/>
  <c r="AU158" i="6"/>
  <c r="AU166" i="6"/>
  <c r="AU282" i="6"/>
  <c r="AU285" i="6" s="1"/>
  <c r="AU289" i="6" s="1"/>
  <c r="AU167" i="6"/>
  <c r="O272" i="7"/>
  <c r="AU168" i="6" l="1"/>
  <c r="AV158" i="6"/>
  <c r="AV166" i="6"/>
  <c r="AV167" i="6"/>
  <c r="AV281" i="6"/>
  <c r="AV282" i="6"/>
  <c r="AV285" i="6" s="1"/>
  <c r="AV289" i="6" s="1"/>
  <c r="AV156" i="6"/>
  <c r="AV280" i="6"/>
  <c r="AV157" i="6"/>
  <c r="AV168" i="6" l="1"/>
  <c r="AW166" i="6"/>
  <c r="AW158" i="6"/>
  <c r="AW281" i="6"/>
  <c r="AW157" i="6"/>
  <c r="AW167" i="6"/>
  <c r="AW282" i="6"/>
  <c r="AW285" i="6" s="1"/>
  <c r="AW289" i="6" s="1"/>
  <c r="AW280" i="6"/>
  <c r="AW156" i="6"/>
  <c r="AW168" i="6" l="1"/>
  <c r="AX156" i="6"/>
  <c r="AX281" i="6"/>
  <c r="AX167" i="6"/>
  <c r="AX280" i="6"/>
  <c r="AX282" i="6"/>
  <c r="AX285" i="6" s="1"/>
  <c r="AX289" i="6" s="1"/>
  <c r="AX166" i="6"/>
  <c r="AX157" i="6"/>
  <c r="AX158" i="6"/>
  <c r="AX168" i="6" l="1"/>
  <c r="AY156" i="6"/>
  <c r="AY166" i="6"/>
  <c r="AY167" i="6"/>
  <c r="AY282" i="6"/>
  <c r="AY280" i="6"/>
  <c r="AY281" i="6"/>
  <c r="AY157" i="6"/>
  <c r="AY158" i="6"/>
  <c r="S264" i="7"/>
  <c r="AY168" i="6" l="1"/>
  <c r="AZ156" i="6"/>
  <c r="AZ166" i="6"/>
  <c r="AZ157" i="6"/>
  <c r="AZ158" i="6"/>
  <c r="AZ167" i="6"/>
  <c r="AZ281" i="6"/>
  <c r="AZ280" i="6"/>
  <c r="AZ282" i="6"/>
  <c r="AZ168" i="6" l="1"/>
  <c r="BA167" i="6"/>
  <c r="BA156" i="6"/>
  <c r="BA158" i="6"/>
  <c r="BA282" i="6"/>
  <c r="BA166" i="6"/>
  <c r="BA281" i="6"/>
  <c r="BA280" i="6"/>
  <c r="BA157" i="6"/>
  <c r="S263" i="7" l="1"/>
  <c r="BA168" i="6"/>
  <c r="BB166" i="6" l="1"/>
  <c r="BB281" i="6"/>
  <c r="BB158" i="6"/>
  <c r="S280" i="7" s="1"/>
  <c r="BB157" i="6"/>
  <c r="S281" i="7" s="1"/>
  <c r="BB156" i="6"/>
  <c r="S282" i="7" s="1"/>
  <c r="BB167" i="6"/>
  <c r="BB168" i="6" s="1"/>
  <c r="S336" i="7" s="1"/>
  <c r="S317" i="7"/>
  <c r="BB280" i="6"/>
  <c r="S286" i="7"/>
  <c r="BB282" i="6"/>
  <c r="P272" i="7" l="1"/>
  <c r="Q272" i="7" l="1"/>
  <c r="R272" i="7" l="1"/>
  <c r="S272" i="7" l="1"/>
  <c r="AS95" i="6"/>
  <c r="AR95" i="6"/>
  <c r="AK93" i="6"/>
  <c r="AL91" i="6"/>
  <c r="AC93" i="6"/>
  <c r="AB93" i="6"/>
  <c r="AJ92" i="6"/>
  <c r="AS92" i="6"/>
  <c r="L91" i="6"/>
  <c r="M99" i="6"/>
  <c r="T91" i="6"/>
  <c r="AJ93" i="6"/>
  <c r="AN88" i="6"/>
  <c r="AC92" i="6"/>
  <c r="V91" i="6"/>
  <c r="AZ98" i="6"/>
  <c r="AR91" i="6"/>
  <c r="AK92" i="6"/>
  <c r="AF95" i="6"/>
  <c r="AB92" i="6"/>
  <c r="AS91" i="6"/>
  <c r="BB91" i="6"/>
  <c r="AJ95" i="6"/>
  <c r="AO88" i="6"/>
  <c r="AL93" i="6"/>
  <c r="V93" i="6"/>
  <c r="Z88" i="6"/>
  <c r="AK97" i="6"/>
  <c r="X88" i="6"/>
  <c r="U98" i="6"/>
  <c r="BB92" i="6"/>
  <c r="U92" i="6"/>
  <c r="N93" i="6"/>
  <c r="U99" i="6"/>
  <c r="AP88" i="6"/>
  <c r="U91" i="6"/>
  <c r="AC91" i="6"/>
  <c r="U95" i="6"/>
  <c r="L93" i="6"/>
  <c r="M91" i="6"/>
  <c r="N92" i="6"/>
  <c r="L92" i="6"/>
  <c r="AC97" i="6"/>
  <c r="AK98" i="6"/>
  <c r="U97" i="6"/>
  <c r="AB98" i="6"/>
  <c r="AL97" i="6"/>
  <c r="AT92" i="6"/>
  <c r="T98" i="6"/>
  <c r="P88" i="6"/>
  <c r="M97" i="6"/>
  <c r="H90" i="6"/>
  <c r="AF88" i="6"/>
  <c r="AV88" i="6"/>
  <c r="T99" i="6"/>
  <c r="T95" i="6"/>
  <c r="AZ99" i="6"/>
  <c r="AL92" i="6"/>
  <c r="AX88" i="6"/>
  <c r="AC98" i="6"/>
  <c r="AF99" i="6"/>
  <c r="P93" i="6"/>
  <c r="X91" i="6"/>
  <c r="AZ93" i="6"/>
  <c r="AD93" i="6"/>
  <c r="AF93" i="6"/>
  <c r="AK99" i="6"/>
  <c r="BB98" i="6"/>
  <c r="AV97" i="6"/>
  <c r="AK95" i="6"/>
  <c r="AB97" i="6"/>
  <c r="V95" i="6"/>
  <c r="I92" i="6"/>
  <c r="AJ88" i="6"/>
  <c r="AT98" i="6"/>
  <c r="T92" i="6"/>
  <c r="AH88" i="6"/>
  <c r="AF92" i="6"/>
  <c r="AN99" i="6"/>
  <c r="BA91" i="6"/>
  <c r="H98" i="6"/>
  <c r="X97" i="6"/>
  <c r="AV93" i="6"/>
  <c r="BB99" i="6"/>
  <c r="R88" i="6"/>
  <c r="X98" i="6"/>
  <c r="X99" i="6"/>
  <c r="Y88" i="6"/>
  <c r="I88" i="6"/>
  <c r="AX93" i="6"/>
  <c r="AX91" i="6"/>
  <c r="Q95" i="6"/>
  <c r="AK88" i="6"/>
  <c r="AL95" i="6"/>
  <c r="L95" i="6"/>
  <c r="AA91" i="6"/>
  <c r="AD98" i="6"/>
  <c r="AD99" i="6"/>
  <c r="Q92" i="6"/>
  <c r="H97" i="6"/>
  <c r="Q91" i="6"/>
  <c r="AZ88" i="6"/>
  <c r="AV91" i="6"/>
  <c r="BA98" i="6"/>
  <c r="U93" i="6"/>
  <c r="I90" i="6"/>
  <c r="AD91" i="6"/>
  <c r="AV95" i="6"/>
  <c r="BB88" i="6"/>
  <c r="I97" i="6"/>
  <c r="J90" i="6"/>
  <c r="X95" i="6"/>
  <c r="M88" i="6"/>
  <c r="AL98" i="6"/>
  <c r="AD92" i="6"/>
  <c r="P97" i="6"/>
  <c r="AD97" i="6"/>
  <c r="N97" i="6"/>
  <c r="U88" i="6"/>
  <c r="AB88" i="6"/>
  <c r="P91" i="6"/>
  <c r="AW88" i="6"/>
  <c r="AF98" i="6"/>
  <c r="V99" i="6"/>
  <c r="AS98" i="6"/>
  <c r="AL99" i="6"/>
  <c r="AV98" i="6"/>
  <c r="AS88" i="6"/>
  <c r="AF91" i="6"/>
  <c r="AT91" i="6"/>
  <c r="BB97" i="6"/>
  <c r="AN95" i="6"/>
  <c r="H93" i="6"/>
  <c r="BA88" i="6"/>
  <c r="J95" i="6"/>
  <c r="X93" i="6"/>
  <c r="K92" i="6"/>
  <c r="V97" i="6"/>
  <c r="BA95" i="6"/>
  <c r="AA97" i="6"/>
  <c r="J91" i="6"/>
  <c r="Z91" i="6"/>
  <c r="AG97" i="6"/>
  <c r="AN97" i="6"/>
  <c r="I93" i="6"/>
  <c r="AO93" i="6"/>
  <c r="Z98" i="6"/>
  <c r="N95" i="6"/>
  <c r="P92" i="6"/>
  <c r="AG95" i="6"/>
  <c r="J99" i="6"/>
  <c r="Y91" i="6"/>
  <c r="Z95" i="6"/>
  <c r="Z97" i="6"/>
  <c r="S97" i="6"/>
  <c r="AL88" i="6"/>
  <c r="R98" i="6"/>
  <c r="AP93" i="6"/>
  <c r="N99" i="6"/>
  <c r="AT88" i="6"/>
  <c r="AO92" i="6"/>
  <c r="AT97" i="6"/>
  <c r="Q97" i="6"/>
  <c r="AO95" i="6"/>
  <c r="P99" i="6"/>
  <c r="P98" i="6"/>
  <c r="AR88" i="6"/>
  <c r="AE88" i="6"/>
  <c r="AO97" i="6"/>
  <c r="AX95" i="6"/>
  <c r="AN93" i="6"/>
  <c r="AH93" i="6"/>
  <c r="AW92" i="6"/>
  <c r="J97" i="6"/>
  <c r="AH99" i="6"/>
  <c r="J92" i="6"/>
  <c r="Y97" i="6"/>
  <c r="I95" i="6"/>
  <c r="I98" i="6"/>
  <c r="AH97" i="6"/>
  <c r="AP92" i="6"/>
  <c r="Y95" i="6"/>
  <c r="AX99" i="6"/>
  <c r="AG92" i="6"/>
  <c r="AX97" i="6"/>
  <c r="AP95" i="6"/>
  <c r="Y99" i="6"/>
  <c r="J98" i="6"/>
  <c r="Z92" i="6"/>
  <c r="I99" i="6"/>
  <c r="AA93" i="6"/>
  <c r="AX98" i="6"/>
  <c r="O98" i="6"/>
  <c r="AE93" i="6"/>
  <c r="AI99" i="6"/>
  <c r="AA92" i="6"/>
  <c r="G91" i="6"/>
  <c r="P241" i="7" s="1"/>
  <c r="G95" i="6"/>
  <c r="P245" i="7" s="1"/>
  <c r="AE97" i="6"/>
  <c r="G99" i="6"/>
  <c r="P249" i="7" s="1"/>
  <c r="S95" i="6"/>
  <c r="G93" i="6"/>
  <c r="P243" i="7" s="1"/>
  <c r="Z93" i="6"/>
  <c r="R95" i="6"/>
  <c r="Q98" i="6"/>
  <c r="AW95" i="6"/>
  <c r="S98" i="6"/>
  <c r="AW98" i="6"/>
  <c r="K99" i="6"/>
  <c r="AE91" i="6"/>
  <c r="AY97" i="6"/>
  <c r="AO98" i="6"/>
  <c r="AA88" i="6"/>
  <c r="AQ97" i="6"/>
  <c r="AM93" i="6"/>
  <c r="R99" i="6"/>
  <c r="K91" i="6"/>
  <c r="AY95" i="6"/>
  <c r="AM99" i="6"/>
  <c r="AU92" i="6"/>
  <c r="AH91" i="6"/>
  <c r="AI91" i="6"/>
  <c r="AY99" i="6"/>
  <c r="G89" i="6"/>
  <c r="P239" i="7" s="1"/>
  <c r="AQ95" i="6"/>
  <c r="G90" i="6"/>
  <c r="P240" i="7" s="1"/>
  <c r="AP98" i="6"/>
  <c r="X92" i="6"/>
  <c r="K93" i="6"/>
  <c r="AU98" i="6"/>
  <c r="W98" i="6"/>
  <c r="K88" i="6"/>
  <c r="K98" i="6"/>
  <c r="O88" i="6"/>
  <c r="W95" i="6"/>
  <c r="AI95" i="6"/>
  <c r="AQ92" i="6"/>
  <c r="AM88" i="6"/>
  <c r="V87" i="6"/>
  <c r="W93" i="6"/>
  <c r="AC87" i="6"/>
  <c r="AE98" i="6"/>
  <c r="AU97" i="6"/>
  <c r="Y87" i="6"/>
  <c r="AI98" i="6"/>
  <c r="AO87" i="6"/>
  <c r="Z87" i="6"/>
  <c r="S88" i="6"/>
  <c r="I87" i="6"/>
  <c r="R237" i="7" s="1"/>
  <c r="G94" i="6"/>
  <c r="P244" i="7" s="1"/>
  <c r="AG87" i="6"/>
  <c r="AY87" i="6"/>
  <c r="N87" i="6"/>
  <c r="W237" i="7" s="1"/>
  <c r="AU93" i="6"/>
  <c r="H88" i="6"/>
  <c r="O91" i="6"/>
  <c r="AY98" i="6"/>
  <c r="H87" i="6"/>
  <c r="AI88" i="6"/>
  <c r="AU99" i="6"/>
  <c r="AZ87" i="6"/>
  <c r="AM98" i="6"/>
  <c r="S93" i="6"/>
  <c r="O95" i="6"/>
  <c r="AN87" i="6"/>
  <c r="AY88" i="6"/>
  <c r="AU88" i="6"/>
  <c r="BA87" i="6"/>
  <c r="S87" i="6"/>
  <c r="G87" i="6"/>
  <c r="P237" i="7" s="1"/>
  <c r="AU87" i="6"/>
  <c r="K97" i="6"/>
  <c r="AQ91" i="6"/>
  <c r="AQ99" i="6"/>
  <c r="AW87" i="6"/>
  <c r="AV87" i="6"/>
  <c r="K95" i="6"/>
  <c r="AB87" i="6"/>
  <c r="AM95" i="6"/>
  <c r="AE92" i="6"/>
  <c r="M87" i="6"/>
  <c r="O93" i="6"/>
  <c r="W87" i="6"/>
  <c r="G92" i="6"/>
  <c r="P242" i="7" s="1"/>
  <c r="AE87" i="6"/>
  <c r="K87" i="6"/>
  <c r="AJ87" i="6"/>
  <c r="AY91" i="6"/>
  <c r="P87" i="6"/>
  <c r="AM87" i="6"/>
  <c r="AL87" i="6"/>
  <c r="L87" i="6"/>
  <c r="X87" i="6"/>
  <c r="AG237" i="7" s="1"/>
  <c r="T87" i="6"/>
  <c r="AI93" i="6"/>
  <c r="G88" i="6"/>
  <c r="P238" i="7" s="1"/>
  <c r="AS87" i="6"/>
  <c r="AP133" i="6" l="1"/>
  <c r="AY248" i="7"/>
  <c r="Y126" i="6"/>
  <c r="AH241" i="7"/>
  <c r="AB123" i="6"/>
  <c r="AK238" i="7"/>
  <c r="Q127" i="6"/>
  <c r="Z242" i="7"/>
  <c r="P123" i="6"/>
  <c r="Y238" i="7"/>
  <c r="G127" i="6"/>
  <c r="AY134" i="6"/>
  <c r="BH249" i="7"/>
  <c r="I133" i="6"/>
  <c r="R248" i="7"/>
  <c r="K122" i="6"/>
  <c r="T237" i="7"/>
  <c r="H123" i="6"/>
  <c r="Q238" i="7"/>
  <c r="S123" i="6"/>
  <c r="AB238" i="7"/>
  <c r="AQ127" i="6"/>
  <c r="AZ242" i="7"/>
  <c r="W133" i="6"/>
  <c r="AF248" i="7"/>
  <c r="AH126" i="6"/>
  <c r="AQ241" i="7"/>
  <c r="K134" i="6"/>
  <c r="T249" i="7"/>
  <c r="AI134" i="6"/>
  <c r="AR249" i="7"/>
  <c r="I134" i="6"/>
  <c r="R249" i="7"/>
  <c r="AP127" i="6"/>
  <c r="AY242" i="7"/>
  <c r="R133" i="6"/>
  <c r="AA248" i="7"/>
  <c r="BA123" i="6"/>
  <c r="BJ238" i="7"/>
  <c r="AS123" i="6"/>
  <c r="BB238" i="7"/>
  <c r="I123" i="6"/>
  <c r="R238" i="7"/>
  <c r="BB134" i="6"/>
  <c r="BK249" i="7"/>
  <c r="AF127" i="6"/>
  <c r="AO242" i="7"/>
  <c r="L127" i="6"/>
  <c r="U242" i="7"/>
  <c r="Z123" i="6"/>
  <c r="AI238" i="7"/>
  <c r="AN123" i="6"/>
  <c r="AW238" i="7"/>
  <c r="AL126" i="6"/>
  <c r="AU241" i="7"/>
  <c r="AB122" i="6"/>
  <c r="AK237" i="7"/>
  <c r="AW133" i="6"/>
  <c r="BF248" i="7"/>
  <c r="AL123" i="6"/>
  <c r="AU238" i="7"/>
  <c r="T126" i="6"/>
  <c r="AC241" i="7"/>
  <c r="AV122" i="6"/>
  <c r="BE237" i="7"/>
  <c r="S122" i="6"/>
  <c r="AB237" i="7"/>
  <c r="AU134" i="6"/>
  <c r="BD249" i="7"/>
  <c r="AY122" i="6"/>
  <c r="BH237" i="7"/>
  <c r="AO122" i="6"/>
  <c r="AX237" i="7"/>
  <c r="O123" i="6"/>
  <c r="X238" i="7"/>
  <c r="AM134" i="6"/>
  <c r="AV249" i="7"/>
  <c r="AA123" i="6"/>
  <c r="AJ238" i="7"/>
  <c r="G134" i="6"/>
  <c r="Z127" i="6"/>
  <c r="AI242" i="7"/>
  <c r="AR123" i="6"/>
  <c r="BA238" i="7"/>
  <c r="AO127" i="6"/>
  <c r="AX242" i="7"/>
  <c r="AS133" i="6"/>
  <c r="BB248" i="7"/>
  <c r="U123" i="6"/>
  <c r="AD238" i="7"/>
  <c r="M123" i="6"/>
  <c r="V238" i="7"/>
  <c r="AD134" i="6"/>
  <c r="AM249" i="7"/>
  <c r="AK123" i="6"/>
  <c r="AT238" i="7"/>
  <c r="Y123" i="6"/>
  <c r="AH238" i="7"/>
  <c r="AZ134" i="6"/>
  <c r="BI249" i="7"/>
  <c r="AF123" i="6"/>
  <c r="AO238" i="7"/>
  <c r="AT127" i="6"/>
  <c r="BC242" i="7"/>
  <c r="AK133" i="6"/>
  <c r="AT248" i="7"/>
  <c r="AO123" i="6"/>
  <c r="AX238" i="7"/>
  <c r="AE122" i="6"/>
  <c r="AN237" i="7"/>
  <c r="AZ122" i="6"/>
  <c r="BI237" i="7"/>
  <c r="AV133" i="6"/>
  <c r="BE248" i="7"/>
  <c r="N127" i="6"/>
  <c r="W242" i="7"/>
  <c r="AC122" i="6"/>
  <c r="AL237" i="7"/>
  <c r="AU127" i="6"/>
  <c r="BD242" i="7"/>
  <c r="T133" i="6"/>
  <c r="AC248" i="7"/>
  <c r="BB127" i="6"/>
  <c r="BK242" i="7"/>
  <c r="W122" i="6"/>
  <c r="AF237" i="7"/>
  <c r="AN122" i="6"/>
  <c r="AW237" i="7"/>
  <c r="AI123" i="6"/>
  <c r="AR238" i="7"/>
  <c r="AG122" i="6"/>
  <c r="AP237" i="7"/>
  <c r="AI126" i="6"/>
  <c r="AR241" i="7"/>
  <c r="AO133" i="6"/>
  <c r="AX248" i="7"/>
  <c r="S133" i="6"/>
  <c r="AB248" i="7"/>
  <c r="AT123" i="6"/>
  <c r="BC238" i="7"/>
  <c r="P127" i="6"/>
  <c r="Y242" i="7"/>
  <c r="Z126" i="6"/>
  <c r="AI241" i="7"/>
  <c r="V134" i="6"/>
  <c r="AE249" i="7"/>
  <c r="BA133" i="6"/>
  <c r="BJ248" i="7"/>
  <c r="AD133" i="6"/>
  <c r="AM248" i="7"/>
  <c r="H133" i="6"/>
  <c r="Q248" i="7"/>
  <c r="AT133" i="6"/>
  <c r="BC248" i="7"/>
  <c r="BB133" i="6"/>
  <c r="BK248" i="7"/>
  <c r="AF134" i="6"/>
  <c r="AO249" i="7"/>
  <c r="U133" i="6"/>
  <c r="AD248" i="7"/>
  <c r="AR126" i="6"/>
  <c r="BA241" i="7"/>
  <c r="M134" i="6"/>
  <c r="V249" i="7"/>
  <c r="AJ127" i="6"/>
  <c r="AS242" i="7"/>
  <c r="Z122" i="6"/>
  <c r="AI237" i="7"/>
  <c r="K127" i="6"/>
  <c r="T242" i="7"/>
  <c r="AH123" i="6"/>
  <c r="AQ238" i="7"/>
  <c r="AE123" i="6"/>
  <c r="AN238" i="7"/>
  <c r="AL133" i="6"/>
  <c r="AU248" i="7"/>
  <c r="AK127" i="6"/>
  <c r="AT242" i="7"/>
  <c r="L122" i="6"/>
  <c r="U237" i="7"/>
  <c r="AY126" i="6"/>
  <c r="BH241" i="7"/>
  <c r="AW122" i="6"/>
  <c r="BF237" i="7"/>
  <c r="BA122" i="6"/>
  <c r="BJ237" i="7"/>
  <c r="H122" i="6"/>
  <c r="Q237" i="7"/>
  <c r="AI133" i="6"/>
  <c r="AR248" i="7"/>
  <c r="K133" i="6"/>
  <c r="T248" i="7"/>
  <c r="AU133" i="6"/>
  <c r="BD248" i="7"/>
  <c r="K126" i="6"/>
  <c r="T241" i="7"/>
  <c r="J133" i="6"/>
  <c r="S248" i="7"/>
  <c r="P133" i="6"/>
  <c r="Y248" i="7"/>
  <c r="J126" i="6"/>
  <c r="S241" i="7"/>
  <c r="AF133" i="6"/>
  <c r="AO248" i="7"/>
  <c r="BB123" i="6"/>
  <c r="BK238" i="7"/>
  <c r="AV126" i="6"/>
  <c r="BE241" i="7"/>
  <c r="AA126" i="6"/>
  <c r="AJ241" i="7"/>
  <c r="AX126" i="6"/>
  <c r="BG241" i="7"/>
  <c r="X134" i="6"/>
  <c r="AG249" i="7"/>
  <c r="BA126" i="6"/>
  <c r="BJ241" i="7"/>
  <c r="AK134" i="6"/>
  <c r="AT249" i="7"/>
  <c r="AB133" i="6"/>
  <c r="AK248" i="7"/>
  <c r="U134" i="6"/>
  <c r="AD249" i="7"/>
  <c r="BB126" i="6"/>
  <c r="BK241" i="7"/>
  <c r="AZ133" i="6"/>
  <c r="BI248" i="7"/>
  <c r="L126" i="6"/>
  <c r="U241" i="7"/>
  <c r="AU122" i="6"/>
  <c r="BD237" i="7"/>
  <c r="AE133" i="6"/>
  <c r="AN248" i="7"/>
  <c r="AD127" i="6"/>
  <c r="AM242" i="7"/>
  <c r="AV123" i="6"/>
  <c r="BE238" i="7"/>
  <c r="G122" i="6"/>
  <c r="AG127" i="6"/>
  <c r="AP242" i="7"/>
  <c r="AL134" i="6"/>
  <c r="AU249" i="7"/>
  <c r="T127" i="6"/>
  <c r="AC242" i="7"/>
  <c r="T122" i="6"/>
  <c r="AC237" i="7"/>
  <c r="AS122" i="6"/>
  <c r="BB237" i="7"/>
  <c r="M122" i="6"/>
  <c r="V237" i="7"/>
  <c r="AQ134" i="6"/>
  <c r="AZ249" i="7"/>
  <c r="AU123" i="6"/>
  <c r="BD238" i="7"/>
  <c r="AY133" i="6"/>
  <c r="BH248" i="7"/>
  <c r="G129" i="6"/>
  <c r="V122" i="6"/>
  <c r="AE237" i="7"/>
  <c r="R134" i="6"/>
  <c r="AA249" i="7"/>
  <c r="Q133" i="6"/>
  <c r="Z248" i="7"/>
  <c r="G126" i="6"/>
  <c r="AX133" i="6"/>
  <c r="BG248" i="7"/>
  <c r="AX134" i="6"/>
  <c r="BG249" i="7"/>
  <c r="J127" i="6"/>
  <c r="S242" i="7"/>
  <c r="N134" i="6"/>
  <c r="W249" i="7"/>
  <c r="AT126" i="6"/>
  <c r="BC241" i="7"/>
  <c r="AW123" i="6"/>
  <c r="BF238" i="7"/>
  <c r="AZ123" i="6"/>
  <c r="BI238" i="7"/>
  <c r="X133" i="6"/>
  <c r="AG248" i="7"/>
  <c r="AN134" i="6"/>
  <c r="AW249" i="7"/>
  <c r="AJ123" i="6"/>
  <c r="AS238" i="7"/>
  <c r="AC133" i="6"/>
  <c r="AL248" i="7"/>
  <c r="AC126" i="6"/>
  <c r="AL241" i="7"/>
  <c r="X123" i="6"/>
  <c r="AG238" i="7"/>
  <c r="AS126" i="6"/>
  <c r="BB241" i="7"/>
  <c r="V126" i="6"/>
  <c r="AE241" i="7"/>
  <c r="AS127" i="6"/>
  <c r="BB242" i="7"/>
  <c r="AW127" i="6"/>
  <c r="BF242" i="7"/>
  <c r="AL127" i="6"/>
  <c r="AU242" i="7"/>
  <c r="AP123" i="6"/>
  <c r="AY238" i="7"/>
  <c r="AM122" i="6"/>
  <c r="AV237" i="7"/>
  <c r="O133" i="6"/>
  <c r="X248" i="7"/>
  <c r="J134" i="6"/>
  <c r="S249" i="7"/>
  <c r="X126" i="6"/>
  <c r="AG241" i="7"/>
  <c r="M126" i="6"/>
  <c r="V241" i="7"/>
  <c r="P122" i="6"/>
  <c r="Y237" i="7"/>
  <c r="G123" i="6"/>
  <c r="AL122" i="6"/>
  <c r="AU237" i="7"/>
  <c r="AJ122" i="6"/>
  <c r="AS237" i="7"/>
  <c r="AE127" i="6"/>
  <c r="AN242" i="7"/>
  <c r="AQ126" i="6"/>
  <c r="AZ241" i="7"/>
  <c r="AY123" i="6"/>
  <c r="BH238" i="7"/>
  <c r="AM133" i="6"/>
  <c r="AV248" i="7"/>
  <c r="O126" i="6"/>
  <c r="X241" i="7"/>
  <c r="Y122" i="6"/>
  <c r="AH237" i="7"/>
  <c r="AM123" i="6"/>
  <c r="AV238" i="7"/>
  <c r="K123" i="6"/>
  <c r="T238" i="7"/>
  <c r="X127" i="6"/>
  <c r="AG242" i="7"/>
  <c r="AE126" i="6"/>
  <c r="AN241" i="7"/>
  <c r="AA127" i="6"/>
  <c r="AJ242" i="7"/>
  <c r="Y134" i="6"/>
  <c r="AH249" i="7"/>
  <c r="AH134" i="6"/>
  <c r="AQ249" i="7"/>
  <c r="P134" i="6"/>
  <c r="Y249" i="7"/>
  <c r="Z133" i="6"/>
  <c r="AI248" i="7"/>
  <c r="AF126" i="6"/>
  <c r="AO241" i="7"/>
  <c r="P126" i="6"/>
  <c r="Y241" i="7"/>
  <c r="AD126" i="6"/>
  <c r="AM241" i="7"/>
  <c r="Q126" i="6"/>
  <c r="Z241" i="7"/>
  <c r="R123" i="6"/>
  <c r="AA238" i="7"/>
  <c r="I127" i="6"/>
  <c r="R242" i="7"/>
  <c r="AX123" i="6"/>
  <c r="BG238" i="7"/>
  <c r="T134" i="6"/>
  <c r="AC249" i="7"/>
  <c r="U126" i="6"/>
  <c r="AD241" i="7"/>
  <c r="U127" i="6"/>
  <c r="AD242" i="7"/>
  <c r="AB127" i="6"/>
  <c r="AK242" i="7"/>
  <c r="AC127" i="6"/>
  <c r="AL242" i="7"/>
  <c r="G125" i="6"/>
  <c r="J125" i="6"/>
  <c r="S240" i="7"/>
  <c r="I125" i="6"/>
  <c r="R240" i="7"/>
  <c r="H125" i="6"/>
  <c r="Q240" i="7"/>
  <c r="AM130" i="6"/>
  <c r="AV245" i="7"/>
  <c r="AP130" i="6"/>
  <c r="AY245" i="7"/>
  <c r="AO130" i="6"/>
  <c r="AX245" i="7"/>
  <c r="Z130" i="6"/>
  <c r="AI245" i="7"/>
  <c r="AL130" i="6"/>
  <c r="AU245" i="7"/>
  <c r="V130" i="6"/>
  <c r="AE245" i="7"/>
  <c r="AF130" i="6"/>
  <c r="AO245" i="7"/>
  <c r="AI130" i="6"/>
  <c r="AR245" i="7"/>
  <c r="K130" i="6"/>
  <c r="T245" i="7"/>
  <c r="W130" i="6"/>
  <c r="AF245" i="7"/>
  <c r="S130" i="6"/>
  <c r="AB245" i="7"/>
  <c r="AK130" i="6"/>
  <c r="AT245" i="7"/>
  <c r="I130" i="6"/>
  <c r="R245" i="7"/>
  <c r="AG130" i="6"/>
  <c r="AP245" i="7"/>
  <c r="AN130" i="6"/>
  <c r="AW245" i="7"/>
  <c r="AR130" i="6"/>
  <c r="BA245" i="7"/>
  <c r="AY130" i="6"/>
  <c r="BH245" i="7"/>
  <c r="Q130" i="6"/>
  <c r="Z245" i="7"/>
  <c r="AJ130" i="6"/>
  <c r="AS245" i="7"/>
  <c r="AS130" i="6"/>
  <c r="BB245" i="7"/>
  <c r="AW130" i="6"/>
  <c r="BF245" i="7"/>
  <c r="G130" i="6"/>
  <c r="J130" i="6"/>
  <c r="S245" i="7"/>
  <c r="U130" i="6"/>
  <c r="AD245" i="7"/>
  <c r="O130" i="6"/>
  <c r="X245" i="7"/>
  <c r="AQ130" i="6"/>
  <c r="AZ245" i="7"/>
  <c r="AX130" i="6"/>
  <c r="BG245" i="7"/>
  <c r="N130" i="6"/>
  <c r="W245" i="7"/>
  <c r="AV130" i="6"/>
  <c r="BE245" i="7"/>
  <c r="T130" i="6"/>
  <c r="AC245" i="7"/>
  <c r="R130" i="6"/>
  <c r="AA245" i="7"/>
  <c r="Y130" i="6"/>
  <c r="AH245" i="7"/>
  <c r="BA130" i="6"/>
  <c r="BJ245" i="7"/>
  <c r="X130" i="6"/>
  <c r="AG245" i="7"/>
  <c r="L130" i="6"/>
  <c r="U245" i="7"/>
  <c r="V132" i="6"/>
  <c r="AE247" i="7"/>
  <c r="AX132" i="6"/>
  <c r="BG247" i="7"/>
  <c r="AH132" i="6"/>
  <c r="AQ247" i="7"/>
  <c r="Q132" i="6"/>
  <c r="Z247" i="7"/>
  <c r="AB132" i="6"/>
  <c r="AK247" i="7"/>
  <c r="AQ132" i="6"/>
  <c r="AZ247" i="7"/>
  <c r="AT132" i="6"/>
  <c r="BC247" i="7"/>
  <c r="AN132" i="6"/>
  <c r="AW247" i="7"/>
  <c r="J132" i="6"/>
  <c r="S247" i="7"/>
  <c r="S132" i="6"/>
  <c r="AB247" i="7"/>
  <c r="AG132" i="6"/>
  <c r="AP247" i="7"/>
  <c r="X132" i="6"/>
  <c r="AG247" i="7"/>
  <c r="AV132" i="6"/>
  <c r="BE247" i="7"/>
  <c r="AU132" i="6"/>
  <c r="BD247" i="7"/>
  <c r="AE132" i="6"/>
  <c r="AN247" i="7"/>
  <c r="Z132" i="6"/>
  <c r="AI247" i="7"/>
  <c r="I132" i="6"/>
  <c r="R247" i="7"/>
  <c r="AL132" i="6"/>
  <c r="AU247" i="7"/>
  <c r="AC132" i="6"/>
  <c r="AL247" i="7"/>
  <c r="U132" i="6"/>
  <c r="AD247" i="7"/>
  <c r="Y132" i="6"/>
  <c r="AH247" i="7"/>
  <c r="BB132" i="6"/>
  <c r="BK247" i="7"/>
  <c r="M132" i="6"/>
  <c r="V247" i="7"/>
  <c r="K132" i="6"/>
  <c r="T247" i="7"/>
  <c r="P132" i="6"/>
  <c r="Y247" i="7"/>
  <c r="AY132" i="6"/>
  <c r="BH247" i="7"/>
  <c r="AA132" i="6"/>
  <c r="AJ247" i="7"/>
  <c r="N132" i="6"/>
  <c r="W247" i="7"/>
  <c r="H132" i="6"/>
  <c r="Q247" i="7"/>
  <c r="AO132" i="6"/>
  <c r="AX247" i="7"/>
  <c r="AD132" i="6"/>
  <c r="AM247" i="7"/>
  <c r="AK132" i="6"/>
  <c r="AT247" i="7"/>
  <c r="Z128" i="6"/>
  <c r="AI243" i="7"/>
  <c r="AO128" i="6"/>
  <c r="AX243" i="7"/>
  <c r="AD128" i="6"/>
  <c r="AM243" i="7"/>
  <c r="AI128" i="6"/>
  <c r="AR243" i="7"/>
  <c r="AU128" i="6"/>
  <c r="BD243" i="7"/>
  <c r="AM128" i="6"/>
  <c r="AV243" i="7"/>
  <c r="G128" i="6"/>
  <c r="AE128" i="6"/>
  <c r="AN243" i="7"/>
  <c r="I128" i="6"/>
  <c r="R243" i="7"/>
  <c r="AZ128" i="6"/>
  <c r="BI243" i="7"/>
  <c r="V128" i="6"/>
  <c r="AE243" i="7"/>
  <c r="AJ128" i="6"/>
  <c r="AS243" i="7"/>
  <c r="AK128" i="6"/>
  <c r="AT243" i="7"/>
  <c r="AH128" i="6"/>
  <c r="AQ243" i="7"/>
  <c r="H128" i="6"/>
  <c r="Q243" i="7"/>
  <c r="AV128" i="6"/>
  <c r="BE243" i="7"/>
  <c r="AL128" i="6"/>
  <c r="AU243" i="7"/>
  <c r="AN128" i="6"/>
  <c r="AW243" i="7"/>
  <c r="X128" i="6"/>
  <c r="AG243" i="7"/>
  <c r="U128" i="6"/>
  <c r="AD243" i="7"/>
  <c r="P128" i="6"/>
  <c r="Y243" i="7"/>
  <c r="L128" i="6"/>
  <c r="U243" i="7"/>
  <c r="O128" i="6"/>
  <c r="X243" i="7"/>
  <c r="W128" i="6"/>
  <c r="AF243" i="7"/>
  <c r="AB128" i="6"/>
  <c r="AK243" i="7"/>
  <c r="S128" i="6"/>
  <c r="AB243" i="7"/>
  <c r="K128" i="6"/>
  <c r="T243" i="7"/>
  <c r="AX128" i="6"/>
  <c r="BG243" i="7"/>
  <c r="AF128" i="6"/>
  <c r="AO243" i="7"/>
  <c r="N128" i="6"/>
  <c r="W243" i="7"/>
  <c r="AC128" i="6"/>
  <c r="AL243" i="7"/>
  <c r="AA128" i="6"/>
  <c r="AJ243" i="7"/>
  <c r="AP128" i="6"/>
  <c r="AY243" i="7"/>
  <c r="G124" i="6"/>
  <c r="N122" i="6"/>
  <c r="X122" i="6"/>
  <c r="I122" i="6"/>
  <c r="R87" i="6"/>
  <c r="AH87" i="6"/>
  <c r="AQ237" i="7" s="1"/>
  <c r="AK87" i="6"/>
  <c r="W92" i="6"/>
  <c r="J87" i="6"/>
  <c r="AM97" i="6"/>
  <c r="O97" i="6"/>
  <c r="AI87" i="6"/>
  <c r="BB87" i="6"/>
  <c r="BK237" i="7" s="1"/>
  <c r="AQ87" i="6"/>
  <c r="AP87" i="6"/>
  <c r="AR87" i="6"/>
  <c r="BA237" i="7" s="1"/>
  <c r="O87" i="6"/>
  <c r="O99" i="6"/>
  <c r="AA87" i="6"/>
  <c r="W88" i="6"/>
  <c r="W99" i="6"/>
  <c r="AD87" i="6"/>
  <c r="AX87" i="6"/>
  <c r="AU95" i="6"/>
  <c r="Q87" i="6"/>
  <c r="AT87" i="6"/>
  <c r="AU91" i="6"/>
  <c r="AQ93" i="6"/>
  <c r="AM91" i="6"/>
  <c r="AY92" i="6"/>
  <c r="W97" i="6"/>
  <c r="S92" i="6"/>
  <c r="O92" i="6"/>
  <c r="S91" i="6"/>
  <c r="AA98" i="6"/>
  <c r="AI92" i="6"/>
  <c r="Q99" i="6"/>
  <c r="AI97" i="6"/>
  <c r="AY93" i="6"/>
  <c r="G97" i="6"/>
  <c r="P247" i="7" s="1"/>
  <c r="Y92" i="6"/>
  <c r="AF87" i="6"/>
  <c r="AW99" i="6"/>
  <c r="AG99" i="6"/>
  <c r="AE99" i="6"/>
  <c r="AO99" i="6"/>
  <c r="G98" i="6"/>
  <c r="P248" i="7" s="1"/>
  <c r="S99" i="6"/>
  <c r="AQ98" i="6"/>
  <c r="U87" i="6"/>
  <c r="W91" i="6"/>
  <c r="AM92" i="6"/>
  <c r="AD88" i="6"/>
  <c r="Y93" i="6"/>
  <c r="Y98" i="6"/>
  <c r="AQ88" i="6"/>
  <c r="AH92" i="6"/>
  <c r="AG98" i="6"/>
  <c r="R97" i="6"/>
  <c r="AW93" i="6"/>
  <c r="N88" i="6"/>
  <c r="AV92" i="6"/>
  <c r="V98" i="6"/>
  <c r="R93" i="6"/>
  <c r="H95" i="6"/>
  <c r="AG91" i="6"/>
  <c r="AP91" i="6"/>
  <c r="AA99" i="6"/>
  <c r="AX92" i="6"/>
  <c r="AH98" i="6"/>
  <c r="R91" i="6"/>
  <c r="AG93" i="6"/>
  <c r="AP99" i="6"/>
  <c r="H91" i="6"/>
  <c r="J93" i="6"/>
  <c r="H99" i="6"/>
  <c r="AH95" i="6"/>
  <c r="AE95" i="6"/>
  <c r="AW91" i="6"/>
  <c r="AN98" i="6"/>
  <c r="AW97" i="6"/>
  <c r="Q93" i="6"/>
  <c r="AV99" i="6"/>
  <c r="V88" i="6"/>
  <c r="AN91" i="6"/>
  <c r="AF97" i="6"/>
  <c r="R92" i="6"/>
  <c r="AA95" i="6"/>
  <c r="L88" i="6"/>
  <c r="AP97" i="6"/>
  <c r="AT93" i="6"/>
  <c r="AO91" i="6"/>
  <c r="I91" i="6"/>
  <c r="Z99" i="6"/>
  <c r="BB95" i="6"/>
  <c r="AT95" i="6"/>
  <c r="AC88" i="6"/>
  <c r="H92" i="6"/>
  <c r="L99" i="6"/>
  <c r="AC99" i="6"/>
  <c r="T93" i="6"/>
  <c r="L97" i="6"/>
  <c r="AR99" i="6"/>
  <c r="AZ92" i="6"/>
  <c r="AZ97" i="6"/>
  <c r="AD95" i="6"/>
  <c r="BA92" i="6"/>
  <c r="AZ91" i="6"/>
  <c r="AT99" i="6"/>
  <c r="P95" i="6"/>
  <c r="BA99" i="6"/>
  <c r="AC95" i="6"/>
  <c r="BB93" i="6"/>
  <c r="BA97" i="6"/>
  <c r="AS97" i="6"/>
  <c r="AJ99" i="6"/>
  <c r="AB91" i="6"/>
  <c r="J88" i="6"/>
  <c r="N91" i="6"/>
  <c r="M95" i="6"/>
  <c r="AS93" i="6"/>
  <c r="AR93" i="6"/>
  <c r="AJ91" i="6"/>
  <c r="AJ97" i="6"/>
  <c r="AR92" i="6"/>
  <c r="AB95" i="6"/>
  <c r="T97" i="6"/>
  <c r="AR97" i="6"/>
  <c r="M92" i="6"/>
  <c r="L98" i="6"/>
  <c r="AS99" i="6"/>
  <c r="AN92" i="6"/>
  <c r="M93" i="6"/>
  <c r="M98" i="6"/>
  <c r="N98" i="6"/>
  <c r="AJ98" i="6"/>
  <c r="AG88" i="6"/>
  <c r="T88" i="6"/>
  <c r="AK91" i="6"/>
  <c r="AZ95" i="6"/>
  <c r="BA93" i="6"/>
  <c r="V92" i="6"/>
  <c r="Q88" i="6"/>
  <c r="AR98" i="6"/>
  <c r="AB99" i="6"/>
  <c r="AB134" i="6" l="1"/>
  <c r="AK249" i="7"/>
  <c r="AB126" i="6"/>
  <c r="AK241" i="7"/>
  <c r="Y133" i="6"/>
  <c r="AH248" i="7"/>
  <c r="AJ126" i="6"/>
  <c r="AS241" i="7"/>
  <c r="AN133" i="6"/>
  <c r="AW248" i="7"/>
  <c r="W134" i="6"/>
  <c r="AF249" i="7"/>
  <c r="AK126" i="6"/>
  <c r="AT241" i="7"/>
  <c r="N133" i="6"/>
  <c r="W248" i="7"/>
  <c r="BA127" i="6"/>
  <c r="BJ242" i="7"/>
  <c r="AC134" i="6"/>
  <c r="AL249" i="7"/>
  <c r="L123" i="6"/>
  <c r="U238" i="7"/>
  <c r="V123" i="6"/>
  <c r="AE238" i="7"/>
  <c r="AW126" i="6"/>
  <c r="BF241" i="7"/>
  <c r="AP134" i="6"/>
  <c r="AY249" i="7"/>
  <c r="AP126" i="6"/>
  <c r="AY241" i="7"/>
  <c r="AD123" i="6"/>
  <c r="AM238" i="7"/>
  <c r="AG134" i="6"/>
  <c r="AP249" i="7"/>
  <c r="O127" i="6"/>
  <c r="X242" i="7"/>
  <c r="W123" i="6"/>
  <c r="AF238" i="7"/>
  <c r="J122" i="6"/>
  <c r="S237" i="7"/>
  <c r="AX127" i="6"/>
  <c r="BG242" i="7"/>
  <c r="AA133" i="6"/>
  <c r="AJ248" i="7"/>
  <c r="M133" i="6"/>
  <c r="V248" i="7"/>
  <c r="Z134" i="6"/>
  <c r="AI249" i="7"/>
  <c r="S134" i="6"/>
  <c r="AB249" i="7"/>
  <c r="AT122" i="6"/>
  <c r="BC237" i="7"/>
  <c r="AT134" i="6"/>
  <c r="BC249" i="7"/>
  <c r="AV127" i="6"/>
  <c r="BE242" i="7"/>
  <c r="AZ126" i="6"/>
  <c r="BI241" i="7"/>
  <c r="AN126" i="6"/>
  <c r="AW241" i="7"/>
  <c r="AA134" i="6"/>
  <c r="AJ249" i="7"/>
  <c r="AQ133" i="6"/>
  <c r="AZ248" i="7"/>
  <c r="AU126" i="6"/>
  <c r="BD241" i="7"/>
  <c r="O122" i="6"/>
  <c r="X237" i="7"/>
  <c r="T123" i="6"/>
  <c r="AC238" i="7"/>
  <c r="AG126" i="6"/>
  <c r="AP241" i="7"/>
  <c r="AA122" i="6"/>
  <c r="AJ237" i="7"/>
  <c r="AG123" i="6"/>
  <c r="AP238" i="7"/>
  <c r="AJ134" i="6"/>
  <c r="AS249" i="7"/>
  <c r="I126" i="6"/>
  <c r="R241" i="7"/>
  <c r="W126" i="6"/>
  <c r="AF241" i="7"/>
  <c r="Q123" i="6"/>
  <c r="Z238" i="7"/>
  <c r="AH127" i="6"/>
  <c r="AQ242" i="7"/>
  <c r="G133" i="6"/>
  <c r="Q134" i="6"/>
  <c r="Z249" i="7"/>
  <c r="M127" i="6"/>
  <c r="V242" i="7"/>
  <c r="N123" i="6"/>
  <c r="W238" i="7"/>
  <c r="S126" i="6"/>
  <c r="AB241" i="7"/>
  <c r="AR133" i="6"/>
  <c r="BA248" i="7"/>
  <c r="L134" i="6"/>
  <c r="U249" i="7"/>
  <c r="AM127" i="6"/>
  <c r="AV242" i="7"/>
  <c r="S127" i="6"/>
  <c r="AB242" i="7"/>
  <c r="W127" i="6"/>
  <c r="AF242" i="7"/>
  <c r="R127" i="6"/>
  <c r="AA242" i="7"/>
  <c r="AG133" i="6"/>
  <c r="AP248" i="7"/>
  <c r="Q122" i="6"/>
  <c r="Z237" i="7"/>
  <c r="AQ122" i="6"/>
  <c r="AZ237" i="7"/>
  <c r="AK122" i="6"/>
  <c r="AT237" i="7"/>
  <c r="AN127" i="6"/>
  <c r="AW242" i="7"/>
  <c r="N126" i="6"/>
  <c r="W241" i="7"/>
  <c r="AO126" i="6"/>
  <c r="AX241" i="7"/>
  <c r="H134" i="6"/>
  <c r="Q249" i="7"/>
  <c r="AW134" i="6"/>
  <c r="BF249" i="7"/>
  <c r="AY127" i="6"/>
  <c r="BH242" i="7"/>
  <c r="O134" i="6"/>
  <c r="X249" i="7"/>
  <c r="AJ133" i="6"/>
  <c r="AS248" i="7"/>
  <c r="AS134" i="6"/>
  <c r="BB249" i="7"/>
  <c r="AR127" i="6"/>
  <c r="BA242" i="7"/>
  <c r="BA134" i="6"/>
  <c r="BJ249" i="7"/>
  <c r="AZ127" i="6"/>
  <c r="BI242" i="7"/>
  <c r="H127" i="6"/>
  <c r="Q242" i="7"/>
  <c r="R126" i="6"/>
  <c r="AA241" i="7"/>
  <c r="AO134" i="6"/>
  <c r="AX249" i="7"/>
  <c r="AF122" i="6"/>
  <c r="AO237" i="7"/>
  <c r="AM126" i="6"/>
  <c r="AV241" i="7"/>
  <c r="AX122" i="6"/>
  <c r="BG237" i="7"/>
  <c r="R122" i="6"/>
  <c r="AA237" i="7"/>
  <c r="H126" i="6"/>
  <c r="Q241" i="7"/>
  <c r="AE134" i="6"/>
  <c r="AN249" i="7"/>
  <c r="AV134" i="6"/>
  <c r="BE249" i="7"/>
  <c r="AP122" i="6"/>
  <c r="AY237" i="7"/>
  <c r="V127" i="6"/>
  <c r="AE242" i="7"/>
  <c r="L133" i="6"/>
  <c r="U248" i="7"/>
  <c r="J123" i="6"/>
  <c r="S238" i="7"/>
  <c r="AR134" i="6"/>
  <c r="BA249" i="7"/>
  <c r="AC123" i="6"/>
  <c r="AL238" i="7"/>
  <c r="AH133" i="6"/>
  <c r="AQ248" i="7"/>
  <c r="V133" i="6"/>
  <c r="AE248" i="7"/>
  <c r="AQ123" i="6"/>
  <c r="AZ238" i="7"/>
  <c r="U122" i="6"/>
  <c r="AD237" i="7"/>
  <c r="Y127" i="6"/>
  <c r="AH242" i="7"/>
  <c r="AI127" i="6"/>
  <c r="AR242" i="7"/>
  <c r="AD122" i="6"/>
  <c r="AM237" i="7"/>
  <c r="AI122" i="6"/>
  <c r="AR237" i="7"/>
  <c r="BB131" i="6"/>
  <c r="BK246" i="7"/>
  <c r="P130" i="6"/>
  <c r="Y245" i="7"/>
  <c r="AT130" i="6"/>
  <c r="BC245" i="7"/>
  <c r="AZ130" i="6"/>
  <c r="BI245" i="7"/>
  <c r="BB130" i="6"/>
  <c r="BK245" i="7"/>
  <c r="AD130" i="6"/>
  <c r="AM245" i="7"/>
  <c r="AA130" i="6"/>
  <c r="AJ245" i="7"/>
  <c r="AE130" i="6"/>
  <c r="AN245" i="7"/>
  <c r="M130" i="6"/>
  <c r="V245" i="7"/>
  <c r="AH130" i="6"/>
  <c r="AQ245" i="7"/>
  <c r="AB130" i="6"/>
  <c r="AK245" i="7"/>
  <c r="AC130" i="6"/>
  <c r="AL245" i="7"/>
  <c r="H130" i="6"/>
  <c r="Q245" i="7"/>
  <c r="AU130" i="6"/>
  <c r="BD245" i="7"/>
  <c r="AJ132" i="6"/>
  <c r="AS247" i="7"/>
  <c r="L132" i="6"/>
  <c r="U247" i="7"/>
  <c r="AF132" i="6"/>
  <c r="AO247" i="7"/>
  <c r="O132" i="6"/>
  <c r="X247" i="7"/>
  <c r="G132" i="6"/>
  <c r="AR132" i="6"/>
  <c r="BA247" i="7"/>
  <c r="R132" i="6"/>
  <c r="AA247" i="7"/>
  <c r="AI132" i="6"/>
  <c r="AR247" i="7"/>
  <c r="W132" i="6"/>
  <c r="AF247" i="7"/>
  <c r="T132" i="6"/>
  <c r="AC247" i="7"/>
  <c r="AS132" i="6"/>
  <c r="BB247" i="7"/>
  <c r="AZ132" i="6"/>
  <c r="BI247" i="7"/>
  <c r="AP132" i="6"/>
  <c r="AY247" i="7"/>
  <c r="AM132" i="6"/>
  <c r="AV247" i="7"/>
  <c r="BA132" i="6"/>
  <c r="BJ247" i="7"/>
  <c r="AW132" i="6"/>
  <c r="BF247" i="7"/>
  <c r="T128" i="6"/>
  <c r="AC243" i="7"/>
  <c r="Y128" i="6"/>
  <c r="AH243" i="7"/>
  <c r="AR128" i="6"/>
  <c r="BA243" i="7"/>
  <c r="AW128" i="6"/>
  <c r="BF243" i="7"/>
  <c r="AY128" i="6"/>
  <c r="BH243" i="7"/>
  <c r="AS128" i="6"/>
  <c r="BB243" i="7"/>
  <c r="BB128" i="6"/>
  <c r="BK243" i="7"/>
  <c r="AG128" i="6"/>
  <c r="AP243" i="7"/>
  <c r="M128" i="6"/>
  <c r="V243" i="7"/>
  <c r="Q128" i="6"/>
  <c r="Z243" i="7"/>
  <c r="BA128" i="6"/>
  <c r="BJ243" i="7"/>
  <c r="J128" i="6"/>
  <c r="S243" i="7"/>
  <c r="R128" i="6"/>
  <c r="AA243" i="7"/>
  <c r="AT128" i="6"/>
  <c r="BC243" i="7"/>
  <c r="AQ128" i="6"/>
  <c r="AZ243" i="7"/>
  <c r="AR122" i="6"/>
  <c r="AH122" i="6"/>
  <c r="BB122" i="6"/>
  <c r="S111" i="8" l="1"/>
  <c r="S221" i="8" s="1"/>
  <c r="S129" i="8" l="1"/>
  <c r="S112" i="8"/>
  <c r="O53" i="7" l="1"/>
  <c r="O69" i="7" s="1"/>
  <c r="P15" i="9"/>
  <c r="O16" i="7"/>
  <c r="O32" i="7" s="1"/>
  <c r="P33" i="9" l="1"/>
  <c r="Q15" i="9"/>
  <c r="P16" i="7"/>
  <c r="P32" i="7" s="1"/>
  <c r="U129" i="8"/>
  <c r="Q32" i="7"/>
  <c r="T111" i="8"/>
  <c r="Q33" i="9" l="1"/>
  <c r="T95" i="8"/>
  <c r="T221" i="8"/>
  <c r="T112" i="8"/>
  <c r="Q16" i="7"/>
  <c r="V129" i="8"/>
  <c r="U111" i="8"/>
  <c r="O254" i="7"/>
  <c r="R33" i="9" l="1"/>
  <c r="S33" i="9"/>
  <c r="T33" i="9"/>
  <c r="Z33" i="9"/>
  <c r="AB33" i="9"/>
  <c r="X33" i="9"/>
  <c r="Y33" i="9"/>
  <c r="U33" i="9"/>
  <c r="V33" i="9"/>
  <c r="AA33" i="9"/>
  <c r="W33" i="9"/>
  <c r="AC33" i="9"/>
  <c r="U95" i="8"/>
  <c r="U221" i="8"/>
  <c r="U112" i="8"/>
  <c r="P53" i="7"/>
  <c r="G33" i="6"/>
  <c r="R16" i="7"/>
  <c r="W129" i="8"/>
  <c r="V111" i="8"/>
  <c r="P69" i="7" l="1"/>
  <c r="G50" i="6"/>
  <c r="P140" i="7" s="1"/>
  <c r="AD33" i="9"/>
  <c r="AE33" i="9" s="1"/>
  <c r="V95" i="8"/>
  <c r="V221" i="8"/>
  <c r="V112" i="8"/>
  <c r="Q53" i="7"/>
  <c r="H33" i="6"/>
  <c r="H50" i="6" s="1"/>
  <c r="Q140" i="7" s="1"/>
  <c r="S16" i="7"/>
  <c r="W111" i="8"/>
  <c r="X129" i="8"/>
  <c r="Q69" i="7" l="1"/>
  <c r="AG33" i="9"/>
  <c r="AF33" i="9"/>
  <c r="W95" i="8"/>
  <c r="W221" i="8"/>
  <c r="W112" i="8"/>
  <c r="R53" i="7"/>
  <c r="I33" i="6"/>
  <c r="I50" i="6" s="1"/>
  <c r="R140" i="7" s="1"/>
  <c r="T16" i="7"/>
  <c r="X111" i="8"/>
  <c r="Y129" i="8"/>
  <c r="G100" i="6"/>
  <c r="P250" i="7" s="1"/>
  <c r="R69" i="7" l="1"/>
  <c r="G135" i="6"/>
  <c r="U16" i="7"/>
  <c r="Z129" i="8"/>
  <c r="Y111" i="8"/>
  <c r="J33" i="6"/>
  <c r="J50" i="6" s="1"/>
  <c r="S140" i="7" s="1"/>
  <c r="S53" i="7"/>
  <c r="X95" i="8"/>
  <c r="X221" i="8"/>
  <c r="X112" i="8"/>
  <c r="S69" i="7" l="1"/>
  <c r="V16" i="7"/>
  <c r="Z111" i="8"/>
  <c r="AA129" i="8"/>
  <c r="K33" i="6"/>
  <c r="K50" i="6" s="1"/>
  <c r="T140" i="7" s="1"/>
  <c r="T53" i="7"/>
  <c r="Y95" i="8"/>
  <c r="Y221" i="8"/>
  <c r="Y112" i="8"/>
  <c r="T69" i="7" l="1"/>
  <c r="Z95" i="8"/>
  <c r="Z221" i="8"/>
  <c r="Z112" i="8"/>
  <c r="U53" i="7"/>
  <c r="L33" i="6"/>
  <c r="L50" i="6" s="1"/>
  <c r="U140" i="7" s="1"/>
  <c r="W16" i="7"/>
  <c r="AB129" i="8"/>
  <c r="AA111" i="8"/>
  <c r="U69" i="7" l="1"/>
  <c r="AA95" i="8"/>
  <c r="AA221" i="8"/>
  <c r="AA112" i="8"/>
  <c r="X16" i="7"/>
  <c r="AC129" i="8"/>
  <c r="AB111" i="8"/>
  <c r="M33" i="6"/>
  <c r="M50" i="6" s="1"/>
  <c r="V140" i="7" s="1"/>
  <c r="V53" i="7"/>
  <c r="V69" i="7" l="1"/>
  <c r="AB95" i="8"/>
  <c r="AB221" i="8"/>
  <c r="AB112" i="8"/>
  <c r="Y16" i="7"/>
  <c r="AD129" i="8"/>
  <c r="AC111" i="8"/>
  <c r="N33" i="6"/>
  <c r="N50" i="6" s="1"/>
  <c r="W140" i="7" s="1"/>
  <c r="W53" i="7"/>
  <c r="W69" i="7" l="1"/>
  <c r="AC95" i="8"/>
  <c r="AC221" i="8"/>
  <c r="AC112" i="8"/>
  <c r="Z16" i="7"/>
  <c r="AE129" i="8"/>
  <c r="AD111" i="8"/>
  <c r="O33" i="6"/>
  <c r="O50" i="6" s="1"/>
  <c r="X140" i="7" s="1"/>
  <c r="X53" i="7"/>
  <c r="X69" i="7" l="1"/>
  <c r="AD95" i="8"/>
  <c r="AD221" i="8"/>
  <c r="AD112" i="8"/>
  <c r="AA16" i="7"/>
  <c r="AE111" i="8"/>
  <c r="AF129" i="8"/>
  <c r="Y53" i="7"/>
  <c r="P33" i="6"/>
  <c r="P50" i="6" s="1"/>
  <c r="Y140" i="7" s="1"/>
  <c r="Y69" i="7" l="1"/>
  <c r="Q33" i="6"/>
  <c r="Q50" i="6" s="1"/>
  <c r="Z140" i="7" s="1"/>
  <c r="Z53" i="7"/>
  <c r="AB16" i="7"/>
  <c r="AF111" i="8"/>
  <c r="AG129" i="8"/>
  <c r="AE95" i="8"/>
  <c r="AE221" i="8"/>
  <c r="AE112" i="8"/>
  <c r="Z69" i="7" l="1"/>
  <c r="R33" i="6"/>
  <c r="R50" i="6" s="1"/>
  <c r="AA140" i="7" s="1"/>
  <c r="AA53" i="7"/>
  <c r="AC16" i="7"/>
  <c r="AG111" i="8"/>
  <c r="AH129" i="8"/>
  <c r="AF95" i="8"/>
  <c r="AF221" i="8"/>
  <c r="AF112" i="8"/>
  <c r="AA69" i="7" l="1"/>
  <c r="AG95" i="8"/>
  <c r="AG221" i="8"/>
  <c r="AG112" i="8"/>
  <c r="AD16" i="7"/>
  <c r="AI129" i="8"/>
  <c r="AH111" i="8"/>
  <c r="AB53" i="7"/>
  <c r="S33" i="6"/>
  <c r="S50" i="6" s="1"/>
  <c r="AB140" i="7" s="1"/>
  <c r="AB69" i="7" l="1"/>
  <c r="AH95" i="8"/>
  <c r="AH221" i="8"/>
  <c r="AH112" i="8"/>
  <c r="T33" i="6"/>
  <c r="T50" i="6" s="1"/>
  <c r="AC140" i="7" s="1"/>
  <c r="AC53" i="7"/>
  <c r="AE16" i="7"/>
  <c r="AJ129" i="8"/>
  <c r="AI111" i="8"/>
  <c r="AC69" i="7" l="1"/>
  <c r="AF16" i="7"/>
  <c r="AK129" i="8"/>
  <c r="AJ111" i="8"/>
  <c r="AI95" i="8"/>
  <c r="AI221" i="8"/>
  <c r="AI112" i="8"/>
  <c r="AD53" i="7"/>
  <c r="U33" i="6"/>
  <c r="U50" i="6" s="1"/>
  <c r="AD140" i="7" s="1"/>
  <c r="AD69" i="7" l="1"/>
  <c r="V33" i="6"/>
  <c r="V50" i="6" s="1"/>
  <c r="AE140" i="7" s="1"/>
  <c r="AE53" i="7"/>
  <c r="AJ95" i="8"/>
  <c r="AJ221" i="8"/>
  <c r="AJ112" i="8"/>
  <c r="AG16" i="7"/>
  <c r="AL129" i="8"/>
  <c r="AK111" i="8"/>
  <c r="AE69" i="7" l="1"/>
  <c r="AK95" i="8"/>
  <c r="AK221" i="8"/>
  <c r="AK112" i="8"/>
  <c r="W33" i="6"/>
  <c r="W50" i="6" s="1"/>
  <c r="AF140" i="7" s="1"/>
  <c r="AF53" i="7"/>
  <c r="AH16" i="7"/>
  <c r="AM129" i="8"/>
  <c r="AL111" i="8"/>
  <c r="AF69" i="7" l="1"/>
  <c r="AI16" i="7"/>
  <c r="AM111" i="8"/>
  <c r="AN129" i="8"/>
  <c r="X33" i="6"/>
  <c r="X50" i="6" s="1"/>
  <c r="AG140" i="7" s="1"/>
  <c r="AG53" i="7"/>
  <c r="AL95" i="8"/>
  <c r="AL221" i="8"/>
  <c r="AL112" i="8"/>
  <c r="AG69" i="7" l="1"/>
  <c r="AM95" i="8"/>
  <c r="AM221" i="8"/>
  <c r="AM112" i="8"/>
  <c r="AJ16" i="7"/>
  <c r="AN111" i="8"/>
  <c r="AO129" i="8"/>
  <c r="Y33" i="6"/>
  <c r="Y50" i="6" s="1"/>
  <c r="AH140" i="7" s="1"/>
  <c r="AH53" i="7"/>
  <c r="AH69" i="7" l="1"/>
  <c r="Z33" i="6"/>
  <c r="Z50" i="6" s="1"/>
  <c r="AI140" i="7" s="1"/>
  <c r="AI53" i="7"/>
  <c r="AK16" i="7"/>
  <c r="AO111" i="8"/>
  <c r="AP129" i="8"/>
  <c r="AN95" i="8"/>
  <c r="AN221" i="8"/>
  <c r="AN112" i="8"/>
  <c r="AI69" i="7" l="1"/>
  <c r="AL16" i="7"/>
  <c r="AQ129" i="8"/>
  <c r="AP111" i="8"/>
  <c r="AA33" i="6"/>
  <c r="AA50" i="6" s="1"/>
  <c r="AJ140" i="7" s="1"/>
  <c r="AJ53" i="7"/>
  <c r="AO95" i="8"/>
  <c r="AO221" i="8"/>
  <c r="AO112" i="8"/>
  <c r="AJ69" i="7" l="1"/>
  <c r="AK53" i="7"/>
  <c r="AB33" i="6"/>
  <c r="AB50" i="6" s="1"/>
  <c r="AK140" i="7" s="1"/>
  <c r="AM16" i="7"/>
  <c r="AQ111" i="8"/>
  <c r="AR129" i="8"/>
  <c r="AP95" i="8"/>
  <c r="AP221" i="8"/>
  <c r="AP112" i="8"/>
  <c r="AK69" i="7" l="1"/>
  <c r="AN16" i="7"/>
  <c r="AS129" i="8"/>
  <c r="AR111" i="8"/>
  <c r="AC33" i="6"/>
  <c r="AC50" i="6" s="1"/>
  <c r="AL140" i="7" s="1"/>
  <c r="AL53" i="7"/>
  <c r="AQ95" i="8"/>
  <c r="AQ221" i="8"/>
  <c r="AQ112" i="8"/>
  <c r="AL69" i="7" l="1"/>
  <c r="AR95" i="8"/>
  <c r="AR221" i="8"/>
  <c r="AR112" i="8"/>
  <c r="AD33" i="6"/>
  <c r="AD50" i="6" s="1"/>
  <c r="AM140" i="7" s="1"/>
  <c r="AM53" i="7"/>
  <c r="AO16" i="7"/>
  <c r="AS111" i="8"/>
  <c r="AT129" i="8"/>
  <c r="AM69" i="7" l="1"/>
  <c r="AS95" i="8"/>
  <c r="AS221" i="8"/>
  <c r="AS112" i="8"/>
  <c r="AE33" i="6"/>
  <c r="AE50" i="6" s="1"/>
  <c r="AN140" i="7" s="1"/>
  <c r="AN53" i="7"/>
  <c r="AP16" i="7"/>
  <c r="AU129" i="8"/>
  <c r="AT111" i="8"/>
  <c r="AN69" i="7" l="1"/>
  <c r="AQ16" i="7"/>
  <c r="AV129" i="8"/>
  <c r="AU111" i="8"/>
  <c r="AT95" i="8"/>
  <c r="AT221" i="8"/>
  <c r="AT112" i="8"/>
  <c r="AF33" i="6"/>
  <c r="AF50" i="6" s="1"/>
  <c r="AO140" i="7" s="1"/>
  <c r="AO53" i="7"/>
  <c r="AO69" i="7" l="1"/>
  <c r="AU95" i="8"/>
  <c r="AU221" i="8"/>
  <c r="AU112" i="8"/>
  <c r="AR16" i="7"/>
  <c r="AV111" i="8"/>
  <c r="AW129" i="8"/>
  <c r="AP53" i="7"/>
  <c r="AG33" i="6"/>
  <c r="AG50" i="6" s="1"/>
  <c r="AP140" i="7" s="1"/>
  <c r="AP69" i="7" l="1"/>
  <c r="AV95" i="8"/>
  <c r="AV221" i="8"/>
  <c r="AV112" i="8"/>
  <c r="AH33" i="6"/>
  <c r="AH50" i="6" s="1"/>
  <c r="AQ140" i="7" s="1"/>
  <c r="AQ53" i="7"/>
  <c r="AS16" i="7"/>
  <c r="AX129" i="8"/>
  <c r="AW111" i="8"/>
  <c r="AQ69" i="7" l="1"/>
  <c r="AI33" i="6"/>
  <c r="AI50" i="6" s="1"/>
  <c r="AR140" i="7" s="1"/>
  <c r="AR53" i="7"/>
  <c r="AW95" i="8"/>
  <c r="AW221" i="8"/>
  <c r="AW112" i="8"/>
  <c r="AT16" i="7"/>
  <c r="AY129" i="8"/>
  <c r="AX111" i="8"/>
  <c r="AR69" i="7" l="1"/>
  <c r="AU16" i="7"/>
  <c r="AY111" i="8"/>
  <c r="AZ129" i="8"/>
  <c r="AX95" i="8"/>
  <c r="AX221" i="8"/>
  <c r="AX112" i="8"/>
  <c r="AJ33" i="6"/>
  <c r="AJ50" i="6" s="1"/>
  <c r="AS140" i="7" s="1"/>
  <c r="AS53" i="7"/>
  <c r="AS69" i="7" l="1"/>
  <c r="AT53" i="7"/>
  <c r="AK33" i="6"/>
  <c r="AK50" i="6" s="1"/>
  <c r="AT140" i="7" s="1"/>
  <c r="AV16" i="7"/>
  <c r="AZ111" i="8"/>
  <c r="BA129" i="8"/>
  <c r="AY95" i="8"/>
  <c r="AY221" i="8"/>
  <c r="AY112" i="8"/>
  <c r="AT69" i="7" l="1"/>
  <c r="AU53" i="7"/>
  <c r="AL33" i="6"/>
  <c r="AL50" i="6" s="1"/>
  <c r="AU140" i="7" s="1"/>
  <c r="AW16" i="7"/>
  <c r="BA111" i="8"/>
  <c r="BB129" i="8"/>
  <c r="AZ95" i="8"/>
  <c r="AZ221" i="8"/>
  <c r="AZ112" i="8"/>
  <c r="AU69" i="7" l="1"/>
  <c r="BA95" i="8"/>
  <c r="BA221" i="8"/>
  <c r="BA112" i="8"/>
  <c r="AX16" i="7"/>
  <c r="BC129" i="8"/>
  <c r="BB111" i="8"/>
  <c r="AM33" i="6"/>
  <c r="AM50" i="6" s="1"/>
  <c r="AV140" i="7" s="1"/>
  <c r="AV53" i="7"/>
  <c r="AV69" i="7" l="1"/>
  <c r="AN33" i="6"/>
  <c r="AN50" i="6" s="1"/>
  <c r="AW140" i="7" s="1"/>
  <c r="AW53" i="7"/>
  <c r="BB95" i="8"/>
  <c r="BB221" i="8"/>
  <c r="BB112" i="8"/>
  <c r="AY16" i="7"/>
  <c r="BC111" i="8"/>
  <c r="BD129" i="8"/>
  <c r="AW69" i="7" l="1"/>
  <c r="BC95" i="8"/>
  <c r="BC221" i="8"/>
  <c r="BC112" i="8"/>
  <c r="AO33" i="6"/>
  <c r="AO50" i="6" s="1"/>
  <c r="AX140" i="7" s="1"/>
  <c r="AX53" i="7"/>
  <c r="AZ16" i="7"/>
  <c r="BD111" i="8"/>
  <c r="BE129" i="8"/>
  <c r="AX69" i="7" l="1"/>
  <c r="BA16" i="7"/>
  <c r="BE111" i="8"/>
  <c r="BF129" i="8"/>
  <c r="BD95" i="8"/>
  <c r="BD221" i="8"/>
  <c r="BD112" i="8"/>
  <c r="AP33" i="6"/>
  <c r="AP50" i="6" s="1"/>
  <c r="AY140" i="7" s="1"/>
  <c r="AY53" i="7"/>
  <c r="AY69" i="7" l="1"/>
  <c r="BB16" i="7"/>
  <c r="BF111" i="8"/>
  <c r="BG129" i="8"/>
  <c r="BE95" i="8"/>
  <c r="BE221" i="8"/>
  <c r="BE112" i="8"/>
  <c r="AQ33" i="6"/>
  <c r="AQ50" i="6" s="1"/>
  <c r="AZ140" i="7" s="1"/>
  <c r="AZ53" i="7"/>
  <c r="AZ69" i="7" l="1"/>
  <c r="AR33" i="6"/>
  <c r="AR50" i="6" s="1"/>
  <c r="BA140" i="7" s="1"/>
  <c r="BA53" i="7"/>
  <c r="BC16" i="7"/>
  <c r="BH129" i="8"/>
  <c r="BG111" i="8"/>
  <c r="BF95" i="8"/>
  <c r="BF221" i="8"/>
  <c r="BF112" i="8"/>
  <c r="BA69" i="7" l="1"/>
  <c r="BG95" i="8"/>
  <c r="BG221" i="8"/>
  <c r="BG112" i="8"/>
  <c r="BD16" i="7"/>
  <c r="BH111" i="8"/>
  <c r="BI129" i="8"/>
  <c r="AS33" i="6"/>
  <c r="AS50" i="6" s="1"/>
  <c r="BB140" i="7" s="1"/>
  <c r="BB53" i="7"/>
  <c r="BB69" i="7" l="1"/>
  <c r="BH95" i="8"/>
  <c r="BH221" i="8"/>
  <c r="BH112" i="8"/>
  <c r="AT33" i="6"/>
  <c r="AT50" i="6" s="1"/>
  <c r="BC140" i="7" s="1"/>
  <c r="BC53" i="7"/>
  <c r="BE16" i="7"/>
  <c r="BJ129" i="8"/>
  <c r="BI111" i="8"/>
  <c r="BC69" i="7" l="1"/>
  <c r="BI95" i="8"/>
  <c r="BI221" i="8"/>
  <c r="BI112" i="8"/>
  <c r="AU33" i="6"/>
  <c r="AU50" i="6" s="1"/>
  <c r="BD140" i="7" s="1"/>
  <c r="BD53" i="7"/>
  <c r="BF16" i="7"/>
  <c r="BK129" i="8"/>
  <c r="BJ111" i="8"/>
  <c r="BD69" i="7" l="1"/>
  <c r="AV33" i="6"/>
  <c r="AV50" i="6" s="1"/>
  <c r="BE140" i="7" s="1"/>
  <c r="BE53" i="7"/>
  <c r="BJ95" i="8"/>
  <c r="BJ221" i="8"/>
  <c r="BJ112" i="8"/>
  <c r="BG16" i="7"/>
  <c r="BL129" i="8"/>
  <c r="BK111" i="8"/>
  <c r="BE69" i="7" l="1"/>
  <c r="BH16" i="7"/>
  <c r="BM129" i="8"/>
  <c r="BL111" i="8"/>
  <c r="AW33" i="6"/>
  <c r="AW50" i="6" s="1"/>
  <c r="BF140" i="7" s="1"/>
  <c r="BF53" i="7"/>
  <c r="BK95" i="8"/>
  <c r="BK221" i="8"/>
  <c r="BK112" i="8"/>
  <c r="BF69" i="7" l="1"/>
  <c r="BI16" i="7"/>
  <c r="BN129" i="8"/>
  <c r="BM111" i="8"/>
  <c r="AX33" i="6"/>
  <c r="AX50" i="6" s="1"/>
  <c r="BG140" i="7" s="1"/>
  <c r="BG53" i="7"/>
  <c r="BL95" i="8"/>
  <c r="BL221" i="8"/>
  <c r="BL112" i="8"/>
  <c r="BG69" i="7" l="1"/>
  <c r="BM95" i="8"/>
  <c r="BM221" i="8"/>
  <c r="BM112" i="8"/>
  <c r="BJ16" i="7"/>
  <c r="BN111" i="8"/>
  <c r="BO129" i="8"/>
  <c r="BB16" i="6" s="1"/>
  <c r="AY33" i="6"/>
  <c r="AY50" i="6" s="1"/>
  <c r="BH140" i="7" s="1"/>
  <c r="BH53" i="7"/>
  <c r="BH69" i="7" l="1"/>
  <c r="I16" i="6"/>
  <c r="Q16" i="6"/>
  <c r="Y16" i="6"/>
  <c r="AG16" i="6"/>
  <c r="AO16" i="6"/>
  <c r="AW16" i="6"/>
  <c r="AU16" i="6"/>
  <c r="AM16" i="6"/>
  <c r="AE16" i="6"/>
  <c r="W16" i="6"/>
  <c r="O16" i="6"/>
  <c r="AT16" i="6"/>
  <c r="AL16" i="6"/>
  <c r="AD16" i="6"/>
  <c r="V16" i="6"/>
  <c r="N16" i="6"/>
  <c r="BA16" i="6"/>
  <c r="BK32" i="7" s="1"/>
  <c r="AS16" i="6"/>
  <c r="AK16" i="6"/>
  <c r="AC16" i="6"/>
  <c r="U16" i="6"/>
  <c r="M16" i="6"/>
  <c r="H16" i="6"/>
  <c r="AZ16" i="6"/>
  <c r="BJ32" i="7" s="1"/>
  <c r="AR16" i="6"/>
  <c r="AJ16" i="6"/>
  <c r="AB16" i="6"/>
  <c r="T16" i="6"/>
  <c r="L16" i="6"/>
  <c r="AQ16" i="6"/>
  <c r="AI16" i="6"/>
  <c r="AA16" i="6"/>
  <c r="S16" i="6"/>
  <c r="K16" i="6"/>
  <c r="AY16" i="6"/>
  <c r="BI32" i="7" s="1"/>
  <c r="AX16" i="6"/>
  <c r="BH32" i="7" s="1"/>
  <c r="AP16" i="6"/>
  <c r="AH16" i="6"/>
  <c r="Z16" i="6"/>
  <c r="R16" i="6"/>
  <c r="J16" i="6"/>
  <c r="AV16" i="6"/>
  <c r="AN16" i="6"/>
  <c r="AF16" i="6"/>
  <c r="X16" i="6"/>
  <c r="P16" i="6"/>
  <c r="BK16" i="7"/>
  <c r="BO111" i="8"/>
  <c r="BN95" i="8"/>
  <c r="BN221" i="8"/>
  <c r="BN112" i="8"/>
  <c r="AZ33" i="6"/>
  <c r="AZ50" i="6" s="1"/>
  <c r="BI140" i="7" s="1"/>
  <c r="BI53" i="7"/>
  <c r="BI69" i="7" l="1"/>
  <c r="AX100" i="6"/>
  <c r="Z32" i="7"/>
  <c r="P100" i="6"/>
  <c r="AH32" i="7"/>
  <c r="X100" i="6"/>
  <c r="AP32" i="7"/>
  <c r="AF100" i="6"/>
  <c r="AX32" i="7"/>
  <c r="AN100" i="6"/>
  <c r="BF32" i="7"/>
  <c r="AV100" i="6"/>
  <c r="T32" i="7"/>
  <c r="J100" i="6"/>
  <c r="AB32" i="7"/>
  <c r="R100" i="6"/>
  <c r="AJ32" i="7"/>
  <c r="Z100" i="6"/>
  <c r="AR32" i="7"/>
  <c r="AH100" i="6"/>
  <c r="AZ32" i="7"/>
  <c r="AP100" i="6"/>
  <c r="U32" i="7"/>
  <c r="K100" i="6"/>
  <c r="AC32" i="7"/>
  <c r="S100" i="6"/>
  <c r="AK32" i="7"/>
  <c r="AA100" i="6"/>
  <c r="AS32" i="7"/>
  <c r="AI100" i="6"/>
  <c r="BA32" i="7"/>
  <c r="AQ100" i="6"/>
  <c r="V32" i="7"/>
  <c r="L100" i="6"/>
  <c r="AD32" i="7"/>
  <c r="T100" i="6"/>
  <c r="AL32" i="7"/>
  <c r="AB100" i="6"/>
  <c r="AT32" i="7"/>
  <c r="AJ100" i="6"/>
  <c r="BB32" i="7"/>
  <c r="AR100" i="6"/>
  <c r="R32" i="7"/>
  <c r="H100" i="6"/>
  <c r="W32" i="7"/>
  <c r="M100" i="6"/>
  <c r="AE32" i="7"/>
  <c r="U100" i="6"/>
  <c r="AM32" i="7"/>
  <c r="AC100" i="6"/>
  <c r="AU32" i="7"/>
  <c r="AK100" i="6"/>
  <c r="BC32" i="7"/>
  <c r="AS100" i="6"/>
  <c r="X32" i="7"/>
  <c r="N100" i="6"/>
  <c r="AF32" i="7"/>
  <c r="V100" i="6"/>
  <c r="AN32" i="7"/>
  <c r="AD100" i="6"/>
  <c r="AV32" i="7"/>
  <c r="AL100" i="6"/>
  <c r="BD32" i="7"/>
  <c r="AT100" i="6"/>
  <c r="Y32" i="7"/>
  <c r="O100" i="6"/>
  <c r="AG32" i="7"/>
  <c r="W100" i="6"/>
  <c r="AO32" i="7"/>
  <c r="AE100" i="6"/>
  <c r="AW32" i="7"/>
  <c r="AM100" i="6"/>
  <c r="BE32" i="7"/>
  <c r="AU100" i="6"/>
  <c r="BG32" i="7"/>
  <c r="AW100" i="6"/>
  <c r="AY32" i="7"/>
  <c r="AO100" i="6"/>
  <c r="AQ32" i="7"/>
  <c r="AG100" i="6"/>
  <c r="AI32" i="7"/>
  <c r="Y100" i="6"/>
  <c r="AA32" i="7"/>
  <c r="Q100" i="6"/>
  <c r="S32" i="7"/>
  <c r="I100" i="6"/>
  <c r="BA33" i="6"/>
  <c r="BA50" i="6" s="1"/>
  <c r="BJ140" i="7" s="1"/>
  <c r="BJ53" i="7"/>
  <c r="BO95" i="8"/>
  <c r="BO221" i="8"/>
  <c r="BO112" i="8"/>
  <c r="AX135" i="6"/>
  <c r="BG250" i="7"/>
  <c r="AY100" i="6"/>
  <c r="BJ69" i="7" l="1"/>
  <c r="I135" i="6"/>
  <c r="R250" i="7"/>
  <c r="Q135" i="6"/>
  <c r="Z250" i="7"/>
  <c r="Y135" i="6"/>
  <c r="AH250" i="7"/>
  <c r="AG135" i="6"/>
  <c r="AP250" i="7"/>
  <c r="AO135" i="6"/>
  <c r="AX250" i="7"/>
  <c r="AW135" i="6"/>
  <c r="BF250" i="7"/>
  <c r="AU135" i="6"/>
  <c r="BD250" i="7"/>
  <c r="AM135" i="6"/>
  <c r="AV250" i="7"/>
  <c r="AN250" i="7"/>
  <c r="AE135" i="6"/>
  <c r="W135" i="6"/>
  <c r="AF250" i="7"/>
  <c r="O135" i="6"/>
  <c r="X250" i="7"/>
  <c r="AT135" i="6"/>
  <c r="BC250" i="7"/>
  <c r="AL135" i="6"/>
  <c r="AU250" i="7"/>
  <c r="AD135" i="6"/>
  <c r="AM250" i="7"/>
  <c r="AE250" i="7"/>
  <c r="V135" i="6"/>
  <c r="W250" i="7"/>
  <c r="N135" i="6"/>
  <c r="AS135" i="6"/>
  <c r="BB250" i="7"/>
  <c r="AK135" i="6"/>
  <c r="AT250" i="7"/>
  <c r="AC135" i="6"/>
  <c r="AL250" i="7"/>
  <c r="U135" i="6"/>
  <c r="AD250" i="7"/>
  <c r="V250" i="7"/>
  <c r="M135" i="6"/>
  <c r="H135" i="6"/>
  <c r="Q250" i="7"/>
  <c r="AR135" i="6"/>
  <c r="BA250" i="7"/>
  <c r="AS250" i="7"/>
  <c r="AJ135" i="6"/>
  <c r="AB135" i="6"/>
  <c r="AK250" i="7"/>
  <c r="T135" i="6"/>
  <c r="AC250" i="7"/>
  <c r="L135" i="6"/>
  <c r="U250" i="7"/>
  <c r="AQ135" i="6"/>
  <c r="AZ250" i="7"/>
  <c r="AI135" i="6"/>
  <c r="AR250" i="7"/>
  <c r="AA135" i="6"/>
  <c r="AJ250" i="7"/>
  <c r="S135" i="6"/>
  <c r="AB250" i="7"/>
  <c r="K135" i="6"/>
  <c r="T250" i="7"/>
  <c r="AP135" i="6"/>
  <c r="AY250" i="7"/>
  <c r="AH135" i="6"/>
  <c r="AQ250" i="7"/>
  <c r="Z135" i="6"/>
  <c r="AI250" i="7"/>
  <c r="R135" i="6"/>
  <c r="AA250" i="7"/>
  <c r="S250" i="7"/>
  <c r="J135" i="6"/>
  <c r="AV135" i="6"/>
  <c r="BE250" i="7"/>
  <c r="AN135" i="6"/>
  <c r="AW250" i="7"/>
  <c r="AF135" i="6"/>
  <c r="AO250" i="7"/>
  <c r="AG250" i="7"/>
  <c r="X135" i="6"/>
  <c r="P135" i="6"/>
  <c r="Y250" i="7"/>
  <c r="AY135" i="6"/>
  <c r="BH250" i="7"/>
  <c r="AZ100" i="6"/>
  <c r="BK53" i="7"/>
  <c r="BB33" i="6"/>
  <c r="BB50" i="6" s="1"/>
  <c r="BK140" i="7" s="1"/>
  <c r="BK69" i="7" l="1"/>
  <c r="AZ135" i="6"/>
  <c r="BI250" i="7"/>
  <c r="BA100" i="6"/>
  <c r="BA135" i="6" l="1"/>
  <c r="BJ250" i="7"/>
  <c r="BB100" i="6"/>
  <c r="BB135" i="6" l="1"/>
  <c r="BK250" i="7"/>
  <c r="Q33" i="7"/>
  <c r="P17" i="7"/>
  <c r="P33" i="7" s="1"/>
  <c r="T236" i="8"/>
  <c r="P125" i="7" s="1"/>
  <c r="V246" i="8" l="1"/>
  <c r="R125" i="7"/>
  <c r="T246" i="8"/>
  <c r="U246" i="8"/>
  <c r="Q125" i="7"/>
  <c r="R33" i="7" l="1"/>
  <c r="Q17" i="7"/>
  <c r="R17" i="7"/>
  <c r="S33" i="7"/>
  <c r="Q54" i="7"/>
  <c r="H34" i="6"/>
  <c r="G34" i="6"/>
  <c r="P70" i="7" s="1"/>
  <c r="P54" i="7"/>
  <c r="R54" i="7"/>
  <c r="I34" i="6"/>
  <c r="S125" i="7"/>
  <c r="W246" i="8"/>
  <c r="Q70" i="7" l="1"/>
  <c r="R70" i="7"/>
  <c r="T33" i="7"/>
  <c r="S17" i="7"/>
  <c r="T125" i="7"/>
  <c r="X246" i="8"/>
  <c r="S54" i="7"/>
  <c r="J34" i="6"/>
  <c r="S70" i="7" l="1"/>
  <c r="U33" i="7"/>
  <c r="T17" i="7"/>
  <c r="T54" i="7"/>
  <c r="K34" i="6"/>
  <c r="Y246" i="8"/>
  <c r="U125" i="7"/>
  <c r="H101" i="6"/>
  <c r="G101" i="6"/>
  <c r="P251" i="7" s="1"/>
  <c r="I101" i="6"/>
  <c r="T70" i="7" l="1"/>
  <c r="U54" i="7"/>
  <c r="L34" i="6"/>
  <c r="Z246" i="8"/>
  <c r="V125" i="7"/>
  <c r="G136" i="6"/>
  <c r="V33" i="7"/>
  <c r="U17" i="7"/>
  <c r="I136" i="6"/>
  <c r="R251" i="7"/>
  <c r="H136" i="6"/>
  <c r="Q251" i="7"/>
  <c r="J101" i="6"/>
  <c r="U70" i="7" l="1"/>
  <c r="S251" i="7"/>
  <c r="J136" i="6"/>
  <c r="V17" i="7"/>
  <c r="W33" i="7"/>
  <c r="W125" i="7"/>
  <c r="AA246" i="8"/>
  <c r="V54" i="7"/>
  <c r="M34" i="6"/>
  <c r="K101" i="6"/>
  <c r="V70" i="7" l="1"/>
  <c r="W54" i="7"/>
  <c r="N34" i="6"/>
  <c r="K136" i="6"/>
  <c r="T251" i="7"/>
  <c r="L101" i="6"/>
  <c r="X33" i="7"/>
  <c r="W17" i="7"/>
  <c r="AB246" i="8"/>
  <c r="X125" i="7"/>
  <c r="W70" i="7" l="1"/>
  <c r="L136" i="6"/>
  <c r="U251" i="7"/>
  <c r="O34" i="6"/>
  <c r="X54" i="7"/>
  <c r="Y33" i="7"/>
  <c r="X17" i="7"/>
  <c r="Y125" i="7"/>
  <c r="AC246" i="8"/>
  <c r="M101" i="6"/>
  <c r="X70" i="7" l="1"/>
  <c r="M136" i="6"/>
  <c r="V251" i="7"/>
  <c r="Y17" i="7"/>
  <c r="Z33" i="7"/>
  <c r="N101" i="6"/>
  <c r="Y54" i="7"/>
  <c r="P34" i="6"/>
  <c r="Z125" i="7"/>
  <c r="AD246" i="8"/>
  <c r="Y70" i="7" l="1"/>
  <c r="AA33" i="7"/>
  <c r="Z17" i="7"/>
  <c r="AA125" i="7"/>
  <c r="AE246" i="8"/>
  <c r="Z54" i="7"/>
  <c r="Q34" i="6"/>
  <c r="N136" i="6"/>
  <c r="W251" i="7"/>
  <c r="O101" i="6"/>
  <c r="Z70" i="7" l="1"/>
  <c r="O136" i="6"/>
  <c r="X251" i="7"/>
  <c r="AB33" i="7"/>
  <c r="AA17" i="7"/>
  <c r="AA54" i="7"/>
  <c r="R34" i="6"/>
  <c r="AF246" i="8"/>
  <c r="AB125" i="7"/>
  <c r="P101" i="6"/>
  <c r="AA70" i="7" l="1"/>
  <c r="AC125" i="7"/>
  <c r="AG246" i="8"/>
  <c r="Q101" i="6"/>
  <c r="AC33" i="7"/>
  <c r="AB17" i="7"/>
  <c r="Y251" i="7"/>
  <c r="P136" i="6"/>
  <c r="AB54" i="7"/>
  <c r="S34" i="6"/>
  <c r="AB70" i="7" l="1"/>
  <c r="R101" i="6"/>
  <c r="Z251" i="7"/>
  <c r="Q136" i="6"/>
  <c r="AC54" i="7"/>
  <c r="T34" i="6"/>
  <c r="AD125" i="7"/>
  <c r="AH246" i="8"/>
  <c r="AD33" i="7"/>
  <c r="AC17" i="7"/>
  <c r="AC70" i="7" l="1"/>
  <c r="AE125" i="7"/>
  <c r="AI246" i="8"/>
  <c r="AD54" i="7"/>
  <c r="U34" i="6"/>
  <c r="AE33" i="7"/>
  <c r="AD17" i="7"/>
  <c r="S101" i="6"/>
  <c r="AA251" i="7"/>
  <c r="R136" i="6"/>
  <c r="AD70" i="7" l="1"/>
  <c r="AE54" i="7"/>
  <c r="V34" i="6"/>
  <c r="AB251" i="7"/>
  <c r="S136" i="6"/>
  <c r="T101" i="6"/>
  <c r="AF33" i="7"/>
  <c r="AE17" i="7"/>
  <c r="AF125" i="7"/>
  <c r="AJ246" i="8"/>
  <c r="AE70" i="7" l="1"/>
  <c r="AG125" i="7"/>
  <c r="AK246" i="8"/>
  <c r="AG33" i="7"/>
  <c r="AF17" i="7"/>
  <c r="W34" i="6"/>
  <c r="AF54" i="7"/>
  <c r="T136" i="6"/>
  <c r="AC251" i="7"/>
  <c r="U101" i="6"/>
  <c r="AF70" i="7" l="1"/>
  <c r="AG54" i="7"/>
  <c r="X34" i="6"/>
  <c r="U136" i="6"/>
  <c r="AD251" i="7"/>
  <c r="AH33" i="7"/>
  <c r="AG17" i="7"/>
  <c r="AL246" i="8"/>
  <c r="AH125" i="7"/>
  <c r="V101" i="6"/>
  <c r="AG70" i="7" l="1"/>
  <c r="V136" i="6"/>
  <c r="AE251" i="7"/>
  <c r="Y34" i="6"/>
  <c r="AH54" i="7"/>
  <c r="AM246" i="8"/>
  <c r="AI125" i="7"/>
  <c r="AH17" i="7"/>
  <c r="AI33" i="7"/>
  <c r="W101" i="6"/>
  <c r="AH70" i="7" l="1"/>
  <c r="AN246" i="8"/>
  <c r="AJ125" i="7"/>
  <c r="X101" i="6"/>
  <c r="W136" i="6"/>
  <c r="AF251" i="7"/>
  <c r="Z34" i="6"/>
  <c r="AI54" i="7"/>
  <c r="AJ33" i="7"/>
  <c r="AI17" i="7"/>
  <c r="AI70" i="7" l="1"/>
  <c r="Y101" i="6"/>
  <c r="X136" i="6"/>
  <c r="AG251" i="7"/>
  <c r="AK33" i="7"/>
  <c r="AJ17" i="7"/>
  <c r="AO246" i="8"/>
  <c r="AK125" i="7"/>
  <c r="AJ54" i="7"/>
  <c r="AA34" i="6"/>
  <c r="AJ70" i="7" l="1"/>
  <c r="Z101" i="6"/>
  <c r="AK54" i="7"/>
  <c r="AB34" i="6"/>
  <c r="AP246" i="8"/>
  <c r="AL125" i="7"/>
  <c r="AK17" i="7"/>
  <c r="AL33" i="7"/>
  <c r="Y136" i="6"/>
  <c r="AH251" i="7"/>
  <c r="AK70" i="7" l="1"/>
  <c r="AC34" i="6"/>
  <c r="AL54" i="7"/>
  <c r="AM33" i="7"/>
  <c r="AL17" i="7"/>
  <c r="AI251" i="7"/>
  <c r="Z136" i="6"/>
  <c r="AQ246" i="8"/>
  <c r="AM125" i="7"/>
  <c r="AA101" i="6"/>
  <c r="AL70" i="7" l="1"/>
  <c r="AA136" i="6"/>
  <c r="AJ251" i="7"/>
  <c r="AM54" i="7"/>
  <c r="AD34" i="6"/>
  <c r="AN33" i="7"/>
  <c r="AM17" i="7"/>
  <c r="AB101" i="6"/>
  <c r="AR246" i="8"/>
  <c r="AN125" i="7"/>
  <c r="AM70" i="7" l="1"/>
  <c r="AC101" i="6"/>
  <c r="AS246" i="8"/>
  <c r="AO125" i="7"/>
  <c r="AO33" i="7"/>
  <c r="AN17" i="7"/>
  <c r="AE34" i="6"/>
  <c r="AN54" i="7"/>
  <c r="AK251" i="7"/>
  <c r="AB136" i="6"/>
  <c r="AN70" i="7" l="1"/>
  <c r="AT246" i="8"/>
  <c r="AP125" i="7"/>
  <c r="AO54" i="7"/>
  <c r="AF34" i="6"/>
  <c r="AP33" i="7"/>
  <c r="AO17" i="7"/>
  <c r="AD101" i="6"/>
  <c r="AC136" i="6"/>
  <c r="AL251" i="7"/>
  <c r="AO70" i="7" l="1"/>
  <c r="AU246" i="8"/>
  <c r="AQ125" i="7"/>
  <c r="AQ33" i="7"/>
  <c r="AP17" i="7"/>
  <c r="AD136" i="6"/>
  <c r="AM251" i="7"/>
  <c r="AP54" i="7"/>
  <c r="AG34" i="6"/>
  <c r="AE101" i="6"/>
  <c r="AP70" i="7" l="1"/>
  <c r="AE136" i="6"/>
  <c r="AN251" i="7"/>
  <c r="AV246" i="8"/>
  <c r="AR125" i="7"/>
  <c r="AQ17" i="7"/>
  <c r="AR33" i="7"/>
  <c r="AF101" i="6"/>
  <c r="AH34" i="6"/>
  <c r="AQ54" i="7"/>
  <c r="AQ70" i="7" l="1"/>
  <c r="AS33" i="7"/>
  <c r="AR17" i="7"/>
  <c r="AR54" i="7"/>
  <c r="AI34" i="6"/>
  <c r="AO251" i="7"/>
  <c r="AF136" i="6"/>
  <c r="AG101" i="6"/>
  <c r="AW246" i="8"/>
  <c r="AS125" i="7"/>
  <c r="AR70" i="7" l="1"/>
  <c r="AS54" i="7"/>
  <c r="AJ34" i="6"/>
  <c r="AP251" i="7"/>
  <c r="AG136" i="6"/>
  <c r="AX246" i="8"/>
  <c r="AT125" i="7"/>
  <c r="AS17" i="7"/>
  <c r="AT33" i="7"/>
  <c r="AH101" i="6"/>
  <c r="AS70" i="7" l="1"/>
  <c r="AQ251" i="7"/>
  <c r="AH136" i="6"/>
  <c r="AY246" i="8"/>
  <c r="AU125" i="7"/>
  <c r="AI101" i="6"/>
  <c r="AK34" i="6"/>
  <c r="AT54" i="7"/>
  <c r="AU33" i="7"/>
  <c r="AT17" i="7"/>
  <c r="AT70" i="7" l="1"/>
  <c r="AZ246" i="8"/>
  <c r="AV125" i="7"/>
  <c r="AJ101" i="6"/>
  <c r="AV33" i="7"/>
  <c r="AU17" i="7"/>
  <c r="AL34" i="6"/>
  <c r="AU54" i="7"/>
  <c r="AR251" i="7"/>
  <c r="AI136" i="6"/>
  <c r="AU70" i="7" l="1"/>
  <c r="AK101" i="6"/>
  <c r="AS251" i="7"/>
  <c r="AJ136" i="6"/>
  <c r="BA246" i="8"/>
  <c r="AW125" i="7"/>
  <c r="AM34" i="6"/>
  <c r="AV54" i="7"/>
  <c r="AW33" i="7"/>
  <c r="AV17" i="7"/>
  <c r="AV70" i="7" l="1"/>
  <c r="AX33" i="7"/>
  <c r="AW17" i="7"/>
  <c r="AW54" i="7"/>
  <c r="AN34" i="6"/>
  <c r="AL101" i="6"/>
  <c r="BB246" i="8"/>
  <c r="AX125" i="7"/>
  <c r="AT251" i="7"/>
  <c r="AK136" i="6"/>
  <c r="AW70" i="7" l="1"/>
  <c r="AM101" i="6"/>
  <c r="BC246" i="8"/>
  <c r="AY125" i="7"/>
  <c r="AL136" i="6"/>
  <c r="AU251" i="7"/>
  <c r="AY33" i="7"/>
  <c r="AX17" i="7"/>
  <c r="AX54" i="7"/>
  <c r="AO34" i="6"/>
  <c r="AX70" i="7" l="1"/>
  <c r="BD246" i="8"/>
  <c r="AZ125" i="7"/>
  <c r="AY17" i="7"/>
  <c r="AZ33" i="7"/>
  <c r="AP34" i="6"/>
  <c r="AY54" i="7"/>
  <c r="AN101" i="6"/>
  <c r="AV251" i="7"/>
  <c r="AM136" i="6"/>
  <c r="AY70" i="7" l="1"/>
  <c r="AW251" i="7"/>
  <c r="AN136" i="6"/>
  <c r="BE246" i="8"/>
  <c r="BA125" i="7"/>
  <c r="BA33" i="7"/>
  <c r="AZ17" i="7"/>
  <c r="AO101" i="6"/>
  <c r="AZ54" i="7"/>
  <c r="AQ34" i="6"/>
  <c r="AZ70" i="7" l="1"/>
  <c r="AX251" i="7"/>
  <c r="AO136" i="6"/>
  <c r="BA54" i="7"/>
  <c r="AR34" i="6"/>
  <c r="BB33" i="7"/>
  <c r="BA17" i="7"/>
  <c r="AP101" i="6"/>
  <c r="BF246" i="8"/>
  <c r="BB125" i="7"/>
  <c r="BA70" i="7" l="1"/>
  <c r="BG246" i="8"/>
  <c r="BC125" i="7"/>
  <c r="BB54" i="7"/>
  <c r="AS34" i="6"/>
  <c r="BC33" i="7"/>
  <c r="BB17" i="7"/>
  <c r="AY251" i="7"/>
  <c r="AP136" i="6"/>
  <c r="AQ101" i="6"/>
  <c r="BB70" i="7" l="1"/>
  <c r="AR101" i="6"/>
  <c r="BH246" i="8"/>
  <c r="BD125" i="7"/>
  <c r="BD33" i="7"/>
  <c r="BC17" i="7"/>
  <c r="AZ251" i="7"/>
  <c r="AQ136" i="6"/>
  <c r="BC54" i="7"/>
  <c r="AT34" i="6"/>
  <c r="BC70" i="7" l="1"/>
  <c r="AS101" i="6"/>
  <c r="BI246" i="8"/>
  <c r="BE125" i="7"/>
  <c r="BE33" i="7"/>
  <c r="BD17" i="7"/>
  <c r="AU34" i="6"/>
  <c r="BD54" i="7"/>
  <c r="AR136" i="6"/>
  <c r="BA251" i="7"/>
  <c r="BD70" i="7" l="1"/>
  <c r="AV34" i="6"/>
  <c r="BE54" i="7"/>
  <c r="BF33" i="7"/>
  <c r="BE17" i="7"/>
  <c r="BJ246" i="8"/>
  <c r="BF125" i="7"/>
  <c r="AS136" i="6"/>
  <c r="BB251" i="7"/>
  <c r="AT101" i="6"/>
  <c r="BE70" i="7" l="1"/>
  <c r="BK246" i="8"/>
  <c r="BG125" i="7"/>
  <c r="BC251" i="7"/>
  <c r="AT136" i="6"/>
  <c r="AU101" i="6"/>
  <c r="BG33" i="7"/>
  <c r="BF17" i="7"/>
  <c r="AW34" i="6"/>
  <c r="BF54" i="7"/>
  <c r="BF70" i="7" l="1"/>
  <c r="AV101" i="6"/>
  <c r="BL246" i="8"/>
  <c r="BH125" i="7"/>
  <c r="BG54" i="7"/>
  <c r="AX34" i="6"/>
  <c r="BD251" i="7"/>
  <c r="AU136" i="6"/>
  <c r="BH33" i="7"/>
  <c r="BG17" i="7"/>
  <c r="BG70" i="7" l="1"/>
  <c r="AY34" i="6"/>
  <c r="BH54" i="7"/>
  <c r="BI33" i="7"/>
  <c r="BH17" i="7"/>
  <c r="BM246" i="8"/>
  <c r="BI125" i="7"/>
  <c r="AW101" i="6"/>
  <c r="AV136" i="6"/>
  <c r="BE251" i="7"/>
  <c r="BH70" i="7" l="1"/>
  <c r="AW136" i="6"/>
  <c r="BF251" i="7"/>
  <c r="BJ33" i="7"/>
  <c r="BI17" i="7"/>
  <c r="BI54" i="7"/>
  <c r="AZ34" i="6"/>
  <c r="AX101" i="6"/>
  <c r="BN246" i="8"/>
  <c r="BJ125" i="7"/>
  <c r="BI70" i="7" l="1"/>
  <c r="BO246" i="8"/>
  <c r="BK125" i="7"/>
  <c r="BA34" i="6"/>
  <c r="BJ54" i="7"/>
  <c r="AY101" i="6"/>
  <c r="BJ17" i="7"/>
  <c r="BK33" i="7"/>
  <c r="AX136" i="6"/>
  <c r="BG251" i="7"/>
  <c r="BJ70" i="7" l="1"/>
  <c r="AY136" i="6"/>
  <c r="BH251" i="7"/>
  <c r="BB34" i="6"/>
  <c r="BK54" i="7"/>
  <c r="BK17" i="7"/>
  <c r="AZ101" i="6"/>
  <c r="BK70" i="7" l="1"/>
  <c r="BI251" i="7"/>
  <c r="AZ136" i="6"/>
  <c r="BA101" i="6"/>
  <c r="BJ251" i="7" l="1"/>
  <c r="BA136" i="6"/>
  <c r="BB101" i="6"/>
  <c r="BK251" i="7" l="1"/>
  <c r="BB136" i="6"/>
  <c r="BB89" i="6"/>
  <c r="BK239" i="7" s="1"/>
  <c r="H89" i="6"/>
  <c r="H124" i="6" l="1"/>
  <c r="Q239" i="7"/>
  <c r="BB124" i="6"/>
  <c r="R21" i="7"/>
  <c r="I89" i="6" l="1"/>
  <c r="S21" i="7"/>
  <c r="T21" i="7" l="1"/>
  <c r="J89" i="6"/>
  <c r="I124" i="6"/>
  <c r="R239" i="7"/>
  <c r="S239" i="7" l="1"/>
  <c r="J124" i="6"/>
  <c r="K89" i="6"/>
  <c r="U21" i="7"/>
  <c r="T239" i="7" l="1"/>
  <c r="K124" i="6"/>
  <c r="V21" i="7"/>
  <c r="L89" i="6"/>
  <c r="L124" i="6" l="1"/>
  <c r="U239" i="7"/>
  <c r="M89" i="6"/>
  <c r="W21" i="7"/>
  <c r="X21" i="7" l="1"/>
  <c r="N89" i="6"/>
  <c r="V239" i="7"/>
  <c r="M124" i="6"/>
  <c r="N124" i="6" l="1"/>
  <c r="W239" i="7"/>
  <c r="O89" i="6"/>
  <c r="Y21" i="7"/>
  <c r="Z21" i="7" l="1"/>
  <c r="P89" i="6"/>
  <c r="O124" i="6"/>
  <c r="X239" i="7"/>
  <c r="P124" i="6" l="1"/>
  <c r="Y239" i="7"/>
  <c r="AA21" i="7"/>
  <c r="Q89" i="6"/>
  <c r="Z239" i="7" l="1"/>
  <c r="Q124" i="6"/>
  <c r="R89" i="6"/>
  <c r="AB21" i="7"/>
  <c r="S89" i="6" l="1"/>
  <c r="AC21" i="7"/>
  <c r="R124" i="6"/>
  <c r="AA239" i="7"/>
  <c r="T89" i="6" l="1"/>
  <c r="AD21" i="7"/>
  <c r="S124" i="6"/>
  <c r="AB239" i="7"/>
  <c r="AE21" i="7" l="1"/>
  <c r="U89" i="6"/>
  <c r="AC239" i="7"/>
  <c r="T124" i="6"/>
  <c r="AF21" i="7" l="1"/>
  <c r="V89" i="6"/>
  <c r="AD239" i="7"/>
  <c r="U124" i="6"/>
  <c r="AE239" i="7" l="1"/>
  <c r="V124" i="6"/>
  <c r="W89" i="6"/>
  <c r="AG21" i="7"/>
  <c r="AF239" i="7" l="1"/>
  <c r="W124" i="6"/>
  <c r="X89" i="6"/>
  <c r="AH21" i="7"/>
  <c r="Y89" i="6" l="1"/>
  <c r="AI21" i="7"/>
  <c r="AG239" i="7"/>
  <c r="X124" i="6"/>
  <c r="AJ21" i="7" l="1"/>
  <c r="Z89" i="6"/>
  <c r="Y124" i="6"/>
  <c r="AH239" i="7"/>
  <c r="Z124" i="6" l="1"/>
  <c r="AI239" i="7"/>
  <c r="AA89" i="6"/>
  <c r="AK21" i="7"/>
  <c r="AA124" i="6" l="1"/>
  <c r="AJ239" i="7"/>
  <c r="AL21" i="7"/>
  <c r="AB89" i="6"/>
  <c r="AM21" i="7" l="1"/>
  <c r="AC89" i="6"/>
  <c r="AB124" i="6"/>
  <c r="AK239" i="7"/>
  <c r="AC124" i="6" l="1"/>
  <c r="AL239" i="7"/>
  <c r="AN21" i="7"/>
  <c r="AD89" i="6"/>
  <c r="AE89" i="6" l="1"/>
  <c r="AO21" i="7"/>
  <c r="AM239" i="7"/>
  <c r="AD124" i="6"/>
  <c r="AF89" i="6" l="1"/>
  <c r="AP21" i="7"/>
  <c r="AE124" i="6"/>
  <c r="AN239" i="7"/>
  <c r="AG89" i="6" l="1"/>
  <c r="AQ21" i="7"/>
  <c r="AF124" i="6"/>
  <c r="AO239" i="7"/>
  <c r="AH89" i="6" l="1"/>
  <c r="AR21" i="7"/>
  <c r="AG124" i="6"/>
  <c r="AP239" i="7"/>
  <c r="AS21" i="7" l="1"/>
  <c r="AI89" i="6"/>
  <c r="AH124" i="6"/>
  <c r="AQ239" i="7"/>
  <c r="AR239" i="7" l="1"/>
  <c r="AI124" i="6"/>
  <c r="AT21" i="7"/>
  <c r="AJ89" i="6"/>
  <c r="AS239" i="7" l="1"/>
  <c r="AJ124" i="6"/>
  <c r="AU21" i="7"/>
  <c r="AK89" i="6"/>
  <c r="AT239" i="7" l="1"/>
  <c r="AK124" i="6"/>
  <c r="AL89" i="6"/>
  <c r="AV21" i="7"/>
  <c r="AM89" i="6" l="1"/>
  <c r="AW21" i="7"/>
  <c r="AL124" i="6"/>
  <c r="AU239" i="7"/>
  <c r="AN89" i="6" l="1"/>
  <c r="AX21" i="7"/>
  <c r="AV239" i="7"/>
  <c r="AM124" i="6"/>
  <c r="AO89" i="6" l="1"/>
  <c r="AY21" i="7"/>
  <c r="AW239" i="7"/>
  <c r="AN124" i="6"/>
  <c r="AP89" i="6" l="1"/>
  <c r="AZ21" i="7"/>
  <c r="AX239" i="7"/>
  <c r="AO124" i="6"/>
  <c r="BA21" i="7" l="1"/>
  <c r="AQ89" i="6"/>
  <c r="AY239" i="7"/>
  <c r="AP124" i="6"/>
  <c r="AZ239" i="7" l="1"/>
  <c r="AQ124" i="6"/>
  <c r="BB21" i="7"/>
  <c r="AR89" i="6"/>
  <c r="AR124" i="6" l="1"/>
  <c r="BA239" i="7"/>
  <c r="BC21" i="7"/>
  <c r="AS89" i="6"/>
  <c r="BD21" i="7" l="1"/>
  <c r="AT89" i="6"/>
  <c r="AS124" i="6"/>
  <c r="BB239" i="7"/>
  <c r="AU89" i="6" l="1"/>
  <c r="BE21" i="7"/>
  <c r="AT124" i="6"/>
  <c r="BC239" i="7"/>
  <c r="BF21" i="7" l="1"/>
  <c r="AV89" i="6"/>
  <c r="BD239" i="7"/>
  <c r="AU124" i="6"/>
  <c r="AV124" i="6" l="1"/>
  <c r="BE239" i="7"/>
  <c r="BG21" i="7"/>
  <c r="AW89" i="6"/>
  <c r="AW124" i="6" l="1"/>
  <c r="BF239" i="7"/>
  <c r="BH21" i="7"/>
  <c r="AX89" i="6"/>
  <c r="AX124" i="6" l="1"/>
  <c r="BG239" i="7"/>
  <c r="BI21" i="7"/>
  <c r="AY89" i="6"/>
  <c r="AY124" i="6" l="1"/>
  <c r="BH239" i="7"/>
  <c r="BJ21" i="7"/>
  <c r="AZ89" i="6"/>
  <c r="BA89" i="6" l="1"/>
  <c r="BK21" i="7"/>
  <c r="BI239" i="7"/>
  <c r="AZ124" i="6"/>
  <c r="BJ239" i="7" l="1"/>
  <c r="BA124" i="6"/>
  <c r="BE246" i="7" l="1"/>
  <c r="AK246" i="7"/>
  <c r="AC131" i="6"/>
  <c r="AL246" i="7"/>
  <c r="BJ246" i="7"/>
  <c r="BA131" i="6"/>
  <c r="Y131" i="6"/>
  <c r="AH246" i="7"/>
  <c r="V131" i="6"/>
  <c r="AE246" i="7"/>
  <c r="AN131" i="6"/>
  <c r="AW246" i="7"/>
  <c r="AX246" i="7"/>
  <c r="AO131" i="6"/>
  <c r="AI246" i="7"/>
  <c r="Z131" i="6"/>
  <c r="AY131" i="6"/>
  <c r="BH246" i="7"/>
  <c r="AE131" i="6"/>
  <c r="AN246" i="7"/>
  <c r="T131" i="6"/>
  <c r="AC246" i="7"/>
  <c r="AJ131" i="6"/>
  <c r="AS246" i="7"/>
  <c r="AR131" i="6"/>
  <c r="BA246" i="7"/>
  <c r="BI246" i="7"/>
  <c r="AZ131" i="6"/>
  <c r="N131" i="6"/>
  <c r="AF131" i="6"/>
  <c r="AO246" i="7"/>
  <c r="AV131" i="6" l="1"/>
  <c r="AG131" i="6"/>
  <c r="AL131" i="6"/>
  <c r="AB131" i="6"/>
  <c r="AG246" i="7"/>
  <c r="X131" i="6"/>
  <c r="BG246" i="7"/>
  <c r="AP246" i="7"/>
  <c r="AU246" i="7"/>
  <c r="AX131" i="6"/>
  <c r="AR246" i="7"/>
  <c r="AI131" i="6"/>
  <c r="AQ246" i="7"/>
  <c r="AH131" i="6"/>
  <c r="BD246" i="7"/>
  <c r="AU131" i="6"/>
  <c r="AD246" i="7"/>
  <c r="U131" i="6"/>
  <c r="S131" i="6"/>
  <c r="AB246" i="7"/>
  <c r="AT246" i="7"/>
  <c r="AK131" i="6"/>
  <c r="W131" i="6"/>
  <c r="AF246" i="7"/>
  <c r="O131" i="6"/>
  <c r="X246" i="7"/>
  <c r="AW131" i="6"/>
  <c r="BF246" i="7"/>
  <c r="AA246" i="7"/>
  <c r="R131" i="6"/>
  <c r="AD131" i="6"/>
  <c r="AM246" i="7"/>
  <c r="AP131" i="6"/>
  <c r="AY246" i="7"/>
  <c r="AV246" i="7"/>
  <c r="AM131" i="6"/>
  <c r="AA131" i="6"/>
  <c r="AJ246" i="7"/>
  <c r="AS131" i="6"/>
  <c r="BB246" i="7"/>
  <c r="AZ246" i="7"/>
  <c r="AQ131" i="6"/>
  <c r="BC246" i="7"/>
  <c r="AT131" i="6"/>
  <c r="Z246" i="7"/>
  <c r="Q131" i="6"/>
  <c r="Y246" i="7"/>
  <c r="P131" i="6"/>
  <c r="W246" i="7"/>
  <c r="K96" i="6"/>
  <c r="J96" i="6"/>
  <c r="H96" i="6"/>
  <c r="L96" i="6"/>
  <c r="I96" i="6"/>
  <c r="M96" i="6"/>
  <c r="P254" i="7"/>
  <c r="P246" i="7"/>
  <c r="G119" i="6"/>
  <c r="G102" i="6"/>
  <c r="G46" i="6"/>
  <c r="G131" i="6"/>
  <c r="G137" i="6" s="1"/>
  <c r="V246" i="7" l="1"/>
  <c r="M46" i="6"/>
  <c r="Q246" i="7"/>
  <c r="H46" i="6"/>
  <c r="J131" i="6"/>
  <c r="J46" i="6"/>
  <c r="R246" i="7"/>
  <c r="I46" i="6"/>
  <c r="L131" i="6"/>
  <c r="L46" i="6"/>
  <c r="K131" i="6"/>
  <c r="K46" i="6"/>
  <c r="AR29" i="6"/>
  <c r="BA65" i="7" s="1"/>
  <c r="T246" i="7"/>
  <c r="M131" i="6"/>
  <c r="I131" i="6"/>
  <c r="G29" i="6"/>
  <c r="P65" i="7" s="1"/>
  <c r="U246" i="7"/>
  <c r="S246" i="7"/>
  <c r="H131" i="6"/>
  <c r="Q29" i="6" l="1"/>
  <c r="Z65" i="7" s="1"/>
  <c r="AV29" i="6"/>
  <c r="BE65" i="7" s="1"/>
  <c r="AK29" i="6"/>
  <c r="AT65" i="7" s="1"/>
  <c r="AL29" i="6"/>
  <c r="AU65" i="7" s="1"/>
  <c r="AC29" i="6"/>
  <c r="AL65" i="7" s="1"/>
  <c r="AS29" i="6"/>
  <c r="BB65" i="7" s="1"/>
  <c r="AX29" i="6"/>
  <c r="BG65" i="7" s="1"/>
  <c r="AZ29" i="6"/>
  <c r="BI65" i="7" s="1"/>
  <c r="P29" i="6"/>
  <c r="Y65" i="7" s="1"/>
  <c r="BA29" i="6"/>
  <c r="BJ65" i="7" s="1"/>
  <c r="S29" i="6"/>
  <c r="AB65" i="7" s="1"/>
  <c r="X29" i="6"/>
  <c r="AG65" i="7" s="1"/>
  <c r="L29" i="6"/>
  <c r="U65" i="7" s="1"/>
  <c r="T29" i="6"/>
  <c r="AC65" i="7" s="1"/>
  <c r="AJ29" i="6"/>
  <c r="AS65" i="7" s="1"/>
  <c r="AT29" i="6"/>
  <c r="BC65" i="7" s="1"/>
  <c r="R29" i="6"/>
  <c r="AA65" i="7" s="1"/>
  <c r="AM29" i="6"/>
  <c r="AV65" i="7" s="1"/>
  <c r="AY29" i="6"/>
  <c r="BH65" i="7" s="1"/>
  <c r="H29" i="6"/>
  <c r="Q65" i="7" s="1"/>
  <c r="AG29" i="6"/>
  <c r="AP65" i="7" s="1"/>
  <c r="W29" i="6"/>
  <c r="AF65" i="7" s="1"/>
  <c r="AW29" i="6"/>
  <c r="BF65" i="7" s="1"/>
  <c r="Y29" i="6"/>
  <c r="AH65" i="7" s="1"/>
  <c r="AE29" i="6"/>
  <c r="AN65" i="7" s="1"/>
  <c r="V29" i="6"/>
  <c r="AE65" i="7" s="1"/>
  <c r="I29" i="6"/>
  <c r="R65" i="7" s="1"/>
  <c r="M29" i="6"/>
  <c r="V65" i="7" s="1"/>
  <c r="AF29" i="6"/>
  <c r="AO65" i="7" s="1"/>
  <c r="U29" i="6"/>
  <c r="AD65" i="7" s="1"/>
  <c r="AA29" i="6"/>
  <c r="AJ65" i="7" s="1"/>
  <c r="AU29" i="6"/>
  <c r="BD65" i="7" s="1"/>
  <c r="AN29" i="6"/>
  <c r="AW65" i="7" s="1"/>
  <c r="AQ29" i="6"/>
  <c r="AZ65" i="7" s="1"/>
  <c r="AO29" i="6"/>
  <c r="AX65" i="7" s="1"/>
  <c r="AH29" i="6"/>
  <c r="AQ65" i="7" s="1"/>
  <c r="AI29" i="6"/>
  <c r="AR65" i="7" s="1"/>
  <c r="N29" i="6"/>
  <c r="W65" i="7" s="1"/>
  <c r="AB29" i="6"/>
  <c r="AK65" i="7" s="1"/>
  <c r="AD29" i="6"/>
  <c r="AM65" i="7" s="1"/>
  <c r="J29" i="6"/>
  <c r="S65" i="7" s="1"/>
  <c r="Z29" i="6"/>
  <c r="AI65" i="7" s="1"/>
  <c r="O29" i="6"/>
  <c r="X65" i="7" s="1"/>
  <c r="K29" i="6"/>
  <c r="T65" i="7" s="1"/>
  <c r="AP29" i="6"/>
  <c r="AY65" i="7" s="1"/>
  <c r="AV97" i="7" l="1"/>
  <c r="AN97" i="7"/>
  <c r="AF97" i="7"/>
  <c r="X97" i="7"/>
  <c r="Q97" i="7"/>
  <c r="BC97" i="7"/>
  <c r="AU97" i="7"/>
  <c r="AM97" i="7"/>
  <c r="AE97" i="7"/>
  <c r="W97" i="7"/>
  <c r="BJ97" i="7"/>
  <c r="BB97" i="7"/>
  <c r="AT97" i="7"/>
  <c r="AL97" i="7"/>
  <c r="AD97" i="7"/>
  <c r="V97" i="7"/>
  <c r="BI97" i="7"/>
  <c r="BA97" i="7"/>
  <c r="AS97" i="7"/>
  <c r="AK97" i="7"/>
  <c r="AC97" i="7"/>
  <c r="U97" i="7"/>
  <c r="BD97" i="7"/>
  <c r="BH97" i="7"/>
  <c r="AZ97" i="7"/>
  <c r="AR97" i="7"/>
  <c r="AJ97" i="7"/>
  <c r="AB97" i="7"/>
  <c r="T97" i="7"/>
  <c r="BG97" i="7"/>
  <c r="AY97" i="7"/>
  <c r="AQ97" i="7"/>
  <c r="AI97" i="7"/>
  <c r="AA97" i="7"/>
  <c r="S97" i="7"/>
  <c r="BF97" i="7"/>
  <c r="AX97" i="7"/>
  <c r="AP97" i="7"/>
  <c r="AH97" i="7"/>
  <c r="Z97" i="7"/>
  <c r="R97" i="7"/>
  <c r="BE97" i="7"/>
  <c r="AW97" i="7"/>
  <c r="AO97" i="7"/>
  <c r="AG97" i="7"/>
  <c r="Y97" i="7"/>
  <c r="BK97" i="7"/>
  <c r="BA94" i="6" l="1"/>
  <c r="AL94" i="6"/>
  <c r="AN94" i="6"/>
  <c r="Q94" i="6"/>
  <c r="Z244" i="7" s="1"/>
  <c r="Z254" i="7" s="1"/>
  <c r="AZ94" i="6"/>
  <c r="AZ129" i="6" s="1"/>
  <c r="AZ137" i="6" s="1"/>
  <c r="AK94" i="6"/>
  <c r="U94" i="6"/>
  <c r="U119" i="6" s="1"/>
  <c r="AX94" i="6"/>
  <c r="AX119" i="6" s="1"/>
  <c r="AF94" i="6"/>
  <c r="R94" i="6"/>
  <c r="L94" i="6"/>
  <c r="P94" i="6"/>
  <c r="Y244" i="7" s="1"/>
  <c r="Y254" i="7" s="1"/>
  <c r="T94" i="6"/>
  <c r="T119" i="6" s="1"/>
  <c r="AH94" i="6"/>
  <c r="K94" i="6"/>
  <c r="K119" i="6" s="1"/>
  <c r="AQ94" i="6"/>
  <c r="AZ244" i="7" s="1"/>
  <c r="AZ254" i="7" s="1"/>
  <c r="AO94" i="6"/>
  <c r="AP94" i="6"/>
  <c r="X94" i="6"/>
  <c r="W94" i="6"/>
  <c r="W129" i="6" s="1"/>
  <c r="W137" i="6" s="1"/>
  <c r="AG94" i="6"/>
  <c r="AG119" i="6" s="1"/>
  <c r="AR94" i="6"/>
  <c r="AR129" i="6" s="1"/>
  <c r="AR137" i="6" s="1"/>
  <c r="Y94" i="6"/>
  <c r="AH244" i="7" s="1"/>
  <c r="AH254" i="7" s="1"/>
  <c r="AY94" i="6"/>
  <c r="AY102" i="6" s="1"/>
  <c r="AM94" i="6"/>
  <c r="AD94" i="6"/>
  <c r="AB94" i="6"/>
  <c r="N94" i="6"/>
  <c r="W244" i="7" s="1"/>
  <c r="W254" i="7" s="1"/>
  <c r="AA94" i="6"/>
  <c r="AA102" i="6" s="1"/>
  <c r="Z94" i="6"/>
  <c r="J94" i="6"/>
  <c r="S244" i="7" s="1"/>
  <c r="S254" i="7" s="1"/>
  <c r="BB94" i="6"/>
  <c r="BB102" i="6" s="1"/>
  <c r="V94" i="6"/>
  <c r="M94" i="6"/>
  <c r="S94" i="6"/>
  <c r="S129" i="6" s="1"/>
  <c r="S137" i="6" s="1"/>
  <c r="I94" i="6"/>
  <c r="I129" i="6" s="1"/>
  <c r="I137" i="6" s="1"/>
  <c r="AV94" i="6"/>
  <c r="AV119" i="6" s="1"/>
  <c r="AI94" i="6"/>
  <c r="AI129" i="6" s="1"/>
  <c r="AI137" i="6" s="1"/>
  <c r="AE94" i="6"/>
  <c r="AN244" i="7" s="1"/>
  <c r="AN254" i="7" s="1"/>
  <c r="AJ94" i="6"/>
  <c r="AS244" i="7" s="1"/>
  <c r="AS254" i="7" s="1"/>
  <c r="O94" i="6"/>
  <c r="X244" i="7" s="1"/>
  <c r="X254" i="7" s="1"/>
  <c r="V102" i="6"/>
  <c r="V119" i="6"/>
  <c r="V129" i="6"/>
  <c r="V137" i="6" s="1"/>
  <c r="AE244" i="7"/>
  <c r="AE254" i="7" s="1"/>
  <c r="AR119" i="6"/>
  <c r="BA244" i="7"/>
  <c r="BA254" i="7" s="1"/>
  <c r="AF102" i="6"/>
  <c r="AF129" i="6"/>
  <c r="AF137" i="6" s="1"/>
  <c r="AF119" i="6"/>
  <c r="AO244" i="7"/>
  <c r="AO254" i="7" s="1"/>
  <c r="AN102" i="6"/>
  <c r="AW244" i="7"/>
  <c r="AW254" i="7" s="1"/>
  <c r="AN129" i="6"/>
  <c r="AN137" i="6" s="1"/>
  <c r="AN119" i="6"/>
  <c r="BE244" i="7"/>
  <c r="BE254" i="7" s="1"/>
  <c r="AV244" i="7"/>
  <c r="AV254" i="7" s="1"/>
  <c r="AM119" i="6"/>
  <c r="AM102" i="6"/>
  <c r="AM129" i="6"/>
  <c r="AM137" i="6" s="1"/>
  <c r="L119" i="6"/>
  <c r="L102" i="6"/>
  <c r="L129" i="6"/>
  <c r="L137" i="6" s="1"/>
  <c r="U244" i="7"/>
  <c r="U254" i="7" s="1"/>
  <c r="H94" i="6"/>
  <c r="R102" i="6"/>
  <c r="R119" i="6"/>
  <c r="AA244" i="7"/>
  <c r="AA254" i="7" s="1"/>
  <c r="R129" i="6"/>
  <c r="R137" i="6" s="1"/>
  <c r="BA119" i="6"/>
  <c r="BA102" i="6"/>
  <c r="BA129" i="6"/>
  <c r="BA137" i="6" s="1"/>
  <c r="BJ244" i="7"/>
  <c r="BJ254" i="7" s="1"/>
  <c r="AZ102" i="6"/>
  <c r="BI244" i="7"/>
  <c r="BI254" i="7" s="1"/>
  <c r="AZ119" i="6"/>
  <c r="AQ244" i="7"/>
  <c r="AQ254" i="7" s="1"/>
  <c r="AH102" i="6"/>
  <c r="AH129" i="6"/>
  <c r="AH137" i="6" s="1"/>
  <c r="AH119" i="6"/>
  <c r="Z129" i="6"/>
  <c r="Z137" i="6" s="1"/>
  <c r="Z102" i="6"/>
  <c r="AI244" i="7"/>
  <c r="AI254" i="7" s="1"/>
  <c r="Z119" i="6"/>
  <c r="AO119" i="6"/>
  <c r="AO102" i="6"/>
  <c r="AX244" i="7"/>
  <c r="AX254" i="7" s="1"/>
  <c r="AO129" i="6"/>
  <c r="AO137" i="6" s="1"/>
  <c r="X119" i="6"/>
  <c r="X102" i="6"/>
  <c r="AG244" i="7"/>
  <c r="AG254" i="7" s="1"/>
  <c r="X129" i="6"/>
  <c r="X137" i="6" s="1"/>
  <c r="V244" i="7"/>
  <c r="V254" i="7" s="1"/>
  <c r="M119" i="6"/>
  <c r="M129" i="6"/>
  <c r="M137" i="6" s="1"/>
  <c r="M102" i="6"/>
  <c r="AB102" i="6"/>
  <c r="AB119" i="6"/>
  <c r="AB129" i="6"/>
  <c r="AB137" i="6" s="1"/>
  <c r="AK244" i="7"/>
  <c r="AK254" i="7" s="1"/>
  <c r="AP129" i="6"/>
  <c r="AP137" i="6" s="1"/>
  <c r="AP102" i="6"/>
  <c r="AP119" i="6"/>
  <c r="AY244" i="7"/>
  <c r="AY254" i="7" s="1"/>
  <c r="AL102" i="6"/>
  <c r="AU244" i="7"/>
  <c r="AU254" i="7" s="1"/>
  <c r="AL119" i="6"/>
  <c r="AL129" i="6"/>
  <c r="AL137" i="6" s="1"/>
  <c r="U102" i="6"/>
  <c r="AD244" i="7"/>
  <c r="AD254" i="7" s="1"/>
  <c r="U129" i="6"/>
  <c r="U137" i="6" s="1"/>
  <c r="AD102" i="6"/>
  <c r="AM244" i="7"/>
  <c r="AM254" i="7" s="1"/>
  <c r="AD119" i="6"/>
  <c r="AD129" i="6"/>
  <c r="AD137" i="6" s="1"/>
  <c r="T244" i="7"/>
  <c r="T254" i="7" s="1"/>
  <c r="K129" i="6"/>
  <c r="K137" i="6" s="1"/>
  <c r="K102" i="6"/>
  <c r="AK129" i="6"/>
  <c r="AK137" i="6" s="1"/>
  <c r="AK119" i="6"/>
  <c r="AT244" i="7"/>
  <c r="AT254" i="7" s="1"/>
  <c r="AK102" i="6"/>
  <c r="AI102" i="6"/>
  <c r="AW94" i="6"/>
  <c r="O119" i="6"/>
  <c r="O129" i="6"/>
  <c r="O137" i="6" s="1"/>
  <c r="AC94" i="6"/>
  <c r="AT94" i="6"/>
  <c r="O102" i="6"/>
  <c r="AS94" i="6"/>
  <c r="AU94" i="6"/>
  <c r="AA119" i="6" l="1"/>
  <c r="AA129" i="6"/>
  <c r="AA137" i="6" s="1"/>
  <c r="AE102" i="6"/>
  <c r="AJ244" i="7"/>
  <c r="AJ254" i="7" s="1"/>
  <c r="AP244" i="7"/>
  <c r="AP254" i="7" s="1"/>
  <c r="AC244" i="7"/>
  <c r="AC254" i="7" s="1"/>
  <c r="AG102" i="6"/>
  <c r="T102" i="6"/>
  <c r="AV102" i="6"/>
  <c r="AG129" i="6"/>
  <c r="AG137" i="6" s="1"/>
  <c r="T129" i="6"/>
  <c r="T137" i="6" s="1"/>
  <c r="AV129" i="6"/>
  <c r="AV137" i="6" s="1"/>
  <c r="AR102" i="6"/>
  <c r="J102" i="6"/>
  <c r="S119" i="6"/>
  <c r="J119" i="6"/>
  <c r="BH244" i="7"/>
  <c r="BH254" i="7" s="1"/>
  <c r="AQ129" i="6"/>
  <c r="AQ137" i="6" s="1"/>
  <c r="R244" i="7"/>
  <c r="R254" i="7" s="1"/>
  <c r="Y129" i="6"/>
  <c r="Y137" i="6" s="1"/>
  <c r="I119" i="6"/>
  <c r="AQ102" i="6"/>
  <c r="N102" i="6"/>
  <c r="BB119" i="6"/>
  <c r="N119" i="6"/>
  <c r="N129" i="6"/>
  <c r="N137" i="6" s="1"/>
  <c r="I102" i="6"/>
  <c r="AQ119" i="6"/>
  <c r="P129" i="6"/>
  <c r="P137" i="6" s="1"/>
  <c r="P102" i="6"/>
  <c r="AX129" i="6"/>
  <c r="AX137" i="6" s="1"/>
  <c r="AY129" i="6"/>
  <c r="AY137" i="6" s="1"/>
  <c r="P119" i="6"/>
  <c r="W102" i="6"/>
  <c r="AX102" i="6"/>
  <c r="AY119" i="6"/>
  <c r="AF244" i="7"/>
  <c r="AF254" i="7" s="1"/>
  <c r="Y119" i="6"/>
  <c r="Q129" i="6"/>
  <c r="Q137" i="6" s="1"/>
  <c r="W119" i="6"/>
  <c r="BK244" i="7"/>
  <c r="BK254" i="7" s="1"/>
  <c r="Q102" i="6"/>
  <c r="BB129" i="6"/>
  <c r="BB137" i="6" s="1"/>
  <c r="AB244" i="7"/>
  <c r="AB254" i="7" s="1"/>
  <c r="Q119" i="6"/>
  <c r="BG244" i="7"/>
  <c r="BG254" i="7" s="1"/>
  <c r="S102" i="6"/>
  <c r="Y102" i="6"/>
  <c r="J129" i="6"/>
  <c r="J137" i="6" s="1"/>
  <c r="AE129" i="6"/>
  <c r="AE137" i="6" s="1"/>
  <c r="AE119" i="6"/>
  <c r="AI119" i="6"/>
  <c r="AR244" i="7"/>
  <c r="AR254" i="7" s="1"/>
  <c r="AJ102" i="6"/>
  <c r="AJ129" i="6"/>
  <c r="AJ137" i="6" s="1"/>
  <c r="AJ119" i="6"/>
  <c r="H129" i="6"/>
  <c r="H137" i="6" s="1"/>
  <c r="Q244" i="7"/>
  <c r="Q254" i="7" s="1"/>
  <c r="H102" i="6"/>
  <c r="H119" i="6"/>
  <c r="BB244" i="7"/>
  <c r="BB254" i="7" s="1"/>
  <c r="AS102" i="6"/>
  <c r="AS119" i="6"/>
  <c r="AS129" i="6"/>
  <c r="AS137" i="6" s="1"/>
  <c r="BC244" i="7"/>
  <c r="BC254" i="7" s="1"/>
  <c r="AT102" i="6"/>
  <c r="AT119" i="6"/>
  <c r="AT129" i="6"/>
  <c r="AT137" i="6" s="1"/>
  <c r="AC129" i="6"/>
  <c r="AC137" i="6" s="1"/>
  <c r="AC119" i="6"/>
  <c r="AL244" i="7"/>
  <c r="AL254" i="7" s="1"/>
  <c r="AC102" i="6"/>
  <c r="AW102" i="6"/>
  <c r="AW129" i="6"/>
  <c r="AW137" i="6" s="1"/>
  <c r="BF244" i="7"/>
  <c r="BF254" i="7" s="1"/>
  <c r="AW119" i="6"/>
  <c r="AU102" i="6"/>
  <c r="BD244" i="7"/>
  <c r="BD254" i="7" s="1"/>
  <c r="AU129" i="6"/>
  <c r="AU137" i="6" s="1"/>
  <c r="AU11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tc={37D4E11D-AE30-4EEF-B8C2-8D85F9A59E58}</author>
    <author>tc={7D2F3F11-0F08-4B31-BF0E-CF0313BBC481}</author>
    <author>tc={6FB51619-1A21-4F44-9F36-EE313F531FA0}</author>
    <author>tc={4EF26B00-CE6F-4415-A5E2-88E7109738FA}</author>
    <author>tc={2F453880-39FA-4FD7-8C29-A3A34D2D683E}</author>
    <author>tc={F3B18EDB-0E01-436A-B8D0-7E39160C373B}</author>
    <author>tc={C0B15FAA-B262-411E-8D1F-0509ACC07FCD}</author>
    <author>tc={FC8053A9-B9B8-44CB-A74F-16F9CD87E31C}</author>
    <author>tc={37D4E11D-AE30-4F04-B8C2-8D85F9A59E58}</author>
    <author>tc={C0A0F51D-ECB5-41FA-986B-3C07E70A689C}</author>
    <author>User</author>
    <author>tc={3B6BA5A7-60BA-409B-8468-C9C725A541D6}</author>
    <author>tc={0E21EEEB-43A4-4B28-896C-0788D6A8D1EC}</author>
    <author>tc={0E21EEEB-43A4-4B29-896C-0788D6A8D1EC}</author>
    <author>tc={0E21EEEB-43A4-4B2B-896C-0788D6A8D1EC}</author>
    <author>tc={2FEA6679-5D7A-4417-9C7C-1285F236DCA5}</author>
    <author>tc={4696C98B-3C3C-46AC-83FA-E98C4D3832ED}</author>
    <author>tc={8CF15ADF-585B-4C29-B748-BE188ECE2C66}</author>
    <author>tc={51B872A9-69FB-42D2-9D1D-728706ED710B}</author>
    <author>tc={51B872A9-69FB-42D4-9D1D-728706ED710B}</author>
    <author>tc={51B872A9-69FB-42D5-9D1D-728706ED710B}</author>
    <author>tc={4696C98B-3C3C-46B0-83FA-E98C4D3832ED}</author>
    <author>tc={DD3FEAC0-C320-4937-A12D-9AC55FB45C47}</author>
  </authors>
  <commentList>
    <comment ref="A3" authorId="0" shapeId="0" xr:uid="{37D4E11D-AE30-4EEF-B8C2-8D85F9A59E5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Esta tabla solo enumera los cambios más comunes que el modelo puede incorporar relacionados con la implementación de un escenario de descarbonización. Es decir, no es necesario incluir todos los cambios en esta tabla y no es necesario limitarse a lo descrito aquí. En caso de que existan otras diferencias entre escenarios que deseen incorporar en este escenario de descarbonización, podemos conversarlo para encontrar la mejor forma de incluirlo. 
Los cambios en una variable, cambiarán otras. Por ejemplo, mejores rendimientos aumentarán la producción y por tanto afectará la importación y exportación de productos. </t>
        </r>
      </text>
    </comment>
    <comment ref="C4" authorId="1" shapeId="0" xr:uid="{7D2F3F11-0F08-4B31-BF0E-CF0313BBC48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En un escenario de descarbonización las coberturas pueden ser diferentes en comparación con el escenario BAU por diferentes razones: 
•	Metas de incremento o conservación del bosque (ej., una meta de incremento anual o una meta al 2050). 
•	Similarmente, metas de incremento de plantaciones forestales. 
•	Metas de contención de la mancha urbana. Por tanto, un escenario de descarbonización podría contemplar un menor crecimiento de la zona antrópica. 
•	Metas de contención de cultivos y ganadería. Por ejemplo, el aumento en el rendimiento de ambos tipos de suelo puede significar que no se requiere de la misma área. </t>
        </r>
      </text>
    </comment>
    <comment ref="C11" authorId="2" shapeId="0" xr:uid="{6FB51619-1A21-4F44-9F36-EE313F531FA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En un escenario de descarbonización las coberturas pueden ser diferentes en comparación con el escenario BAU por diferentes razones: 
•	Metas de incremento o conservación del bosque (ej., una meta de incremento anual o una meta al 2050). 
•	Similarmente, metas de incremento de plantaciones forestales. 
•	Metas de contención de la mancha urbana. Por tanto, un escenario de descarbonización podría contemplar un menor crecimiento de la zona antrópica. 
•	Metas de contención de cultivos y ganadería. Por ejemplo, el aumento en el rendimiento de ambos tipos de suelo puede significar que no se requiere de la misma área. </t>
        </r>
      </text>
    </comment>
    <comment ref="BE11" authorId="3" shapeId="0" xr:uid="{4EF26B00-CE6F-4415-A5E2-88E7109738F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 mantiene la tasa de reforestación observada de 2014-2021</t>
        </r>
      </text>
    </comment>
    <comment ref="BE13" authorId="4" shapeId="0" xr:uid="{2F453880-39FA-4FD7-8C29-A3A34D2D683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Gobierto plantea incentivar plantaciones forestales approximadamente 20000 ha en los próximos 10 años, lo cual implica una tasa de 2000 ha/año </t>
        </r>
      </text>
    </comment>
    <comment ref="C16" authorId="5" shapeId="0" xr:uid="{F3B18EDB-0E01-436A-B8D0-7E39160C373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 igual que en el BAU he dejado Pastura como la categoría de ajuste para que podamos sumar las 24.9 Mha.</t>
        </r>
      </text>
    </comment>
    <comment ref="BE17" authorId="6" shapeId="0" xr:uid="{C0B15FAA-B262-411E-8D1F-0509ACC07FC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 asume que el Proyecto Socio Bosque seguirá creciendo a la misma tasa observada  hasta el momento</t>
        </r>
      </text>
    </comment>
    <comment ref="BE18" authorId="7" shapeId="0" xr:uid="{FC8053A9-B9B8-44CB-A74F-16F9CD87E3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 asume que los páramos protegidos bajo el proyecto PSB siguen creciendo</t>
        </r>
      </text>
    </comment>
    <comment ref="A24" authorId="8" shapeId="0" xr:uid="{4F59323C-D3D4-4374-9CD9-40EC20F79D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Esta tabla solo enumera los cambios más comunes que el modelo puede incorporar relacionados con la implementación de un escenario de descarbonización. Es decir, no es necesario incluir todos los cambios en esta tabla y no es necesario limitarse a lo descrito aquí. En caso de que existan otras diferencias entre escenarios que deseen incorporar en este escenario de descarbonización, podemos conversarlo para encontrar la mejor forma de incluirlo. 
Los cambios en una variable, cambiarán otras. Por ejemplo, mejores rendimientos aumentarán la producción y por tanto afectará la importación y exportación de productos. </t>
        </r>
      </text>
    </comment>
    <comment ref="C26" authorId="9" shapeId="0" xr:uid="{C0A0F51D-ECB5-41FA-986B-3C07E70A689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Las prácticas sostenibles en cultivos tienen el potencial de reducir sus emisiones. Un ejemplo de práctica con este potencial es el cambio en el tipo y cantidad de fertilizantes. 
Al igual que en ganadería, las mejoras en el cambio del factor de emisión pueden modelarse como un cambio porcentual anual o una reducción al 2050 con respecto al año base, por ejemplo. 
En el caso de Costa Rica, utilizamos de referencia instrumentos de política ya diseñados, y estudios realizados en el país. Sin embargo, también podrían establecerse por criterio experto o a partir de fuentes internacionales. 
Reply:
    Además, si el factor de reducción es distinto por cultivo, pueden agregarse diferentes filas acá</t>
        </r>
      </text>
    </comment>
    <comment ref="F26" authorId="10" shapeId="0" xr:uid="{D245B8F6-D10B-4371-BCD6-4A63D23E823B}">
      <text>
        <r>
          <rPr>
            <b/>
            <sz val="9"/>
            <color indexed="81"/>
            <rFont val="Tahoma"/>
            <family val="2"/>
          </rPr>
          <t>User:</t>
        </r>
        <r>
          <rPr>
            <sz val="9"/>
            <color indexed="81"/>
            <rFont val="Tahoma"/>
            <family val="2"/>
          </rPr>
          <t xml:space="preserve">
Cambio en el año 1 (x)</t>
        </r>
      </text>
    </comment>
    <comment ref="G26" authorId="10" shapeId="0" xr:uid="{90D13F96-B85D-48B4-8542-19643054F8B7}">
      <text>
        <r>
          <rPr>
            <b/>
            <sz val="9"/>
            <color indexed="81"/>
            <rFont val="Tahoma"/>
            <family val="2"/>
          </rPr>
          <t>User:</t>
        </r>
        <r>
          <rPr>
            <sz val="9"/>
            <color indexed="81"/>
            <rFont val="Tahoma"/>
            <family val="2"/>
          </rPr>
          <t xml:space="preserve">
Ecuación: x+(x%)Valor año previo)
x: Tasa de variación
100-Valor año previo: Representa el % de emisiones respecto al BAU pendientes de mitigar</t>
        </r>
      </text>
    </comment>
    <comment ref="AH26" authorId="10" shapeId="0" xr:uid="{D981454E-6757-487A-A599-EF33FED3332C}">
      <text>
        <r>
          <rPr>
            <b/>
            <sz val="9"/>
            <color indexed="81"/>
            <rFont val="Tahoma"/>
            <family val="2"/>
          </rPr>
          <t>User:</t>
        </r>
        <r>
          <rPr>
            <sz val="9"/>
            <color indexed="81"/>
            <rFont val="Tahoma"/>
            <family val="2"/>
          </rPr>
          <t xml:space="preserve">
Metas alcanzables a 2050 (Incremento o reducción)</t>
        </r>
      </text>
    </comment>
    <comment ref="BE26" authorId="10" shapeId="0" xr:uid="{C37087E1-8463-4154-9C5B-5851D8F221FD}">
      <text>
        <r>
          <rPr>
            <b/>
            <sz val="9"/>
            <color indexed="81"/>
            <rFont val="Tahoma"/>
            <family val="2"/>
          </rPr>
          <t>User:</t>
        </r>
        <r>
          <rPr>
            <sz val="9"/>
            <color indexed="81"/>
            <rFont val="Tahoma"/>
            <family val="2"/>
          </rPr>
          <t xml:space="preserve">
Tasa de variación anual para alcanzar la meta</t>
        </r>
      </text>
    </comment>
    <comment ref="C29" authorId="11" shapeId="0" xr:uid="{3B6BA5A7-60BA-409B-8468-C9C725A541D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implementación de prácticas sostenibles también tiene el potencial de mejorar el rendimiento de los cultivos. 
Igualmente, esto puede definirse de acuerdo con metas del sector, estudios en el país, estudios internacionales, o criterio experto. 
Reply:
    Si el escenario incluye cambios diferentes por cultivos, pueden agregarse diferentes filas para cada uno</t>
        </r>
      </text>
    </comment>
    <comment ref="BF29" authorId="10" shapeId="0" xr:uid="{D27A9749-C0FE-48DC-8D7F-1066D3DF9219}">
      <text>
        <r>
          <rPr>
            <b/>
            <sz val="9"/>
            <color indexed="81"/>
            <rFont val="Tahoma"/>
            <family val="2"/>
          </rPr>
          <t>User:</t>
        </r>
        <r>
          <rPr>
            <sz val="9"/>
            <color indexed="81"/>
            <rFont val="Tahoma"/>
            <family val="2"/>
          </rPr>
          <t xml:space="preserve">
Valor obtenido de las proyecciones totaltes de rendimiento de cultivos</t>
        </r>
      </text>
    </comment>
    <comment ref="B32" authorId="12" shapeId="0" xr:uid="{0E21EEEB-43A4-4B28-896C-0788D6A8D1E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más consumo de productos vegetales.
Reply:
    Si habrán cambios diferentes por cultivos, puede agregarse una fila por producto</t>
        </r>
      </text>
    </comment>
    <comment ref="B48" authorId="13" shapeId="0" xr:uid="{CA8FC124-CDEA-4183-B797-63C0245014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más consumo de productos vegetales.
Reply:
    Si habrán cambios diferentes por cultivos, puede agregarse una fila por producto</t>
        </r>
      </text>
    </comment>
    <comment ref="B64" authorId="14" shapeId="0" xr:uid="{D213129C-C815-4E1A-AB58-EF874656CD5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más consumo de productos vegetales.
Reply:
    Si habrán cambios diferentes por cultivos, puede agregarse una fila por producto</t>
        </r>
      </text>
    </comment>
    <comment ref="C80" authorId="15" shapeId="0" xr:uid="{2FEA6679-5D7A-4417-9C7C-1285F236DCA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implementación de prácticas sostenibles puede implicar nuevos costos de inversión o cambios en los costos de operación en todos los subsectores. 
Reply:
    Si el cambio por tipo de cultivo es diferente, puede agregarse una fila por producto
Reply:
    Los costos pueden desagregarse entre costos de inversión y costos de operación. Los costos de inversión pueden representar los costos de instalar un cultivo. En ese caso, es necesario saber la vida útil de los cultivos para saber cada cuanto se debe hacer esa inversión. </t>
        </r>
      </text>
    </comment>
    <comment ref="C82" authorId="16" shapeId="0" xr:uid="{4696C98B-3C3C-46AC-83FA-E98C4D3832ED}">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
        </r>
      </text>
    </comment>
    <comment ref="C85" authorId="17" shapeId="0" xr:uid="{8CF15ADF-585B-4C29-B748-BE188ECE2C6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implementación de prácticas sostenibles puede inducir cambios en el rendimiento de la ganadería. Este cambio en el rendimiento puede estar relacionado con la cantidad de animales por unidad de suelo, o al tamaño de los animales (i.e., más carne por animal). Por ejemplo, en Costa Rica, de acuerdo con las metas del sector, se espera que la implementación de prácticas sostenibles reduzca el área que requiere cada animal y aumente la productividad de cada animal. </t>
        </r>
      </text>
    </comment>
    <comment ref="C88" authorId="18" shapeId="0" xr:uid="{51B872A9-69FB-42D2-9D1D-728706ED710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menos consumo de carne o productos derivados de la ganadería. </t>
        </r>
      </text>
    </comment>
    <comment ref="C91" authorId="19" shapeId="0" xr:uid="{2C57FB85-C117-4017-AEFB-01B811BDE1E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menos consumo de carne o productos derivados de la ganadería. </t>
        </r>
      </text>
    </comment>
    <comment ref="C94" authorId="20" shapeId="0" xr:uid="{016C8D64-1B0E-43ED-88E1-63321EF2E2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menos consumo de carne o productos derivados de la ganadería. </t>
        </r>
      </text>
    </comment>
    <comment ref="C97" authorId="21" shapeId="0" xr:uid="{1C4E52C1-10AB-4FF3-AC30-29B8C14210EF}">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
        </r>
      </text>
    </comment>
    <comment ref="C98" authorId="22" shapeId="0" xr:uid="{DD3FEAC0-C320-4937-A12D-9AC55FB45C4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implementación de prácticas sostenibles puede implicar nuevos costos de inversión o cambios en los costos de operación en todos los subsectores. 
Reply:
    Si el cambio por tipo de cultivo es diferente, puede agregarse una fila por producto
Reply:
    Los costos pueden desagregarse entre costos de inversión y costos de operación. Los costos de inversión pueden representar los costos de instalar un cultivo. En ese caso, es necesario saber la vida útil de los cultivos para saber cada cuanto se debe hacer esa inversión.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tc={9F279A0F-EB39-41A8-8B0F-FF4DD0A5A7C1}</author>
    <author>tc={C0A0F51D-ECB5-41FC-986B-3C07E70A689C}</author>
    <author>User</author>
    <author>tc={C0A0F51D-ECB5-41FD-986B-3C07E70A689C}</author>
    <author>tc={5F60F204-3ED0-4C4E-99A2-450A9F00C10E}</author>
    <author>tc={5F60F204-3ED0-4C4D-99A2-450A9F00C10E}</author>
    <author>tc={5F60F204-3ED0-4C4F-99A2-450A9F00C10E}</author>
    <author>tc={010B5550-6D32-4B98-814B-50631DF03C29}</author>
    <author>tc={4792D544-8866-452D-A318-0A418FB459F7}</author>
    <author>tc={F7C1044C-55CE-46D2-BDDD-1988D03FD827}</author>
    <author>tc={4B27A0ED-DE8C-4887-9D14-62B5DE69F0B2}</author>
    <author>tc={4696C98B-3C3C-46B1-83FA-E98C4D3832ED}</author>
    <author>tc={DC067922-3B45-49CD-9C71-168B59BBFEA2}</author>
    <author>tc={4696C98B-3C3C-46B2-83FA-E98C4D3832ED}</author>
    <author>tc={DC067922-3B45-49CE-9C71-168B59BBFEA2}</author>
  </authors>
  <commentList>
    <comment ref="A1" authorId="0" shapeId="0" xr:uid="{766CEA9C-288B-4E49-9BD5-7EC36E5B715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Esta tabla solo enumera los cambios más comunes que el modelo puede incorporar relacionados con la implementación de un escenario de descarbonización. Es decir, no es necesario incluir todos los cambios en esta tabla y no es necesario limitarse a lo descrito aquí. En caso de que existan otras diferencias entre escenarios que deseen incorporar en este escenario de descarbonización, podemos conversarlo para encontrar la mejor forma de incluirlo. 
Los cambios en una variable, cambiarán otras. Por ejemplo, mejores rendimientos aumentarán la producción y por tanto afectará la importación y exportación de productos. </t>
        </r>
      </text>
    </comment>
    <comment ref="C3" authorId="1" shapeId="0" xr:uid="{101D1A2B-F4ED-48E5-8BCD-FAEBA7966EE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Las prácticas sostenibles en cultivos tienen el potencial de reducir sus emisiones. Un ejemplo de práctica con este potencial es el cambio en el tipo y cantidad de fertilizantes. 
Al igual que en ganadería, las mejoras en el cambio del factor de emisión pueden modelarse como un cambio porcentual anual o una reducción al 2050 con respecto al año base, por ejemplo. 
En el caso de Costa Rica, utilizamos de referencia instrumentos de política ya diseñados, y estudios realizados en el país. Sin embargo, también podrían establecerse por criterio experto o a partir de fuentes internacionales. 
Reply:
    Además, si el factor de reducción es distinto por cultivo, pueden agregarse diferentes filas acá</t>
        </r>
      </text>
    </comment>
    <comment ref="F3" authorId="2" shapeId="0" xr:uid="{691DB08D-3FB8-44D6-9C52-396B09996303}">
      <text>
        <r>
          <rPr>
            <b/>
            <sz val="9"/>
            <color indexed="81"/>
            <rFont val="Tahoma"/>
            <family val="2"/>
          </rPr>
          <t>User:</t>
        </r>
        <r>
          <rPr>
            <sz val="9"/>
            <color indexed="81"/>
            <rFont val="Tahoma"/>
            <family val="2"/>
          </rPr>
          <t xml:space="preserve">
Cambio en el año 1 (x)</t>
        </r>
      </text>
    </comment>
    <comment ref="G3" authorId="2" shapeId="0" xr:uid="{70D5ED3C-421C-4359-BB2D-D23531CC7F17}">
      <text>
        <r>
          <rPr>
            <b/>
            <sz val="9"/>
            <color indexed="81"/>
            <rFont val="Tahoma"/>
            <family val="2"/>
          </rPr>
          <t>User:</t>
        </r>
        <r>
          <rPr>
            <sz val="9"/>
            <color indexed="81"/>
            <rFont val="Tahoma"/>
            <family val="2"/>
          </rPr>
          <t xml:space="preserve">
Ecuación: x+(x%)(100-Valor año previo)
x: Tasa de variación
100-Valor año previo: Representa el % de emisiones respecto al BAU pendientes de mitigar</t>
        </r>
      </text>
    </comment>
    <comment ref="AH3" authorId="2" shapeId="0" xr:uid="{8314CB1E-2DC3-4ABC-BD76-9D58B0C22DE8}">
      <text>
        <r>
          <rPr>
            <b/>
            <sz val="9"/>
            <color indexed="81"/>
            <rFont val="Tahoma"/>
            <family val="2"/>
          </rPr>
          <t>User:</t>
        </r>
        <r>
          <rPr>
            <sz val="9"/>
            <color indexed="81"/>
            <rFont val="Tahoma"/>
            <family val="2"/>
          </rPr>
          <t xml:space="preserve">
Metas alcanzables a 2050 (Incremento o reducción)</t>
        </r>
      </text>
    </comment>
    <comment ref="BB3" authorId="2" shapeId="0" xr:uid="{065B0B10-AC7C-419E-9A15-1C9967597662}">
      <text>
        <r>
          <rPr>
            <b/>
            <sz val="9"/>
            <color indexed="81"/>
            <rFont val="Tahoma"/>
            <family val="2"/>
          </rPr>
          <t>User:</t>
        </r>
        <r>
          <rPr>
            <sz val="9"/>
            <color indexed="81"/>
            <rFont val="Tahoma"/>
            <family val="2"/>
          </rPr>
          <t xml:space="preserve">
Metas alcanzables a 2050 (Incremento o reducción)</t>
        </r>
      </text>
    </comment>
    <comment ref="BE3" authorId="2" shapeId="0" xr:uid="{AF157B84-5997-404E-BFFF-2026B2DD54EF}">
      <text>
        <r>
          <rPr>
            <b/>
            <sz val="9"/>
            <color indexed="81"/>
            <rFont val="Tahoma"/>
            <family val="2"/>
          </rPr>
          <t>User:</t>
        </r>
        <r>
          <rPr>
            <sz val="9"/>
            <color indexed="81"/>
            <rFont val="Tahoma"/>
            <family val="2"/>
          </rPr>
          <t xml:space="preserve">
Tasa de variación anual para alcanzar la meta</t>
        </r>
      </text>
    </comment>
    <comment ref="C5" authorId="3" shapeId="0" xr:uid="{B77A82F9-6103-452F-BDFD-AC6D16C22F4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Las prácticas sostenibles en cultivos tienen el potencial de reducir sus emisiones. Un ejemplo de práctica con este potencial es el cambio en el tipo y cantidad de fertilizantes. 
Al igual que en ganadería, las mejoras en el cambio del factor de emisión pueden modelarse como un cambio porcentual anual o una reducción al 2050 con respecto al año base, por ejemplo. 
En el caso de Costa Rica, utilizamos de referencia instrumentos de política ya diseñados, y estudios realizados en el país. Sin embargo, también podrían establecerse por criterio experto o a partir de fuentes internacionales. 
Reply:
    Además, si el factor de reducción es distinto por cultivo, pueden agregarse diferentes filas acá</t>
        </r>
      </text>
    </comment>
    <comment ref="F5" authorId="2" shapeId="0" xr:uid="{FD0C5D66-E637-45FB-BAC8-7223B57F9ED9}">
      <text>
        <r>
          <rPr>
            <b/>
            <sz val="9"/>
            <color indexed="81"/>
            <rFont val="Tahoma"/>
            <family val="2"/>
          </rPr>
          <t>User:</t>
        </r>
        <r>
          <rPr>
            <sz val="9"/>
            <color indexed="81"/>
            <rFont val="Tahoma"/>
            <family val="2"/>
          </rPr>
          <t xml:space="preserve">
Cambio en el año 1 (x)</t>
        </r>
      </text>
    </comment>
    <comment ref="G5" authorId="2" shapeId="0" xr:uid="{46F96D5A-0AF9-4544-9018-C55CE40E25A5}">
      <text>
        <r>
          <rPr>
            <b/>
            <sz val="9"/>
            <color indexed="81"/>
            <rFont val="Tahoma"/>
            <family val="2"/>
          </rPr>
          <t>User:</t>
        </r>
        <r>
          <rPr>
            <sz val="9"/>
            <color indexed="81"/>
            <rFont val="Tahoma"/>
            <family val="2"/>
          </rPr>
          <t xml:space="preserve">
Ecuación: x+(x%)(100-Valor año previo)
x: Tasa de variación
100-Valor año previo: Representa el % de emisiones respecto al BAU pendientes de mitigar</t>
        </r>
      </text>
    </comment>
    <comment ref="AH5" authorId="2" shapeId="0" xr:uid="{D01790B7-F662-4C68-B62F-552B07D7CA9B}">
      <text>
        <r>
          <rPr>
            <b/>
            <sz val="9"/>
            <color indexed="81"/>
            <rFont val="Tahoma"/>
            <family val="2"/>
          </rPr>
          <t>User:</t>
        </r>
        <r>
          <rPr>
            <sz val="9"/>
            <color indexed="81"/>
            <rFont val="Tahoma"/>
            <family val="2"/>
          </rPr>
          <t xml:space="preserve">
Metas alcanzables a 2050 (Incremento o reducción)</t>
        </r>
      </text>
    </comment>
    <comment ref="BB5" authorId="2" shapeId="0" xr:uid="{08E794A8-2C54-489A-957A-834FD8C8D454}">
      <text>
        <r>
          <rPr>
            <b/>
            <sz val="9"/>
            <color indexed="81"/>
            <rFont val="Tahoma"/>
            <family val="2"/>
          </rPr>
          <t>User:</t>
        </r>
        <r>
          <rPr>
            <sz val="9"/>
            <color indexed="81"/>
            <rFont val="Tahoma"/>
            <family val="2"/>
          </rPr>
          <t xml:space="preserve">
Metas alcanzables a 2050 (Incremento o reducción)</t>
        </r>
      </text>
    </comment>
    <comment ref="B6" authorId="4" shapeId="0" xr:uid="{A72012D9-63BF-4C6F-BD75-A5EBD1E7CA7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más consumo de productos vegetales.
Reply:
    Si habrán cambios diferentes por cultivos, puede agregarse una fila por producto</t>
        </r>
      </text>
    </comment>
    <comment ref="B22" authorId="5" shapeId="0" xr:uid="{5F60F204-3ED0-4C4D-99A2-450A9F00C10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más consumo de productos vegetales.
Reply:
    Si habrán cambios diferentes por cultivos, puede agregarse una fila por producto</t>
        </r>
      </text>
    </comment>
    <comment ref="B38" authorId="6" shapeId="0" xr:uid="{90F415E7-5389-4525-90BE-E2B8F737673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más consumo de productos vegetales.
Reply:
    Si habrán cambios diferentes por cultivos, puede agregarse una fila por producto</t>
        </r>
      </text>
    </comment>
    <comment ref="C54" authorId="7" shapeId="0" xr:uid="{010B5550-6D32-4B98-814B-50631DF03C2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implementación de prácticas sostenibles puede implicar nuevos costos de inversión o cambios en los costos de operación en todos los subsectores. 
Reply:
    Si el cambio por tipo de cultivo es diferente, puede agregarse una fila por producto
Reply:
    Los costos pueden desagregarse entre costos de inversión y costos de operación. Los costos de inversión pueden representar los costos de instalar un cultivo. En ese caso, es necesario saber la vida útil de los cultivos para saber cada cuanto se debe hacer esa inversión. </t>
        </r>
      </text>
    </comment>
    <comment ref="C56" authorId="8" shapeId="0" xr:uid="{4792D544-8866-452D-A318-0A418FB459F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
        </r>
      </text>
    </comment>
    <comment ref="C60" authorId="9" shapeId="0" xr:uid="{F7C1044C-55CE-46D2-BDDD-1988D03FD8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implementación de prácticas sostenibles puede inducir cambios en el rendimiento de la ganadería. Este cambio en el rendimiento puede estar relacionado con la cantidad de animales por unidad de suelo, o al tamaño de los animales (i.e., más carne por animal). Por ejemplo, en Costa Rica, de acuerdo con las metas del sector, se espera que la implementación de prácticas sostenibles reduzca el área que requiere cada animal y aumente la productividad de cada animal. </t>
        </r>
      </text>
    </comment>
    <comment ref="C63" authorId="10" shapeId="0" xr:uid="{4B27A0ED-DE8C-4887-9D14-62B5DE69F0B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menos consumo de carne o productos derivados de la ganadería. </t>
        </r>
      </text>
    </comment>
    <comment ref="C66" authorId="11" shapeId="0" xr:uid="{DAFE147C-8957-4D49-8153-D1266D24606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
        </r>
      </text>
    </comment>
    <comment ref="C67" authorId="12" shapeId="0" xr:uid="{DC067922-3B45-49CD-9C71-168B59BBFEA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implementación de prácticas sostenibles puede implicar nuevos costos de inversión o cambios en los costos de operación en todos los subsectores. 
Reply:
    Si el cambio por tipo de cultivo es diferente, puede agregarse una fila por producto
Reply:
    Los costos pueden desagregarse entre costos de inversión y costos de operación. Los costos de inversión pueden representar los costos de instalar un cultivo. En ese caso, es necesario saber la vida útil de los cultivos para saber cada cuanto se debe hacer esa inversión. </t>
        </r>
      </text>
    </comment>
    <comment ref="C69" authorId="13" shapeId="0" xr:uid="{2DC329CA-CB51-4ABE-B29A-D4D5D63E7E8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
        </r>
      </text>
    </comment>
    <comment ref="C70" authorId="14" shapeId="0" xr:uid="{DB870329-0E14-4B3C-B0CF-D7FB2E94E90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implementación de prácticas sostenibles puede implicar nuevos costos de inversión o cambios en los costos de operación en todos los subsectores. 
Reply:
    Si el cambio por tipo de cultivo es diferente, puede agregarse una fila por producto
Reply:
    Los costos pueden desagregarse entre costos de inversión y costos de operación. Los costos de inversión pueden representar los costos de instalar un cultivo. En ese caso, es necesario saber la vida útil de los cultivos para saber cada cuanto se debe hacer esa inversión.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tc={37D4E11D-AE30-4EF3-B8C2-8D85F9A59E58}</author>
    <author>tc={0E21EEEB-43A4-4B37-896C-0788D6A8D1EC}</author>
    <author>tc={0E21EEEB-43A4-4B38-896C-0788D6A8D1EC}</author>
    <author>tc={0E21EEEB-43A4-4B2F-896C-0788D6A8D1EC}</author>
    <author>tc={0E21EEEB-43A4-4B30-896C-0788D6A8D1EC}</author>
    <author>tc={0E21EEEB-43A4-4B31-896C-0788D6A8D1EC}</author>
    <author>tc={8CF15ADF-585B-4C2B-B748-BE188ECE2C66}</author>
    <author>tc={8CF15ADF-585B-4C2C-B748-BE188ECE2C66}</author>
    <author>tc={51B872A9-69FB-42DF-9D1D-728706ED710B}</author>
    <author>tc={51B872A9-69FB-42D9-9D1D-728706ED710B}</author>
    <author>tc={51B872A9-69FB-42DA-9D1D-728706ED710B}</author>
    <author>tc={51B872A9-69FB-42DB-9D1D-728706ED710B}</author>
    <author>tc={4696C98B-3C3C-46AE-83FA-E98C4D3832ED}</author>
    <author>tc={4696C98B-3C3C-46AF-83FA-E98C4D3832ED}</author>
    <author/>
  </authors>
  <commentList>
    <comment ref="A1" authorId="0" shapeId="0" xr:uid="{A77A2CC7-F010-4134-92C6-8543B86AB07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Esta tabla solo enumera los cambios más comunes que el modelo puede incorporar relacionados con la implementación de un escenario de descarbonización. Es decir, no es necesario incluir todos los cambios en esta tabla y no es necesario limitarse a lo descrito aquí. En caso de que existan otras diferencias entre escenarios que deseen incorporar en este escenario de descarbonización, podemos conversarlo para encontrar la mejor forma de incluirlo. 
Los cambios en una variable, cambiarán otras. Por ejemplo, mejores rendimientos aumentarán la producción y por tanto afectará la importación y exportación de productos. </t>
        </r>
      </text>
    </comment>
    <comment ref="B3" authorId="1" shapeId="0" xr:uid="{D5DB1D07-B03D-4857-8D63-B4E2027267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más consumo de productos vegetales.
Reply:
    Si habrán cambios diferentes por cultivos, puede agregarse una fila por producto</t>
        </r>
      </text>
    </comment>
    <comment ref="B20" authorId="2" shapeId="0" xr:uid="{4590DBC0-BB0C-4BAF-880C-309BB84B356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más consumo de productos vegetales.
Reply:
    Si habrán cambios diferentes por cultivos, puede agregarse una fila por producto</t>
        </r>
      </text>
    </comment>
    <comment ref="B37" authorId="3" shapeId="0" xr:uid="{930448B7-90B8-4A09-A074-19C8DD07662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más consumo de productos vegetales.
Reply:
    Si habrán cambios diferentes por cultivos, puede agregarse una fila por producto</t>
        </r>
      </text>
    </comment>
    <comment ref="B54" authorId="4" shapeId="0" xr:uid="{88C99999-27A2-4038-9D65-871DE4AE6E7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más consumo de productos vegetales.
Reply:
    Si habrán cambios diferentes por cultivos, puede agregarse una fila por producto</t>
        </r>
      </text>
    </comment>
    <comment ref="B70" authorId="5" shapeId="0" xr:uid="{DEF21200-7CE0-4628-8AF3-816A779F5E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más consumo de productos vegetales.
Reply:
    Si habrán cambios diferentes por cultivos, puede agregarse una fila por producto</t>
        </r>
      </text>
    </comment>
    <comment ref="C140" authorId="6" shapeId="0" xr:uid="{6A80FE78-A6E0-48D4-86CE-303991C5D5C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implementación de prácticas sostenibles puede inducir cambios en el rendimiento de la ganadería. Este cambio en el rendimiento puede estar relacionado con la cantidad de animales por unidad de suelo, o al tamaño de los animales (i.e., más carne por animal). Por ejemplo, en Costa Rica, de acuerdo con las metas del sector, se espera que la implementación de prácticas sostenibles reduzca el área que requiere cada animal y aumente la productividad de cada animal. </t>
        </r>
      </text>
    </comment>
    <comment ref="C141" authorId="7" shapeId="0" xr:uid="{BD2B053C-1E98-4803-A704-0AD16AAEC38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implementación de prácticas sostenibles puede inducir cambios en el rendimiento de la ganadería. Este cambio en el rendimiento puede estar relacionado con la cantidad de animales por unidad de suelo, o al tamaño de los animales (i.e., más carne por animal). Por ejemplo, en Costa Rica, de acuerdo con las metas del sector, se espera que la implementación de prácticas sostenibles reduzca el área que requiere cada animal y aumente la productividad de cada animal. </t>
        </r>
      </text>
    </comment>
    <comment ref="C143" authorId="8" shapeId="0" xr:uid="{44976726-758C-4334-8595-96E8BADDC5F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menos consumo de carne o productos derivados de la ganadería. </t>
        </r>
      </text>
    </comment>
    <comment ref="C146" authorId="9" shapeId="0" xr:uid="{25D1E6A8-F3B4-496A-8867-1F86765BC4E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menos consumo de carne o productos derivados de la ganadería. </t>
        </r>
      </text>
    </comment>
    <comment ref="C149" authorId="10" shapeId="0" xr:uid="{A371EE6A-4285-4527-A0AA-8EB8C3F2438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menos consumo de carne o productos derivados de la ganadería. </t>
        </r>
      </text>
    </comment>
    <comment ref="C152" authorId="11" shapeId="0" xr:uid="{FDBBCFC7-C83D-46EF-87D6-05D21CE8D2F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menos consumo de carne o productos derivados de la ganadería. </t>
        </r>
      </text>
    </comment>
    <comment ref="C162" authorId="12" shapeId="0" xr:uid="{B95F825F-7D32-4233-A668-B6F8DA61AB5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
        </r>
      </text>
    </comment>
    <comment ref="C166" authorId="13" shapeId="0" xr:uid="{5BDEDD30-4707-4131-960A-947CCB87382C}">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
        </r>
      </text>
    </comment>
    <comment ref="C176" authorId="14" shapeId="0" xr:uid="{9AB6A683-51B1-4A63-A3A2-4AB196EA4B18}">
      <text>
        <r>
          <rPr>
            <sz val="11"/>
            <color theme="1"/>
            <rFont val="Calibri"/>
            <family val="2"/>
            <scheme val="minor"/>
          </rPr>
          <t>======
ID#AAAAkkpSM7c
User    (2022-11-28 17:31:22)
Incluye caña de azucar para azúcar y para otros usos</t>
        </r>
      </text>
    </comment>
    <comment ref="C177" authorId="14" shapeId="0" xr:uid="{6F12C170-840C-4B7C-A011-FD30AD32FCA4}">
      <text>
        <r>
          <rPr>
            <sz val="11"/>
            <color theme="1"/>
            <rFont val="Calibri"/>
            <family val="2"/>
            <scheme val="minor"/>
          </rPr>
          <t>======
ID#AAAAkkpSMyQ
User    (2022-11-28 17:31:22)
Incluye: Maíz duro en choclo y seco, maíz suave en choclo y seco</t>
        </r>
      </text>
    </comment>
    <comment ref="C181" authorId="14" shapeId="0" xr:uid="{26C03813-6D55-4EC5-B865-AFB7C16A927C}">
      <text>
        <r>
          <rPr>
            <sz val="11"/>
            <color theme="1"/>
            <rFont val="Calibri"/>
            <family val="2"/>
            <scheme val="minor"/>
          </rPr>
          <t>======
ID#AAAAkkpSMnI
User    (2022-11-28 17:31:22)
Incluye: arveja seca y tierna, fréjol seco y tierno, haba seca y tierna</t>
        </r>
      </text>
    </comment>
    <comment ref="C182" authorId="14" shapeId="0" xr:uid="{CEB6C902-2D65-40B9-AEA5-C562F4A2C00F}">
      <text>
        <r>
          <rPr>
            <sz val="11"/>
            <color theme="1"/>
            <rFont val="Calibri"/>
            <family val="2"/>
            <scheme val="minor"/>
          </rPr>
          <t>======
ID#AAAAkkEn1Qc
User    (2022-11-28 17:31:21)
Incluye: cebada, trigo</t>
        </r>
      </text>
    </comment>
    <comment ref="C183" authorId="14" shapeId="0" xr:uid="{BDDB7F38-8985-4889-8B3B-224C8DF46908}">
      <text>
        <r>
          <rPr>
            <sz val="11"/>
            <color theme="1"/>
            <rFont val="Calibri"/>
            <family val="2"/>
            <scheme val="minor"/>
          </rPr>
          <t>======
ID#AAAAkkpSMoQ
User    (2022-11-28 17:31:22)
Incluye: papa, yuca</t>
        </r>
      </text>
    </comment>
    <comment ref="C184" authorId="14" shapeId="0" xr:uid="{408A3075-36C6-44A3-8608-9E06D9247D97}">
      <text>
        <r>
          <rPr>
            <sz val="11"/>
            <color theme="1"/>
            <rFont val="Calibri"/>
            <family val="2"/>
            <scheme val="minor"/>
          </rPr>
          <t>======
ID#AAAAkkpSM-Q
User    (2022-11-28 17:31:22)
Incluye: maracuyá, naranja, plátano, tomate de árbol, tomate riñón</t>
        </r>
      </text>
    </comment>
    <comment ref="C185" authorId="14" shapeId="0" xr:uid="{2624F0E5-F8CF-4C60-9989-720C909F8060}">
      <text>
        <r>
          <rPr>
            <sz val="11"/>
            <color theme="1"/>
            <rFont val="Calibri"/>
            <family val="2"/>
            <scheme val="minor"/>
          </rPr>
          <t>======
ID#AAAAkkpSM70
User    (2022-11-28 17:31:22)
Incluye: brócoli, cebolla blanca, palmito</t>
        </r>
      </text>
    </comment>
    <comment ref="C186" authorId="14" shapeId="0" xr:uid="{C2B4B085-DA1A-4BA0-BFA9-4E1AF5470A61}">
      <text>
        <r>
          <rPr>
            <sz val="11"/>
            <color theme="1"/>
            <rFont val="Calibri"/>
            <family val="2"/>
            <scheme val="minor"/>
          </rPr>
          <t>======
ID#AAAAkkpSM0I
User    (2022-11-28 17:31:22)
rosa, clavel, astromellas, campánula, gysophilia, crisantemos, trachelium, lilium, lirios, limonium, girasoles, hypericum, godethia, áster, orquídeas, cartucho, otras flores transitorias y permanentes</t>
        </r>
      </text>
    </comment>
    <comment ref="C193" authorId="14" shapeId="0" xr:uid="{367B8A48-567F-4AA2-BD9C-E28F92F7F610}">
      <text>
        <r>
          <rPr>
            <sz val="11"/>
            <color theme="1"/>
            <rFont val="Calibri"/>
            <family val="2"/>
            <scheme val="minor"/>
          </rPr>
          <t>======
ID#AAAAkkpSM7c
User    (2022-11-28 17:31:22)
Incluye caña de azucar para azúcar y para otros usos</t>
        </r>
      </text>
    </comment>
    <comment ref="C194" authorId="14" shapeId="0" xr:uid="{751D9034-2F4E-4DE6-B463-1B1074491D7B}">
      <text>
        <r>
          <rPr>
            <sz val="11"/>
            <color theme="1"/>
            <rFont val="Calibri"/>
            <family val="2"/>
            <scheme val="minor"/>
          </rPr>
          <t>======
ID#AAAAkkpSMyQ
User    (2022-11-28 17:31:22)
Incluye: Maíz duro en choclo y seco, maíz suave en choclo y seco</t>
        </r>
      </text>
    </comment>
    <comment ref="C198" authorId="14" shapeId="0" xr:uid="{CCC3AB58-658F-46D6-8E93-865E4BF5A980}">
      <text>
        <r>
          <rPr>
            <sz val="11"/>
            <color theme="1"/>
            <rFont val="Calibri"/>
            <family val="2"/>
            <scheme val="minor"/>
          </rPr>
          <t>======
ID#AAAAkkpSMnI
User    (2022-11-28 17:31:22)
Incluye: arveja seca y tierna, fréjol seco y tierno, haba seca y tierna</t>
        </r>
      </text>
    </comment>
    <comment ref="C199" authorId="14" shapeId="0" xr:uid="{43C3809E-5025-4F7F-9A80-70E53E99515B}">
      <text>
        <r>
          <rPr>
            <sz val="11"/>
            <color theme="1"/>
            <rFont val="Calibri"/>
            <family val="2"/>
            <scheme val="minor"/>
          </rPr>
          <t>======
ID#AAAAkkEn1Qc
User    (2022-11-28 17:31:21)
Incluye: cebada, trigo</t>
        </r>
      </text>
    </comment>
    <comment ref="C200" authorId="14" shapeId="0" xr:uid="{211D8998-4378-4461-ADCF-B4A1C2AB45F6}">
      <text>
        <r>
          <rPr>
            <sz val="11"/>
            <color theme="1"/>
            <rFont val="Calibri"/>
            <family val="2"/>
            <scheme val="minor"/>
          </rPr>
          <t>======
ID#AAAAkkpSMoQ
User    (2022-11-28 17:31:22)
Incluye: papa, yuca</t>
        </r>
      </text>
    </comment>
    <comment ref="C201" authorId="14" shapeId="0" xr:uid="{CCB6BCA2-D339-4E7F-9A68-8B15BAF5A392}">
      <text>
        <r>
          <rPr>
            <sz val="11"/>
            <color theme="1"/>
            <rFont val="Calibri"/>
            <family val="2"/>
            <scheme val="minor"/>
          </rPr>
          <t>======
ID#AAAAkkpSM-Q
User    (2022-11-28 17:31:22)
Incluye: maracuyá, naranja, plátano, tomate de árbol, tomate riñón</t>
        </r>
      </text>
    </comment>
    <comment ref="C202" authorId="14" shapeId="0" xr:uid="{3B213FD1-8BC1-432B-903F-109F7F2DDE48}">
      <text>
        <r>
          <rPr>
            <sz val="11"/>
            <color theme="1"/>
            <rFont val="Calibri"/>
            <family val="2"/>
            <scheme val="minor"/>
          </rPr>
          <t>======
ID#AAAAkkpSM70
User    (2022-11-28 17:31:22)
Incluye: brócoli, cebolla blanca, palmito</t>
        </r>
      </text>
    </comment>
    <comment ref="C203" authorId="14" shapeId="0" xr:uid="{79790CB7-E947-44E1-A4B6-63549C1CA06E}">
      <text>
        <r>
          <rPr>
            <sz val="11"/>
            <color theme="1"/>
            <rFont val="Calibri"/>
            <family val="2"/>
            <scheme val="minor"/>
          </rPr>
          <t>======
ID#AAAAkkpSM0I
User    (2022-11-28 17:31:22)
rosa, clavel, astromellas, campánula, gysophilia, crisantemos, trachelium, lilium, lirios, limonium, girasoles, hypericum, godethia, áster, orquídeas, cartucho, otras flores transitorias y permanentes</t>
        </r>
      </text>
    </comment>
    <comment ref="C210" authorId="14" shapeId="0" xr:uid="{096223C2-2FEA-4BA7-B50D-18B5FD964918}">
      <text>
        <r>
          <rPr>
            <sz val="11"/>
            <color theme="1"/>
            <rFont val="Calibri"/>
            <family val="2"/>
            <scheme val="minor"/>
          </rPr>
          <t>======
ID#AAAAkkpSM7c
User    (2022-11-28 17:31:22)
Incluye caña de azucar para azúcar y para otros usos</t>
        </r>
      </text>
    </comment>
    <comment ref="C211" authorId="14" shapeId="0" xr:uid="{CC9B0FC8-B03F-4B77-A834-803CD65781AA}">
      <text>
        <r>
          <rPr>
            <sz val="11"/>
            <color theme="1"/>
            <rFont val="Calibri"/>
            <family val="2"/>
            <scheme val="minor"/>
          </rPr>
          <t>======
ID#AAAAkkpSMyQ
User    (2022-11-28 17:31:22)
Incluye: Maíz duro en choclo y seco, maíz suave en choclo y seco</t>
        </r>
      </text>
    </comment>
    <comment ref="C215" authorId="14" shapeId="0" xr:uid="{4ECC0779-0814-45CB-B08B-558C7208A33A}">
      <text>
        <r>
          <rPr>
            <sz val="11"/>
            <color theme="1"/>
            <rFont val="Calibri"/>
            <family val="2"/>
            <scheme val="minor"/>
          </rPr>
          <t>======
ID#AAAAkkpSMnI
User    (2022-11-28 17:31:22)
Incluye: arveja seca y tierna, fréjol seco y tierno, haba seca y tierna</t>
        </r>
      </text>
    </comment>
    <comment ref="C216" authorId="14" shapeId="0" xr:uid="{BF19EDDB-6ADA-4115-A11E-001D3317F15F}">
      <text>
        <r>
          <rPr>
            <sz val="11"/>
            <color theme="1"/>
            <rFont val="Calibri"/>
            <family val="2"/>
            <scheme val="minor"/>
          </rPr>
          <t>======
ID#AAAAkkEn1Qc
User    (2022-11-28 17:31:21)
Incluye: cebada, trigo</t>
        </r>
      </text>
    </comment>
    <comment ref="C217" authorId="14" shapeId="0" xr:uid="{6EED7EFF-2C66-424E-9256-782C885949D5}">
      <text>
        <r>
          <rPr>
            <sz val="11"/>
            <color theme="1"/>
            <rFont val="Calibri"/>
            <family val="2"/>
            <scheme val="minor"/>
          </rPr>
          <t>======
ID#AAAAkkpSMoQ
User    (2022-11-28 17:31:22)
Incluye: papa, yuca</t>
        </r>
      </text>
    </comment>
    <comment ref="C218" authorId="14" shapeId="0" xr:uid="{95D04582-FDD6-4449-85B1-A5346656A081}">
      <text>
        <r>
          <rPr>
            <sz val="11"/>
            <color theme="1"/>
            <rFont val="Calibri"/>
            <family val="2"/>
            <scheme val="minor"/>
          </rPr>
          <t>======
ID#AAAAkkpSM-Q
User    (2022-11-28 17:31:22)
Incluye: maracuyá, naranja, plátano, tomate de árbol, tomate riñón</t>
        </r>
      </text>
    </comment>
    <comment ref="C219" authorId="14" shapeId="0" xr:uid="{5EE9AA2A-F06D-41BE-B7EC-0F32C0A1EBB9}">
      <text>
        <r>
          <rPr>
            <sz val="11"/>
            <color theme="1"/>
            <rFont val="Calibri"/>
            <family val="2"/>
            <scheme val="minor"/>
          </rPr>
          <t>======
ID#AAAAkkpSM70
User    (2022-11-28 17:31:22)
Incluye: brócoli, cebolla blanca, palmito</t>
        </r>
      </text>
    </comment>
    <comment ref="C220" authorId="14" shapeId="0" xr:uid="{E18AC647-FFB2-4359-A49A-902C28B2D736}">
      <text>
        <r>
          <rPr>
            <sz val="11"/>
            <color theme="1"/>
            <rFont val="Calibri"/>
            <family val="2"/>
            <scheme val="minor"/>
          </rPr>
          <t>======
ID#AAAAkkpSM0I
User    (2022-11-28 17:31:22)
rosa, clavel, astromellas, campánula, gysophilia, crisantemos, trachelium, lilium, lirios, limonium, girasoles, hypericum, godethia, áster, orquídeas, cartucho, otras flores transitorias y permanentes</t>
        </r>
      </text>
    </comment>
    <comment ref="C227" authorId="14" shapeId="0" xr:uid="{3F61C8DC-088B-4106-A5B8-8F2E6A2068B9}">
      <text>
        <r>
          <rPr>
            <sz val="11"/>
            <color theme="1"/>
            <rFont val="Calibri"/>
            <family val="2"/>
            <scheme val="minor"/>
          </rPr>
          <t>======
ID#AAAAkkpSM7c
User    (2022-11-28 17:31:22)
Incluye caña de azucar para azúcar y para otros usos</t>
        </r>
      </text>
    </comment>
    <comment ref="C228" authorId="14" shapeId="0" xr:uid="{4B993439-225A-4978-AFDB-D4AE14A54740}">
      <text>
        <r>
          <rPr>
            <sz val="11"/>
            <color theme="1"/>
            <rFont val="Calibri"/>
            <family val="2"/>
            <scheme val="minor"/>
          </rPr>
          <t>======
ID#AAAAkkpSMyQ
User    (2022-11-28 17:31:22)
Incluye: Maíz duro en choclo y seco, maíz suave en choclo y seco</t>
        </r>
      </text>
    </comment>
    <comment ref="C232" authorId="14" shapeId="0" xr:uid="{58F10460-051C-4636-A3EF-31F99960AE55}">
      <text>
        <r>
          <rPr>
            <sz val="11"/>
            <color theme="1"/>
            <rFont val="Calibri"/>
            <family val="2"/>
            <scheme val="minor"/>
          </rPr>
          <t>======
ID#AAAAkkpSMnI
User    (2022-11-28 17:31:22)
Incluye: arveja seca y tierna, fréjol seco y tierno, haba seca y tierna</t>
        </r>
      </text>
    </comment>
    <comment ref="C233" authorId="14" shapeId="0" xr:uid="{3AEBAA8F-F37D-49C2-8AF9-C7225C417133}">
      <text>
        <r>
          <rPr>
            <sz val="11"/>
            <color theme="1"/>
            <rFont val="Calibri"/>
            <family val="2"/>
            <scheme val="minor"/>
          </rPr>
          <t>======
ID#AAAAkkEn1Qc
User    (2022-11-28 17:31:21)
Incluye: cebada, trigo</t>
        </r>
      </text>
    </comment>
    <comment ref="C234" authorId="14" shapeId="0" xr:uid="{A84354BD-C945-41B9-B461-600A71333B15}">
      <text>
        <r>
          <rPr>
            <sz val="11"/>
            <color theme="1"/>
            <rFont val="Calibri"/>
            <family val="2"/>
            <scheme val="minor"/>
          </rPr>
          <t>======
ID#AAAAkkpSMoQ
User    (2022-11-28 17:31:22)
Incluye: papa, yuca</t>
        </r>
      </text>
    </comment>
    <comment ref="C235" authorId="14" shapeId="0" xr:uid="{D4090334-20B9-4613-9A8E-F694651BDA57}">
      <text>
        <r>
          <rPr>
            <sz val="11"/>
            <color theme="1"/>
            <rFont val="Calibri"/>
            <family val="2"/>
            <scheme val="minor"/>
          </rPr>
          <t>======
ID#AAAAkkpSM-Q
User    (2022-11-28 17:31:22)
Incluye: maracuyá, naranja, plátano, tomate de árbol, tomate riñón</t>
        </r>
      </text>
    </comment>
    <comment ref="C236" authorId="14" shapeId="0" xr:uid="{28B9DBE5-B573-4EFE-8CC2-D36DF72590B0}">
      <text>
        <r>
          <rPr>
            <sz val="11"/>
            <color theme="1"/>
            <rFont val="Calibri"/>
            <family val="2"/>
            <scheme val="minor"/>
          </rPr>
          <t>======
ID#AAAAkkpSM70
User    (2022-11-28 17:31:22)
Incluye: brócoli, cebolla blanca, palmito</t>
        </r>
      </text>
    </comment>
    <comment ref="C237" authorId="14" shapeId="0" xr:uid="{9B7CA95F-1B3D-429E-8ACA-DDE52D4B8CFD}">
      <text>
        <r>
          <rPr>
            <sz val="11"/>
            <color theme="1"/>
            <rFont val="Calibri"/>
            <family val="2"/>
            <scheme val="minor"/>
          </rPr>
          <t>======
ID#AAAAkkpSM0I
User    (2022-11-28 17:31:22)
rosa, clavel, astromellas, campánula, gysophilia, crisantemos, trachelium, lilium, lirios, limonium, girasoles, hypericum, godethia, áster, orquídeas, cartucho, otras flores transitorias y permanentes</t>
        </r>
      </text>
    </comment>
    <comment ref="C244" authorId="14" shapeId="0" xr:uid="{1525114C-2BD2-4006-842B-13FED0BE0049}">
      <text>
        <r>
          <rPr>
            <sz val="11"/>
            <color theme="1"/>
            <rFont val="Calibri"/>
            <family val="2"/>
            <scheme val="minor"/>
          </rPr>
          <t>======
ID#AAAAkkpSM7c
User    (2022-11-28 17:31:22)
Incluye caña de azucar para azúcar y para otros usos</t>
        </r>
      </text>
    </comment>
    <comment ref="C245" authorId="14" shapeId="0" xr:uid="{A91736F8-52EF-4AF1-B6A3-8116332A45D5}">
      <text>
        <r>
          <rPr>
            <sz val="11"/>
            <color theme="1"/>
            <rFont val="Calibri"/>
            <family val="2"/>
            <scheme val="minor"/>
          </rPr>
          <t>======
ID#AAAAkkpSMyQ
User    (2022-11-28 17:31:22)
Incluye: Maíz duro en choclo y seco, maíz suave en choclo y seco</t>
        </r>
      </text>
    </comment>
    <comment ref="C249" authorId="14" shapeId="0" xr:uid="{BE6C9E59-667C-466F-ABA7-92EF96FE61D6}">
      <text>
        <r>
          <rPr>
            <sz val="11"/>
            <color theme="1"/>
            <rFont val="Calibri"/>
            <family val="2"/>
            <scheme val="minor"/>
          </rPr>
          <t>======
ID#AAAAkkpSMnI
User    (2022-11-28 17:31:22)
Incluye: arveja seca y tierna, fréjol seco y tierno, haba seca y tierna</t>
        </r>
      </text>
    </comment>
    <comment ref="C250" authorId="14" shapeId="0" xr:uid="{AA2FC598-6521-4E3B-807A-E3CA08884730}">
      <text>
        <r>
          <rPr>
            <sz val="11"/>
            <color theme="1"/>
            <rFont val="Calibri"/>
            <family val="2"/>
            <scheme val="minor"/>
          </rPr>
          <t>======
ID#AAAAkkEn1Qc
User    (2022-11-28 17:31:21)
Incluye: cebada, trigo</t>
        </r>
      </text>
    </comment>
    <comment ref="C251" authorId="14" shapeId="0" xr:uid="{7863ABF9-81AE-439A-9BF6-92AEE105A5BC}">
      <text>
        <r>
          <rPr>
            <sz val="11"/>
            <color theme="1"/>
            <rFont val="Calibri"/>
            <family val="2"/>
            <scheme val="minor"/>
          </rPr>
          <t>======
ID#AAAAkkpSMoQ
User    (2022-11-28 17:31:22)
Incluye: papa, yuca</t>
        </r>
      </text>
    </comment>
    <comment ref="C252" authorId="14" shapeId="0" xr:uid="{17DA918D-B3FD-478A-9069-9627B2FBADDA}">
      <text>
        <r>
          <rPr>
            <sz val="11"/>
            <color theme="1"/>
            <rFont val="Calibri"/>
            <family val="2"/>
            <scheme val="minor"/>
          </rPr>
          <t>======
ID#AAAAkkpSM-Q
User    (2022-11-28 17:31:22)
Incluye: maracuyá, naranja, plátano, tomate de árbol, tomate riñón</t>
        </r>
      </text>
    </comment>
    <comment ref="C253" authorId="14" shapeId="0" xr:uid="{102E49C4-6297-49D9-B913-FF938E6A9831}">
      <text>
        <r>
          <rPr>
            <sz val="11"/>
            <color theme="1"/>
            <rFont val="Calibri"/>
            <family val="2"/>
            <scheme val="minor"/>
          </rPr>
          <t>======
ID#AAAAkkpSM70
User    (2022-11-28 17:31:22)
Incluye: brócoli, cebolla blanca, palmito</t>
        </r>
      </text>
    </comment>
    <comment ref="C254" authorId="14" shapeId="0" xr:uid="{59203AC0-95C5-4145-B0C5-52A4FB5795D1}">
      <text>
        <r>
          <rPr>
            <sz val="11"/>
            <color theme="1"/>
            <rFont val="Calibri"/>
            <family val="2"/>
            <scheme val="minor"/>
          </rPr>
          <t>======
ID#AAAAkkpSM0I
User    (2022-11-28 17:31:22)
rosa, clavel, astromellas, campánula, gysophilia, crisantemos, trachelium, lilium, lirios, limonium, girasoles, hypericum, godethia, áster, orquídeas, cartucho, otras flores transitorias y permanentes</t>
        </r>
      </text>
    </comment>
    <comment ref="C261" authorId="14" shapeId="0" xr:uid="{BE099108-5754-4251-A42D-E77B432935DF}">
      <text>
        <r>
          <rPr>
            <sz val="11"/>
            <color theme="1"/>
            <rFont val="Calibri"/>
            <family val="2"/>
            <scheme val="minor"/>
          </rPr>
          <t>======
ID#AAAAkkpSM7c
User    (2022-11-28 17:31:22)
Incluye caña de azucar para azúcar y para otros usos</t>
        </r>
      </text>
    </comment>
    <comment ref="C262" authorId="14" shapeId="0" xr:uid="{1D893580-96DC-4F52-BB01-7E3D82AFEB32}">
      <text>
        <r>
          <rPr>
            <sz val="11"/>
            <color theme="1"/>
            <rFont val="Calibri"/>
            <family val="2"/>
            <scheme val="minor"/>
          </rPr>
          <t>======
ID#AAAAkkpSMyQ
User    (2022-11-28 17:31:22)
Incluye: Maíz duro en choclo y seco, maíz suave en choclo y seco</t>
        </r>
      </text>
    </comment>
    <comment ref="C266" authorId="14" shapeId="0" xr:uid="{EEF57557-E297-439B-8833-2AB19EE26FBB}">
      <text>
        <r>
          <rPr>
            <sz val="11"/>
            <color theme="1"/>
            <rFont val="Calibri"/>
            <family val="2"/>
            <scheme val="minor"/>
          </rPr>
          <t>======
ID#AAAAkkpSMnI
User    (2022-11-28 17:31:22)
Incluye: arveja seca y tierna, fréjol seco y tierno, haba seca y tierna</t>
        </r>
      </text>
    </comment>
    <comment ref="C267" authorId="14" shapeId="0" xr:uid="{69368418-54B3-4AC4-A4C2-34A49A111D3E}">
      <text>
        <r>
          <rPr>
            <sz val="11"/>
            <color theme="1"/>
            <rFont val="Calibri"/>
            <family val="2"/>
            <scheme val="minor"/>
          </rPr>
          <t>======
ID#AAAAkkEn1Qc
User    (2022-11-28 17:31:21)
Incluye: cebada, trigo</t>
        </r>
      </text>
    </comment>
    <comment ref="C268" authorId="14" shapeId="0" xr:uid="{2CC55E82-D1A2-4877-8E6F-DF79DE206EFC}">
      <text>
        <r>
          <rPr>
            <sz val="11"/>
            <color theme="1"/>
            <rFont val="Calibri"/>
            <family val="2"/>
            <scheme val="minor"/>
          </rPr>
          <t>======
ID#AAAAkkpSMoQ
User    (2022-11-28 17:31:22)
Incluye: papa, yuca</t>
        </r>
      </text>
    </comment>
    <comment ref="C269" authorId="14" shapeId="0" xr:uid="{FD83A62B-7E1B-40ED-9D4C-8148F092ED41}">
      <text>
        <r>
          <rPr>
            <sz val="11"/>
            <color theme="1"/>
            <rFont val="Calibri"/>
            <family val="2"/>
            <scheme val="minor"/>
          </rPr>
          <t>======
ID#AAAAkkpSM-Q
User    (2022-11-28 17:31:22)
Incluye: maracuyá, naranja, plátano, tomate de árbol, tomate riñón</t>
        </r>
      </text>
    </comment>
    <comment ref="C270" authorId="14" shapeId="0" xr:uid="{A1033240-247D-432D-BCB4-34577ABE94DF}">
      <text>
        <r>
          <rPr>
            <sz val="11"/>
            <color theme="1"/>
            <rFont val="Calibri"/>
            <family val="2"/>
            <scheme val="minor"/>
          </rPr>
          <t>======
ID#AAAAkkpSM70
User    (2022-11-28 17:31:22)
Incluye: brócoli, cebolla blanca, palmito</t>
        </r>
      </text>
    </comment>
    <comment ref="C271" authorId="14" shapeId="0" xr:uid="{E95CB209-7086-4692-9A44-04879B5B0F9D}">
      <text>
        <r>
          <rPr>
            <sz val="11"/>
            <color theme="1"/>
            <rFont val="Calibri"/>
            <family val="2"/>
            <scheme val="minor"/>
          </rPr>
          <t>======
ID#AAAAkkpSM0I
User    (2022-11-28 17:31:22)
rosa, clavel, astromellas, campánula, gysophilia, crisantemos, trachelium, lilium, lirios, limonium, girasoles, hypericum, godethia, áster, orquídeas, cartucho, otras flores transitorias y permanentes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219FF6C3-9B37-438B-8049-C0CC4BFDB52B}">
      <text>
        <r>
          <rPr>
            <sz val="11"/>
            <color theme="1"/>
            <rFont val="Calibri"/>
            <family val="2"/>
            <scheme val="minor"/>
          </rPr>
          <t>======
ID#AAAAkkpSM-U
tc={872D0DEB-7458-488B-A784-A7D4A6132573}    (2022-11-28 17:31:22)
[Threaded comment]
Your version of Excel allows you to read this threaded comment; however, any edits to it will get removed if the file is opened in a newer version of Excel. Learn more: https://go.microsoft.com/fwlink/?linkid=870924
Comment:
    No es necesario rellenar todos los años. Agregué algunos años históricos por si la información que tenemos es así, y podemos usarla para hacer proyecciones. 
Para el modelo solo será necesario 2018-2050 (o el periodo de modelación que decidamos)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D94CEFA4-C127-425A-9979-92326A1ABC1F}">
      <text>
        <r>
          <rPr>
            <sz val="11"/>
            <color theme="1"/>
            <rFont val="Calibri"/>
            <family val="2"/>
            <scheme val="minor"/>
          </rPr>
          <t>======
ID#AAAAkkpSM4w
tc={78D4C4A7-9512-426D-86C3-62415D93C176}    (2022-11-28 17:31:22)
[Threaded comment]
Your version of Excel allows you to read this threaded comment; however, any edits to it will get removed if the file is opened in a newer version of Excel. Learn more: https://go.microsoft.com/fwlink/?linkid=870924
Comment:
    Agregar comentarios en la plantilla para aclarar qué significa cada dato, cuando la interpretación no es obvia</t>
        </r>
      </text>
    </comment>
    <comment ref="G1" authorId="0" shapeId="0" xr:uid="{46A2C7FF-8D53-4591-964F-2186EC9C71A2}">
      <text>
        <r>
          <rPr>
            <sz val="11"/>
            <color theme="1"/>
            <rFont val="Calibri"/>
            <family val="2"/>
            <scheme val="minor"/>
          </rPr>
          <t>======
ID#AAAAkkpSM-U
tc={872D0DEB-7458-488B-A784-A7D4A6132573}    (2022-11-28 17:31:22)
[Threaded comment]
Your version of Excel allows you to read this threaded comment; however, any edits to it will get removed if the file is opened in a newer version of Excel. Learn more: https://go.microsoft.com/fwlink/?linkid=870924
Comment:
    No es necesario rellenar todos los años. Agregué algunos años históricos por si la información que tenemos es así, y podemos usarla para hacer proyecciones. 
Para el modelo solo será necesario 2018-2050 (o el periodo de modelación que decidamos)</t>
        </r>
      </text>
    </comment>
    <comment ref="F8" authorId="0" shapeId="0" xr:uid="{C2972907-48D5-414E-AB93-156FA6FABD90}">
      <text>
        <r>
          <rPr>
            <sz val="11"/>
            <color theme="1"/>
            <rFont val="Calibri"/>
            <family val="2"/>
            <scheme val="minor"/>
          </rPr>
          <t>======
ID#AAAAkkEn1OE
User    (2022-11-28 17:31:21)
Incluye banano de exportación en monocultivo</t>
        </r>
      </text>
    </comment>
    <comment ref="F11" authorId="0" shapeId="0" xr:uid="{B2467A8D-2B23-4ADD-999B-A7F3292B28EF}">
      <text>
        <r>
          <rPr>
            <sz val="11"/>
            <color theme="1"/>
            <rFont val="Calibri"/>
            <family val="2"/>
            <scheme val="minor"/>
          </rPr>
          <t>======
ID#AAAAkkpSM0Q
User    (2022-11-28 17:31:22)
Incluye caña de azucar para azúcar y para otros usos</t>
        </r>
      </text>
    </comment>
    <comment ref="F12" authorId="0" shapeId="0" xr:uid="{A3C58206-45D8-4A32-A9E7-403D768DFDF7}">
      <text>
        <r>
          <rPr>
            <sz val="11"/>
            <color theme="1"/>
            <rFont val="Calibri"/>
            <family val="2"/>
            <scheme val="minor"/>
          </rPr>
          <t>======
ID#AAAAkkpSM58
User    (2022-11-28 17:31:22)
Incluye: Maíz duro en choclo y seco, maíz suave en choclo y seco</t>
        </r>
      </text>
    </comment>
    <comment ref="F16" authorId="0" shapeId="0" xr:uid="{5CF050CD-1DCB-4D96-872E-CA83B040F662}">
      <text>
        <r>
          <rPr>
            <sz val="11"/>
            <color theme="1"/>
            <rFont val="Calibri"/>
            <family val="2"/>
            <scheme val="minor"/>
          </rPr>
          <t>======
ID#AAAAkkEn1PA
User    (2022-11-28 17:31:21)
Incluye: arveja seca y tierna, fréjol seco y tierno, haba seca y tierna, maní</t>
        </r>
      </text>
    </comment>
    <comment ref="F17" authorId="0" shapeId="0" xr:uid="{D1538D65-12CE-4C8C-9E92-8F656582D389}">
      <text>
        <r>
          <rPr>
            <sz val="11"/>
            <color theme="1"/>
            <rFont val="Calibri"/>
            <family val="2"/>
            <scheme val="minor"/>
          </rPr>
          <t>======
ID#AAAAkkpSM4c
User    (2022-11-28 17:31:22)
Incluye: cebada, trigo</t>
        </r>
      </text>
    </comment>
    <comment ref="F18" authorId="0" shapeId="0" xr:uid="{5199DB0C-E07A-4DCA-BC72-464C2D69CB63}">
      <text>
        <r>
          <rPr>
            <sz val="11"/>
            <color theme="1"/>
            <rFont val="Calibri"/>
            <family val="2"/>
            <scheme val="minor"/>
          </rPr>
          <t>======
ID#AAAAkkpSM_Q
User    (2022-11-28 17:31:22)
Incluye: papa, yuca</t>
        </r>
      </text>
    </comment>
    <comment ref="F19" authorId="0" shapeId="0" xr:uid="{30BCFB12-6F1B-4AA1-996D-BABAE2DF78E1}">
      <text>
        <r>
          <rPr>
            <sz val="11"/>
            <color theme="1"/>
            <rFont val="Calibri"/>
            <family val="2"/>
            <scheme val="minor"/>
          </rPr>
          <t>======
ID#AAAAkkpSM_Y
User    (2022-11-28 17:31:22)
Incluye: aguacate,maracuyá, naranja, plátano, tomate de árbol, tomate riñón, limón, mango, orito, piña</t>
        </r>
      </text>
    </comment>
    <comment ref="F20" authorId="0" shapeId="0" xr:uid="{49D1676E-D57B-4AC1-93E4-C08B8F7DAFCF}">
      <text>
        <r>
          <rPr>
            <sz val="11"/>
            <color theme="1"/>
            <rFont val="Calibri"/>
            <family val="2"/>
            <scheme val="minor"/>
          </rPr>
          <t>======
ID#AAAAkkEn1QE
User    (2022-11-28 17:31:21)
Incluye: brócoli, cebolla blanca, palmito</t>
        </r>
      </text>
    </comment>
    <comment ref="F21" authorId="0" shapeId="0" xr:uid="{6B75E526-8E8F-4009-8D31-F1D2F91FBD2F}">
      <text>
        <r>
          <rPr>
            <sz val="11"/>
            <color theme="1"/>
            <rFont val="Calibri"/>
            <family val="2"/>
            <scheme val="minor"/>
          </rPr>
          <t>======
ID#AAAAkkpSMm4
User    (2022-11-28 17:31:22)
Incluye: brócoli, cebolla blanca, palmito</t>
        </r>
      </text>
    </comment>
    <comment ref="F27" authorId="0" shapeId="0" xr:uid="{C1B382CF-9783-42DE-B45A-A77DDFAC8E2E}">
      <text>
        <r>
          <rPr>
            <sz val="11"/>
            <color theme="1"/>
            <rFont val="Calibri"/>
            <family val="2"/>
            <scheme val="minor"/>
          </rPr>
          <t>======
ID#AAAAkkpSM8k
User    (2022-11-28 17:31:22)
Incluye caña de azucar para azúcar y para otros usos</t>
        </r>
      </text>
    </comment>
    <comment ref="F28" authorId="0" shapeId="0" xr:uid="{6CC840BC-9713-4CAF-AC59-7542ED94AEE9}">
      <text>
        <r>
          <rPr>
            <sz val="11"/>
            <color theme="1"/>
            <rFont val="Calibri"/>
            <family val="2"/>
            <scheme val="minor"/>
          </rPr>
          <t>======
ID#AAAAkkpSM7k
User    (2022-11-28 17:31:22)
Incluye: Maíz duro en choclo y seco, maíz suave en choclo y seco</t>
        </r>
      </text>
    </comment>
    <comment ref="F32" authorId="0" shapeId="0" xr:uid="{A22BBFCA-4719-496D-BA84-3A1A1E489546}">
      <text>
        <r>
          <rPr>
            <sz val="11"/>
            <color theme="1"/>
            <rFont val="Calibri"/>
            <family val="2"/>
            <scheme val="minor"/>
          </rPr>
          <t>======
ID#AAAAkkpSM2E
User    (2022-11-28 17:31:22)
Incluye: arveja seca y tierna, fréjol seco y tierno, haba seca y tierna</t>
        </r>
      </text>
    </comment>
    <comment ref="F33" authorId="0" shapeId="0" xr:uid="{A4B660BC-026B-42C1-B30F-D58CE4DFE9EE}">
      <text>
        <r>
          <rPr>
            <sz val="11"/>
            <color theme="1"/>
            <rFont val="Calibri"/>
            <family val="2"/>
            <scheme val="minor"/>
          </rPr>
          <t>======
ID#AAAAkkpSMy8
User    (2022-11-28 17:31:22)
Incluye: cebada, trigo</t>
        </r>
      </text>
    </comment>
    <comment ref="F34" authorId="0" shapeId="0" xr:uid="{FD106826-1963-46CC-9EFB-52CDBB5157E6}">
      <text>
        <r>
          <rPr>
            <sz val="11"/>
            <color theme="1"/>
            <rFont val="Calibri"/>
            <family val="2"/>
            <scheme val="minor"/>
          </rPr>
          <t>======
ID#AAAAkkpSM7M
User    (2022-11-28 17:31:22)
Incluye: papa, yuca</t>
        </r>
      </text>
    </comment>
    <comment ref="F35" authorId="0" shapeId="0" xr:uid="{00C92D60-FD09-4153-A9FC-98BE776EB4D9}">
      <text>
        <r>
          <rPr>
            <sz val="11"/>
            <color theme="1"/>
            <rFont val="Calibri"/>
            <family val="2"/>
            <scheme val="minor"/>
          </rPr>
          <t>======
ID#AAAAkkpSM94
User    (2022-11-28 17:31:22)
Incluye: maracuyá, naranja, plátano, tomate de árbol, tomate riñón</t>
        </r>
      </text>
    </comment>
    <comment ref="F36" authorId="0" shapeId="0" xr:uid="{63F2B601-204D-4378-965B-9AFAE97CBF46}">
      <text>
        <r>
          <rPr>
            <sz val="11"/>
            <color theme="1"/>
            <rFont val="Calibri"/>
            <family val="2"/>
            <scheme val="minor"/>
          </rPr>
          <t>======
ID#AAAAkkpSMoI
User    (2022-11-28 17:31:22)
Incluye: brócoli, cebolla, tomate riñon</t>
        </r>
      </text>
    </comment>
    <comment ref="F37" authorId="0" shapeId="0" xr:uid="{43C38CBA-9863-485F-9DA7-34674BF0AB4C}">
      <text>
        <r>
          <rPr>
            <sz val="11"/>
            <color theme="1"/>
            <rFont val="Calibri"/>
            <family val="2"/>
            <scheme val="minor"/>
          </rPr>
          <t>======
ID#AAAAkkpSMmc
User    (2022-11-28 17:31:22)
rosa, clavel, astromellas, campánula, gysophilia, crisantemos, trachelium, lilium, lirios, limonium, girasoles, hypericum, godethia, áster, orquídeas, cartucho, otras flores transitorias y permanentes</t>
        </r>
      </text>
    </comment>
    <comment ref="F42" authorId="0" shapeId="0" xr:uid="{2DA4DB97-F248-4231-9E03-A0926AA23891}">
      <text>
        <r>
          <rPr>
            <sz val="11"/>
            <color theme="1"/>
            <rFont val="Calibri"/>
            <family val="2"/>
            <scheme val="minor"/>
          </rPr>
          <t>======
ID#AAAAkkpSM0c
User    (2022-11-28 17:31:22)
Incluye banano de exportación en monocultivo</t>
        </r>
      </text>
    </comment>
    <comment ref="F45" authorId="0" shapeId="0" xr:uid="{3576977A-DF84-4434-AE20-6F0B92A3BE8D}">
      <text>
        <r>
          <rPr>
            <sz val="11"/>
            <color theme="1"/>
            <rFont val="Calibri"/>
            <family val="2"/>
            <scheme val="minor"/>
          </rPr>
          <t>======
ID#AAAAkkEn1QY
User    (2022-11-28 17:31:21)
Incluye caña de azucar para azúcar y para otros usos</t>
        </r>
      </text>
    </comment>
    <comment ref="F46" authorId="0" shapeId="0" xr:uid="{617A27CD-1770-4C18-B73F-CBF019195652}">
      <text>
        <r>
          <rPr>
            <sz val="11"/>
            <color theme="1"/>
            <rFont val="Calibri"/>
            <family val="2"/>
            <scheme val="minor"/>
          </rPr>
          <t>======
ID#AAAAkkpSM98
User    (2022-11-28 17:31:22)
Incluye: Maíz duro en choclo y seco, maíz suave en choclo y seco</t>
        </r>
      </text>
    </comment>
    <comment ref="F50" authorId="0" shapeId="0" xr:uid="{7F63C9BA-A624-4608-A44B-E0E1CF7AA2F8}">
      <text>
        <r>
          <rPr>
            <sz val="11"/>
            <color theme="1"/>
            <rFont val="Calibri"/>
            <family val="2"/>
            <scheme val="minor"/>
          </rPr>
          <t>======
ID#AAAAkkpSMnQ
User    (2022-11-28 17:31:22)
Incluye: arveja seca y tierna, fréjol seco y tierno, haba seca y tierna, maní</t>
        </r>
      </text>
    </comment>
    <comment ref="F51" authorId="0" shapeId="0" xr:uid="{032C82B0-3EF3-4861-83F9-927554622968}">
      <text>
        <r>
          <rPr>
            <sz val="11"/>
            <color theme="1"/>
            <rFont val="Calibri"/>
            <family val="2"/>
            <scheme val="minor"/>
          </rPr>
          <t>======
ID#AAAAkkpSM-w
User    (2022-11-28 17:31:22)
Incluye: cebada, trigo</t>
        </r>
      </text>
    </comment>
    <comment ref="F52" authorId="0" shapeId="0" xr:uid="{F78703A5-AC77-432D-B3FA-C1107466A95D}">
      <text>
        <r>
          <rPr>
            <sz val="11"/>
            <color theme="1"/>
            <rFont val="Calibri"/>
            <family val="2"/>
            <scheme val="minor"/>
          </rPr>
          <t>======
ID#AAAAkkpSM_o
User    (2022-11-28 17:31:22)
Incluye: papa, yuca</t>
        </r>
      </text>
    </comment>
    <comment ref="F53" authorId="0" shapeId="0" xr:uid="{BA0316AB-69CB-4B43-9A8C-16B4809781D4}">
      <text>
        <r>
          <rPr>
            <sz val="11"/>
            <color theme="1"/>
            <rFont val="Calibri"/>
            <family val="2"/>
            <scheme val="minor"/>
          </rPr>
          <t>======
ID#AAAAkkpSNBI
User    (2022-11-28 17:31:22)
Incluye: aguacate,maracuyá, naranja, plátano, tomate de árbol, tomate riñón, limón, mango, orito, piña</t>
        </r>
      </text>
    </comment>
    <comment ref="F54" authorId="0" shapeId="0" xr:uid="{AD0F991F-15AE-471B-80D2-107A0DFB2590}">
      <text>
        <r>
          <rPr>
            <sz val="11"/>
            <color theme="1"/>
            <rFont val="Calibri"/>
            <family val="2"/>
            <scheme val="minor"/>
          </rPr>
          <t>======
ID#AAAAkkpSNAs
User    (2022-11-28 17:31:22)
Incluye: brócoli, cebolla blanca, palmito</t>
        </r>
      </text>
    </comment>
    <comment ref="F61" authorId="0" shapeId="0" xr:uid="{68FB589A-0CD2-47BC-B3AB-6A897B28D8E7}">
      <text>
        <r>
          <rPr>
            <sz val="11"/>
            <color theme="1"/>
            <rFont val="Calibri"/>
            <family val="2"/>
            <scheme val="minor"/>
          </rPr>
          <t>======
ID#AAAAkkpSMyA
User    (2022-11-28 17:31:22)
Incluye caña de azucar para azúcar y para otros usos</t>
        </r>
      </text>
    </comment>
    <comment ref="F62" authorId="0" shapeId="0" xr:uid="{55348B72-6E20-4E94-8FA1-06DE043CEE84}">
      <text>
        <r>
          <rPr>
            <sz val="11"/>
            <color theme="1"/>
            <rFont val="Calibri"/>
            <family val="2"/>
            <scheme val="minor"/>
          </rPr>
          <t>======
ID#AAAAkkpSM68
User    (2022-11-28 17:31:22)
Incluye: Maíz duro en choclo y seco, maíz suave en choclo y seco</t>
        </r>
      </text>
    </comment>
    <comment ref="F66" authorId="0" shapeId="0" xr:uid="{B7B9A3A8-1E45-4D62-994B-CCAE7249827F}">
      <text>
        <r>
          <rPr>
            <sz val="11"/>
            <color theme="1"/>
            <rFont val="Calibri"/>
            <family val="2"/>
            <scheme val="minor"/>
          </rPr>
          <t>======
ID#AAAAkkEn1Ps
User    (2022-11-28 17:31:21)
Incluye: arveja seca y tierna, fréjol seco y tierno, haba seca y tierna</t>
        </r>
      </text>
    </comment>
    <comment ref="F67" authorId="0" shapeId="0" xr:uid="{2A24A7AF-CC27-4C9C-AAC7-406FACD6D69A}">
      <text>
        <r>
          <rPr>
            <sz val="11"/>
            <color theme="1"/>
            <rFont val="Calibri"/>
            <family val="2"/>
            <scheme val="minor"/>
          </rPr>
          <t>======
ID#AAAAkkpSMzY
User    (2022-11-28 17:31:22)
Incluye: cebada, trigo</t>
        </r>
      </text>
    </comment>
    <comment ref="F68" authorId="0" shapeId="0" xr:uid="{D9F9FB4B-D56E-4584-B3A4-DC6707259B4D}">
      <text>
        <r>
          <rPr>
            <sz val="11"/>
            <color theme="1"/>
            <rFont val="Calibri"/>
            <family val="2"/>
            <scheme val="minor"/>
          </rPr>
          <t>======
ID#AAAAkkpSNAc
User    (2022-11-28 17:31:22)
Incluye: papa, yuca</t>
        </r>
      </text>
    </comment>
    <comment ref="F69" authorId="0" shapeId="0" xr:uid="{1ACAFACB-B06D-48F8-8A4F-88EFEE0B98DC}">
      <text>
        <r>
          <rPr>
            <sz val="11"/>
            <color theme="1"/>
            <rFont val="Calibri"/>
            <family val="2"/>
            <scheme val="minor"/>
          </rPr>
          <t>======
ID#AAAAkkpSMyM
User    (2022-11-28 17:31:22)
Incluye: maracuyá, naranja, plátano, tomate de árbol, tomate riñón</t>
        </r>
      </text>
    </comment>
    <comment ref="F70" authorId="0" shapeId="0" xr:uid="{25572BDA-AA15-4892-B4C7-5DA1D7B40FC5}">
      <text>
        <r>
          <rPr>
            <sz val="11"/>
            <color theme="1"/>
            <rFont val="Calibri"/>
            <family val="2"/>
            <scheme val="minor"/>
          </rPr>
          <t>======
ID#AAAAkkpSMoU
User    (2022-11-28 17:31:22)
Incluye: brócoli, cebolla, tomate riñon</t>
        </r>
      </text>
    </comment>
    <comment ref="F71" authorId="0" shapeId="0" xr:uid="{5AE80BB7-84AF-47C3-88B1-B2882EAA9922}">
      <text>
        <r>
          <rPr>
            <sz val="11"/>
            <color theme="1"/>
            <rFont val="Calibri"/>
            <family val="2"/>
            <scheme val="minor"/>
          </rPr>
          <t>======
ID#AAAAkkpSM0w
User    (2022-11-28 17:31:22)
rosa, clavel, astromellas, campánula, gysophilia, crisantemos, trachelium, lilium, lirios, limonium, girasoles, hypericum, godethia, áster, orquídeas, cartucho, otras flores transitorias y permanentes</t>
        </r>
      </text>
    </comment>
    <comment ref="F85" authorId="0" shapeId="0" xr:uid="{622A23CE-7D9D-4E55-BE3C-76D308C89F25}">
      <text>
        <r>
          <rPr>
            <sz val="11"/>
            <color theme="1"/>
            <rFont val="Calibri"/>
            <family val="2"/>
            <scheme val="minor"/>
          </rPr>
          <t>======
ID#AAAAkkpSM5o
User    (2022-11-28 17:31:22)
Incluye caña de azucar para azúcar y para otros usos</t>
        </r>
      </text>
    </comment>
    <comment ref="F86" authorId="0" shapeId="0" xr:uid="{AA4E1B98-B165-4FB9-B972-BD2A66AD2731}">
      <text>
        <r>
          <rPr>
            <sz val="11"/>
            <color theme="1"/>
            <rFont val="Calibri"/>
            <family val="2"/>
            <scheme val="minor"/>
          </rPr>
          <t>======
ID#AAAAkkpSM90
User    (2022-11-28 17:31:22)
Incluye: Maíz duro en choclo y seco, maíz suave en choclo y seco</t>
        </r>
      </text>
    </comment>
    <comment ref="F90" authorId="0" shapeId="0" xr:uid="{AB0AB7E8-4EB3-43CC-83F0-B0572F042004}">
      <text>
        <r>
          <rPr>
            <sz val="11"/>
            <color theme="1"/>
            <rFont val="Calibri"/>
            <family val="2"/>
            <scheme val="minor"/>
          </rPr>
          <t>======
ID#AAAAkkEn1N8
User    (2022-11-28 17:31:21)
Incluye: arveja seca y tierna, fréjol seco y tierno, haba seca y tierna, maní</t>
        </r>
      </text>
    </comment>
    <comment ref="F91" authorId="0" shapeId="0" xr:uid="{ED2131D2-95CE-436C-9F38-B5369FBCE1BD}">
      <text>
        <r>
          <rPr>
            <sz val="11"/>
            <color theme="1"/>
            <rFont val="Calibri"/>
            <family val="2"/>
            <scheme val="minor"/>
          </rPr>
          <t>======
ID#AAAAkkpSM2I
User    (2022-11-28 17:31:22)
Incluye: cebada, trigo</t>
        </r>
      </text>
    </comment>
    <comment ref="F92" authorId="0" shapeId="0" xr:uid="{65A71DC4-2ED0-44A4-BFE4-21C7B8CDB7D5}">
      <text>
        <r>
          <rPr>
            <sz val="11"/>
            <color theme="1"/>
            <rFont val="Calibri"/>
            <family val="2"/>
            <scheme val="minor"/>
          </rPr>
          <t>======
ID#AAAAkkpSNAU
User    (2022-11-28 17:31:22)
Incluye: papa, yuca</t>
        </r>
      </text>
    </comment>
    <comment ref="F93" authorId="0" shapeId="0" xr:uid="{B83C26CA-10F2-4541-A92D-990C6EEA0EB3}">
      <text>
        <r>
          <rPr>
            <sz val="11"/>
            <color theme="1"/>
            <rFont val="Calibri"/>
            <family val="2"/>
            <scheme val="minor"/>
          </rPr>
          <t>======
ID#AAAAkkpSM7A
User    (2022-11-28 17:31:22)
Incluye: maracuyá, naranja, plátano, tomate de árbol, tomate riñón</t>
        </r>
      </text>
    </comment>
    <comment ref="F94" authorId="0" shapeId="0" xr:uid="{38E41505-0BAA-41F1-A1C7-22B138C8A0B8}">
      <text>
        <r>
          <rPr>
            <sz val="11"/>
            <color theme="1"/>
            <rFont val="Calibri"/>
            <family val="2"/>
            <scheme val="minor"/>
          </rPr>
          <t>======
ID#AAAAkkEn1OU
User    (2022-11-28 17:31:21)
Incluye: brócoli, cebolla blanca, palmito</t>
        </r>
      </text>
    </comment>
    <comment ref="F101" authorId="0" shapeId="0" xr:uid="{E13AA30C-C472-4EBF-8A7C-7BB1F9C781CF}">
      <text>
        <r>
          <rPr>
            <sz val="11"/>
            <color theme="1"/>
            <rFont val="Calibri"/>
            <family val="2"/>
            <scheme val="minor"/>
          </rPr>
          <t>======
ID#AAAAkkpSM44
User    (2022-11-28 17:31:22)
Incluye caña de azucar para azúcar y para otros usos</t>
        </r>
      </text>
    </comment>
    <comment ref="F102" authorId="0" shapeId="0" xr:uid="{1277A157-26C4-4383-9734-4966B34ADFBF}">
      <text>
        <r>
          <rPr>
            <sz val="11"/>
            <color theme="1"/>
            <rFont val="Calibri"/>
            <family val="2"/>
            <scheme val="minor"/>
          </rPr>
          <t>======
ID#AAAAkkpSM-s
User    (2022-11-28 17:31:22)
Incluye: Maíz duro en choclo y seco, maíz suave en choclo y seco</t>
        </r>
      </text>
    </comment>
    <comment ref="F106" authorId="0" shapeId="0" xr:uid="{85A0E1BA-72E1-47E4-9D0C-A140D8B99390}">
      <text>
        <r>
          <rPr>
            <sz val="11"/>
            <color theme="1"/>
            <rFont val="Calibri"/>
            <family val="2"/>
            <scheme val="minor"/>
          </rPr>
          <t>======
ID#AAAAkkpSM1o
User    (2022-11-28 17:31:22)
Incluye: arveja seca y tierna, fréjol seco y tierno, haba seca y tierna</t>
        </r>
      </text>
    </comment>
    <comment ref="F107" authorId="0" shapeId="0" xr:uid="{963D2305-3767-45E0-B224-37EF5920F520}">
      <text>
        <r>
          <rPr>
            <sz val="11"/>
            <color theme="1"/>
            <rFont val="Calibri"/>
            <family val="2"/>
            <scheme val="minor"/>
          </rPr>
          <t>======
ID#AAAAkkpSM6I
User    (2022-11-28 17:31:22)
Incluye: cebada, trigo</t>
        </r>
      </text>
    </comment>
    <comment ref="F108" authorId="0" shapeId="0" xr:uid="{B5E103A6-8D74-457A-BF73-FCAA08B56643}">
      <text>
        <r>
          <rPr>
            <sz val="11"/>
            <color theme="1"/>
            <rFont val="Calibri"/>
            <family val="2"/>
            <scheme val="minor"/>
          </rPr>
          <t>======
ID#AAAAkkEn1O8
User    (2022-11-28 17:31:21)
Incluye: papa, yuca</t>
        </r>
      </text>
    </comment>
    <comment ref="F109" authorId="0" shapeId="0" xr:uid="{DEBAD411-9EED-4CEB-8329-841BCF51080A}">
      <text>
        <r>
          <rPr>
            <sz val="11"/>
            <color theme="1"/>
            <rFont val="Calibri"/>
            <family val="2"/>
            <scheme val="minor"/>
          </rPr>
          <t>======
ID#AAAAkkpSMmg
User    (2022-11-28 17:31:22)
Incluye: maracuyá, naranja, plátano, tomate de árbol, tomate riñón</t>
        </r>
      </text>
    </comment>
    <comment ref="F110" authorId="0" shapeId="0" xr:uid="{32369E44-E847-4F8A-8A47-95035620FD52}">
      <text>
        <r>
          <rPr>
            <sz val="11"/>
            <color theme="1"/>
            <rFont val="Calibri"/>
            <family val="2"/>
            <scheme val="minor"/>
          </rPr>
          <t>======
ID#AAAAkkEn1Qw
User    (2022-11-28 17:31:21)
Incluye: brócoli, cebolla blanca, palmito</t>
        </r>
      </text>
    </comment>
    <comment ref="F119" authorId="0" shapeId="0" xr:uid="{E5ED277C-E9C7-47B4-BBD5-5EAEF71F062D}">
      <text>
        <r>
          <rPr>
            <sz val="11"/>
            <color theme="1"/>
            <rFont val="Calibri"/>
            <family val="2"/>
            <scheme val="minor"/>
          </rPr>
          <t>======
ID#AAAAkkpSM2U
User    (2022-11-28 17:31:22)
Incluye caña de azucar para azúcar y para otros usos</t>
        </r>
      </text>
    </comment>
    <comment ref="BQ119" authorId="0" shapeId="0" xr:uid="{A2280505-E111-419B-A5A4-D44A64C4527D}">
      <text>
        <r>
          <rPr>
            <sz val="11"/>
            <color theme="1"/>
            <rFont val="Calibri"/>
            <family val="2"/>
            <scheme val="minor"/>
          </rPr>
          <t>======
ID#AAAAkkpSM2U
User    (2022-11-28 17:31:22)
Incluye caña de azucar para azúcar y para otros usos</t>
        </r>
      </text>
    </comment>
    <comment ref="F120" authorId="0" shapeId="0" xr:uid="{33B66069-D461-4514-B680-ECD28B158111}">
      <text>
        <r>
          <rPr>
            <sz val="11"/>
            <color theme="1"/>
            <rFont val="Calibri"/>
            <family val="2"/>
            <scheme val="minor"/>
          </rPr>
          <t>======
ID#AAAAkkpSM2Y
User    (2022-11-28 17:31:22)
Incluye: Maíz duro en choclo y seco, maíz suave en choclo y seco</t>
        </r>
      </text>
    </comment>
    <comment ref="BQ120" authorId="0" shapeId="0" xr:uid="{323A9370-37C5-4A3A-B096-B547CFF143E9}">
      <text>
        <r>
          <rPr>
            <sz val="11"/>
            <color theme="1"/>
            <rFont val="Calibri"/>
            <family val="2"/>
            <scheme val="minor"/>
          </rPr>
          <t>======
ID#AAAAkkpSM2Y
User    (2022-11-28 17:31:22)
Incluye: Maíz duro en choclo y seco, maíz suave en choclo y seco</t>
        </r>
      </text>
    </comment>
    <comment ref="F124" authorId="0" shapeId="0" xr:uid="{BD963736-6711-433F-BA95-38705265B472}">
      <text>
        <r>
          <rPr>
            <sz val="11"/>
            <color theme="1"/>
            <rFont val="Calibri"/>
            <family val="2"/>
            <scheme val="minor"/>
          </rPr>
          <t>======
ID#AAAAkkpSM9s
User    (2022-11-28 17:31:22)
Incluye: arveja seca y tierna, fréjol seco y tierno, haba seca y tierna</t>
        </r>
      </text>
    </comment>
    <comment ref="BQ124" authorId="0" shapeId="0" xr:uid="{DBAC48EF-7408-436E-BD40-120B01044E91}">
      <text>
        <r>
          <rPr>
            <sz val="11"/>
            <color theme="1"/>
            <rFont val="Calibri"/>
            <family val="2"/>
            <scheme val="minor"/>
          </rPr>
          <t>======
ID#AAAAkkpSM9s
User    (2022-11-28 17:31:22)
Incluye: arveja seca y tierna, fréjol seco y tierno, haba seca y tierna</t>
        </r>
      </text>
    </comment>
    <comment ref="F125" authorId="0" shapeId="0" xr:uid="{CF7CD4A0-CF09-4ACD-8415-E4842359179A}">
      <text>
        <r>
          <rPr>
            <sz val="11"/>
            <color theme="1"/>
            <rFont val="Calibri"/>
            <family val="2"/>
            <scheme val="minor"/>
          </rPr>
          <t>======
ID#AAAAkkpSM40
User    (2022-11-28 17:31:22)
Incluye: cebada, trigo</t>
        </r>
      </text>
    </comment>
    <comment ref="BQ125" authorId="0" shapeId="0" xr:uid="{E4B4636C-322C-4A62-8B6F-17C8083DEB8D}">
      <text>
        <r>
          <rPr>
            <sz val="11"/>
            <color theme="1"/>
            <rFont val="Calibri"/>
            <family val="2"/>
            <scheme val="minor"/>
          </rPr>
          <t>======
ID#AAAAkkpSM40
User    (2022-11-28 17:31:22)
Incluye: cebada, trigo</t>
        </r>
      </text>
    </comment>
    <comment ref="F126" authorId="0" shapeId="0" xr:uid="{5571EF03-ABFD-478A-85AA-F8F09D6C7DD8}">
      <text>
        <r>
          <rPr>
            <sz val="11"/>
            <color theme="1"/>
            <rFont val="Calibri"/>
            <family val="2"/>
            <scheme val="minor"/>
          </rPr>
          <t>======
ID#AAAAkkEn1Ro
User    (2022-11-28 17:31:21)
Incluye: papa, yuca</t>
        </r>
      </text>
    </comment>
    <comment ref="BQ126" authorId="0" shapeId="0" xr:uid="{877C71C3-E1A0-4089-9A28-DE82555B8DF3}">
      <text>
        <r>
          <rPr>
            <sz val="11"/>
            <color theme="1"/>
            <rFont val="Calibri"/>
            <family val="2"/>
            <scheme val="minor"/>
          </rPr>
          <t>======
ID#AAAAkkEn1Ro
User    (2022-11-28 17:31:21)
Incluye: papa, yuca</t>
        </r>
      </text>
    </comment>
    <comment ref="F127" authorId="0" shapeId="0" xr:uid="{9893261C-8065-4523-A7D0-5CB2F010F9BE}">
      <text>
        <r>
          <rPr>
            <sz val="11"/>
            <color theme="1"/>
            <rFont val="Calibri"/>
            <family val="2"/>
            <scheme val="minor"/>
          </rPr>
          <t>======
ID#AAAAkkpSM0A
User    (2022-11-28 17:31:22)
Incluye: maracuyá, naranja, plátano, tomate de árbol, tomate riñón</t>
        </r>
      </text>
    </comment>
    <comment ref="BQ127" authorId="0" shapeId="0" xr:uid="{C67E46D6-F073-4E4E-B937-9FCCB4F43C5A}">
      <text>
        <r>
          <rPr>
            <sz val="11"/>
            <color theme="1"/>
            <rFont val="Calibri"/>
            <family val="2"/>
            <scheme val="minor"/>
          </rPr>
          <t>======
ID#AAAAkkpSM0A
User    (2022-11-28 17:31:22)
Incluye: maracuyá, naranja, plátano, tomate de árbol, tomate riñón</t>
        </r>
      </text>
    </comment>
    <comment ref="F128" authorId="0" shapeId="0" xr:uid="{B189C41F-811F-4F6B-9E7C-BEC7DCCD4C9B}">
      <text>
        <r>
          <rPr>
            <sz val="11"/>
            <color theme="1"/>
            <rFont val="Calibri"/>
            <family val="2"/>
            <scheme val="minor"/>
          </rPr>
          <t>======
ID#AAAAkkpSM8A
User    (2022-11-28 17:31:22)
Incluye: brócoli, cebolla blanca, palmito</t>
        </r>
      </text>
    </comment>
    <comment ref="BQ128" authorId="0" shapeId="0" xr:uid="{662F46F6-6366-4DAD-9840-52533DD3CC65}">
      <text>
        <r>
          <rPr>
            <sz val="11"/>
            <color theme="1"/>
            <rFont val="Calibri"/>
            <family val="2"/>
            <scheme val="minor"/>
          </rPr>
          <t>======
ID#AAAAkkpSM8A
User    (2022-11-28 17:31:22)
Incluye: brócoli, cebolla blanca, palmito</t>
        </r>
      </text>
    </comment>
    <comment ref="F143" authorId="0" shapeId="0" xr:uid="{4FBF5DA9-272D-4086-A897-4B1BA0975DF3}">
      <text>
        <r>
          <rPr>
            <sz val="11"/>
            <color theme="1"/>
            <rFont val="Calibri"/>
            <family val="2"/>
            <scheme val="minor"/>
          </rPr>
          <t>======
ID#AAAAkkpSM5I
User    (2022-11-28 17:31:22)
Incluye caña de azucar para azúcar y para otros usos</t>
        </r>
      </text>
    </comment>
    <comment ref="F144" authorId="0" shapeId="0" xr:uid="{618EF83D-3080-4265-A8A4-46AC8F90F78C}">
      <text>
        <r>
          <rPr>
            <sz val="11"/>
            <color theme="1"/>
            <rFont val="Calibri"/>
            <family val="2"/>
            <scheme val="minor"/>
          </rPr>
          <t>======
ID#AAAAkkpSMzQ
User    (2022-11-28 17:31:22)
Incluye: Maíz duro en choclo y seco, maíz suave en choclo y seco</t>
        </r>
      </text>
    </comment>
    <comment ref="F148" authorId="0" shapeId="0" xr:uid="{A07BFEEB-3EF6-4DAC-803E-AAE66DEE9DAE}">
      <text>
        <r>
          <rPr>
            <sz val="11"/>
            <color theme="1"/>
            <rFont val="Calibri"/>
            <family val="2"/>
            <scheme val="minor"/>
          </rPr>
          <t>======
ID#AAAAkkpSNAA
User    (2022-11-28 17:31:22)
Incluye: arveja seca y tierna, fréjol seco y tierno, haba seca y tierna, maní</t>
        </r>
      </text>
    </comment>
    <comment ref="F149" authorId="0" shapeId="0" xr:uid="{60B3B357-9501-4284-91C9-DF9371325787}">
      <text>
        <r>
          <rPr>
            <sz val="11"/>
            <color theme="1"/>
            <rFont val="Calibri"/>
            <family val="2"/>
            <scheme val="minor"/>
          </rPr>
          <t>======
ID#AAAAkkpSM00
User    (2022-11-28 17:31:22)
Incluye: cebada, trigo</t>
        </r>
      </text>
    </comment>
    <comment ref="F150" authorId="0" shapeId="0" xr:uid="{BEDB893C-9F5E-4B76-B312-6FBBAD62A110}">
      <text>
        <r>
          <rPr>
            <sz val="11"/>
            <color theme="1"/>
            <rFont val="Calibri"/>
            <family val="2"/>
            <scheme val="minor"/>
          </rPr>
          <t>======
ID#AAAAkkpSMzc
User    (2022-11-28 17:31:22)
Incluye: papa, yuca</t>
        </r>
      </text>
    </comment>
    <comment ref="F151" authorId="0" shapeId="0" xr:uid="{403CCF1B-D0D8-4FAC-B59D-44A4E798F3EB}">
      <text>
        <r>
          <rPr>
            <sz val="11"/>
            <color theme="1"/>
            <rFont val="Calibri"/>
            <family val="2"/>
            <scheme val="minor"/>
          </rPr>
          <t>======
ID#AAAAkkpSMyI
User    (2022-11-28 17:31:22)
Incluye: maracuyá, naranja, plátano, tomate de árbol, tomate riñón</t>
        </r>
      </text>
    </comment>
    <comment ref="F152" authorId="0" shapeId="0" xr:uid="{04A43769-0068-4B6E-95C3-B84BB582ED85}">
      <text>
        <r>
          <rPr>
            <sz val="11"/>
            <color theme="1"/>
            <rFont val="Calibri"/>
            <family val="2"/>
            <scheme val="minor"/>
          </rPr>
          <t>======
ID#AAAAkkpSM-I
User    (2022-11-28 17:31:22)
Incluye: brócoli, cebolla blanca, palmito</t>
        </r>
      </text>
    </comment>
    <comment ref="F158" authorId="0" shapeId="0" xr:uid="{28DBA534-275B-40E9-AC5E-DF5163F3E3D5}">
      <text>
        <r>
          <rPr>
            <sz val="11"/>
            <color theme="1"/>
            <rFont val="Calibri"/>
            <family val="2"/>
            <scheme val="minor"/>
          </rPr>
          <t>======
ID#AAAAkkpSNAM
User    (2022-11-28 17:31:22)
Incluye caña de azucar para azúcar y para otros usos</t>
        </r>
      </text>
    </comment>
    <comment ref="F159" authorId="0" shapeId="0" xr:uid="{8A6FAF57-0B0D-4FC6-AADE-5E4E0A3B397D}">
      <text>
        <r>
          <rPr>
            <sz val="11"/>
            <color theme="1"/>
            <rFont val="Calibri"/>
            <family val="2"/>
            <scheme val="minor"/>
          </rPr>
          <t>======
ID#AAAAkkpSM5M
User    (2022-11-28 17:31:22)
Incluye: Maíz duro en choclo y seco, maíz suave en choclo y seco</t>
        </r>
      </text>
    </comment>
    <comment ref="F163" authorId="0" shapeId="0" xr:uid="{1A9BBC9F-B01F-4D42-BD79-3A261FA711ED}">
      <text>
        <r>
          <rPr>
            <sz val="11"/>
            <color theme="1"/>
            <rFont val="Calibri"/>
            <family val="2"/>
            <scheme val="minor"/>
          </rPr>
          <t>======
ID#AAAAkkpSM6c
User    (2022-11-28 17:31:22)
Incluye: arveja seca y tierna, fréjol seco y tierno, haba seca y tierna</t>
        </r>
      </text>
    </comment>
    <comment ref="F164" authorId="0" shapeId="0" xr:uid="{D330228F-9D1B-4983-9BBD-EEA0C5658566}">
      <text>
        <r>
          <rPr>
            <sz val="11"/>
            <color theme="1"/>
            <rFont val="Calibri"/>
            <family val="2"/>
            <scheme val="minor"/>
          </rPr>
          <t>======
ID#AAAAkkpSMzs
User    (2022-11-28 17:31:22)
Incluye: cebada, trigo</t>
        </r>
      </text>
    </comment>
    <comment ref="F165" authorId="0" shapeId="0" xr:uid="{7C2AC81E-9C76-4E55-B3FA-5C5237A44B48}">
      <text>
        <r>
          <rPr>
            <sz val="11"/>
            <color theme="1"/>
            <rFont val="Calibri"/>
            <family val="2"/>
            <scheme val="minor"/>
          </rPr>
          <t>======
ID#AAAAkkEn1QU
User    (2022-11-28 17:31:21)
Incluye: papa, yuca</t>
        </r>
      </text>
    </comment>
    <comment ref="F166" authorId="0" shapeId="0" xr:uid="{5205A491-131F-4309-B19C-47E878F9995A}">
      <text>
        <r>
          <rPr>
            <sz val="11"/>
            <color theme="1"/>
            <rFont val="Calibri"/>
            <family val="2"/>
            <scheme val="minor"/>
          </rPr>
          <t>======
ID#AAAAkkpSM78
User    (2022-11-28 17:31:22)
Incluye: maracuyá, naranja, plátano, tomate de árbol, tomate riñón</t>
        </r>
      </text>
    </comment>
    <comment ref="F167" authorId="0" shapeId="0" xr:uid="{8DBAADE2-B577-4A86-8F13-B0F1D3DACE5B}">
      <text>
        <r>
          <rPr>
            <sz val="11"/>
            <color theme="1"/>
            <rFont val="Calibri"/>
            <family val="2"/>
            <scheme val="minor"/>
          </rPr>
          <t>======
ID#AAAAkkpSMo4
User    (2022-11-28 17:31:22)
Incluye: brócoli, cebolla blanca, palmito</t>
        </r>
      </text>
    </comment>
    <comment ref="F177" authorId="0" shapeId="0" xr:uid="{142B1672-FD56-4420-B5B3-1913C6BC0A4D}">
      <text>
        <r>
          <rPr>
            <sz val="11"/>
            <color theme="1"/>
            <rFont val="Calibri"/>
            <family val="2"/>
            <scheme val="minor"/>
          </rPr>
          <t>======
ID#AAAAkkpSNAE
User    (2022-11-28 17:31:22)
Incluye caña de azucar para azúcar y para otros usos</t>
        </r>
      </text>
    </comment>
    <comment ref="F178" authorId="0" shapeId="0" xr:uid="{05E0536E-C799-4518-8294-1D4F6DA2BE39}">
      <text>
        <r>
          <rPr>
            <sz val="11"/>
            <color theme="1"/>
            <rFont val="Calibri"/>
            <family val="2"/>
            <scheme val="minor"/>
          </rPr>
          <t>======
ID#AAAAkkpSM1g
User    (2022-11-28 17:31:22)
Incluye: Maíz duro en choclo y seco, maíz suave en choclo y seco</t>
        </r>
      </text>
    </comment>
    <comment ref="F183" authorId="0" shapeId="0" xr:uid="{82B5190C-5CEB-422E-A0D9-AD9C447675FF}">
      <text>
        <r>
          <rPr>
            <sz val="11"/>
            <color theme="1"/>
            <rFont val="Calibri"/>
            <family val="2"/>
            <scheme val="minor"/>
          </rPr>
          <t>======
ID#AAAAkkpSM3E
User    (2022-11-28 17:31:22)
Incluye: arveja seca y tierna, fréjol seco y tierno, haba seca y tierna, maní</t>
        </r>
      </text>
    </comment>
    <comment ref="F184" authorId="0" shapeId="0" xr:uid="{258210E4-9B23-47C1-AC59-919B1EFFA9FA}">
      <text>
        <r>
          <rPr>
            <sz val="11"/>
            <color theme="1"/>
            <rFont val="Calibri"/>
            <family val="2"/>
            <scheme val="minor"/>
          </rPr>
          <t>======
ID#AAAAkkEn1P8
User    (2022-11-28 17:31:21)
Incluye: cebada, trigo</t>
        </r>
      </text>
    </comment>
    <comment ref="F185" authorId="0" shapeId="0" xr:uid="{69404F7E-9C1C-4D37-BEA9-816FF793E954}">
      <text>
        <r>
          <rPr>
            <sz val="11"/>
            <color theme="1"/>
            <rFont val="Calibri"/>
            <family val="2"/>
            <scheme val="minor"/>
          </rPr>
          <t>======
ID#AAAAkkpSMo0
User    (2022-11-28 17:31:22)
Incluye: papa, yuca</t>
        </r>
      </text>
    </comment>
    <comment ref="F186" authorId="0" shapeId="0" xr:uid="{359C3603-52BF-4DA1-96CA-D9EA5EE0E269}">
      <text>
        <r>
          <rPr>
            <sz val="11"/>
            <color theme="1"/>
            <rFont val="Calibri"/>
            <family val="2"/>
            <scheme val="minor"/>
          </rPr>
          <t>======
ID#AAAAkkpSM7o
User    (2022-11-28 17:31:22)
Incluye: maracuyá, naranja, plátano, tomate de árbol, tomate riñón</t>
        </r>
      </text>
    </comment>
    <comment ref="F187" authorId="0" shapeId="0" xr:uid="{061A4DB5-568A-4830-9850-312E65E47B4F}">
      <text>
        <r>
          <rPr>
            <sz val="11"/>
            <color theme="1"/>
            <rFont val="Calibri"/>
            <family val="2"/>
            <scheme val="minor"/>
          </rPr>
          <t>======
ID#AAAAkkpSNAw
User    (2022-11-28 17:31:22)
Incluye: brócoli, cebolla blanca, palmito</t>
        </r>
      </text>
    </comment>
    <comment ref="F193" authorId="0" shapeId="0" xr:uid="{4D322F52-2F9A-4DEC-A238-7CE5FD430FF0}">
      <text>
        <r>
          <rPr>
            <sz val="11"/>
            <color theme="1"/>
            <rFont val="Calibri"/>
            <family val="2"/>
            <scheme val="minor"/>
          </rPr>
          <t>======
ID#AAAAkkpSM-Y
User    (2022-11-28 17:31:22)
Incluye caña de azucar para azúcar y para otros usos</t>
        </r>
      </text>
    </comment>
    <comment ref="F194" authorId="0" shapeId="0" xr:uid="{7D9004F9-BD6F-4D08-A07E-2D7444BEC3E8}">
      <text>
        <r>
          <rPr>
            <sz val="11"/>
            <color theme="1"/>
            <rFont val="Calibri"/>
            <family val="2"/>
            <scheme val="minor"/>
          </rPr>
          <t>======
ID#AAAAkkpSM34
User    (2022-11-28 17:31:22)
Incluye: Maíz duro en choclo y seco, maíz suave en choclo y seco</t>
        </r>
      </text>
    </comment>
    <comment ref="F198" authorId="0" shapeId="0" xr:uid="{FE73F9A9-9579-4B9D-B0C0-63F20A86306A}">
      <text>
        <r>
          <rPr>
            <sz val="11"/>
            <color theme="1"/>
            <rFont val="Calibri"/>
            <family val="2"/>
            <scheme val="minor"/>
          </rPr>
          <t>======
ID#AAAAkkEn1PQ
User    (2022-11-28 17:31:21)
Incluye: arveja seca y tierna, fréjol seco y tierno, haba seca y tierna</t>
        </r>
      </text>
    </comment>
    <comment ref="F199" authorId="0" shapeId="0" xr:uid="{18B7C594-79DA-4BBC-8F40-FC8A68832AB1}">
      <text>
        <r>
          <rPr>
            <sz val="11"/>
            <color theme="1"/>
            <rFont val="Calibri"/>
            <family val="2"/>
            <scheme val="minor"/>
          </rPr>
          <t>======
ID#AAAAkkpSM4Q
User    (2022-11-28 17:31:22)
Incluye: cebada, trigo</t>
        </r>
      </text>
    </comment>
    <comment ref="F200" authorId="0" shapeId="0" xr:uid="{2C95C4D6-4E80-4045-A77A-3E6D2514798E}">
      <text>
        <r>
          <rPr>
            <sz val="11"/>
            <color theme="1"/>
            <rFont val="Calibri"/>
            <family val="2"/>
            <scheme val="minor"/>
          </rPr>
          <t>======
ID#AAAAkkpSM6w
User    (2022-11-28 17:31:22)
Incluye: papa, yuca</t>
        </r>
      </text>
    </comment>
    <comment ref="F201" authorId="0" shapeId="0" xr:uid="{06B68E54-4B33-44D8-86E3-CF33C8ABCA14}">
      <text>
        <r>
          <rPr>
            <sz val="11"/>
            <color theme="1"/>
            <rFont val="Calibri"/>
            <family val="2"/>
            <scheme val="minor"/>
          </rPr>
          <t>======
ID#AAAAkkpSNAQ
User    (2022-11-28 17:31:22)
Incluye: maracuyá, naranja, plátano, tomate de árbol, tomate riñón</t>
        </r>
      </text>
    </comment>
    <comment ref="F202" authorId="0" shapeId="0" xr:uid="{F777DB13-F9D7-4E22-9BDF-2BF8E191CB13}">
      <text>
        <r>
          <rPr>
            <sz val="11"/>
            <color theme="1"/>
            <rFont val="Calibri"/>
            <family val="2"/>
            <scheme val="minor"/>
          </rPr>
          <t>======
ID#AAAAkkpSM1U
User    (2022-11-28 17:31:22)
Incluye: brócoli, cebolla blanca, palmito</t>
        </r>
      </text>
    </comment>
    <comment ref="F211" authorId="0" shapeId="0" xr:uid="{671E6D83-B34F-48F7-9B9B-E092378D30DB}">
      <text>
        <r>
          <rPr>
            <sz val="11"/>
            <color theme="1"/>
            <rFont val="Calibri"/>
            <family val="2"/>
            <scheme val="minor"/>
          </rPr>
          <t>======
ID#AAAAkkpSM-g
User    (2022-11-28 17:31:22)
Incluye caña de azucar para azúcar y para otros usos</t>
        </r>
      </text>
    </comment>
    <comment ref="F212" authorId="0" shapeId="0" xr:uid="{42C9CD7D-32A7-4594-A65D-28BF7D52147B}">
      <text>
        <r>
          <rPr>
            <sz val="11"/>
            <color theme="1"/>
            <rFont val="Calibri"/>
            <family val="2"/>
            <scheme val="minor"/>
          </rPr>
          <t>======
ID#AAAAkkEn1Pg
User    (2022-11-28 17:31:21)
Incluye: Maíz duro en choclo y seco, maíz suave en choclo y seco</t>
        </r>
      </text>
    </comment>
    <comment ref="F216" authorId="0" shapeId="0" xr:uid="{BCD6AFCF-9229-4948-B922-2FBB047FA4A5}">
      <text>
        <r>
          <rPr>
            <sz val="11"/>
            <color theme="1"/>
            <rFont val="Calibri"/>
            <family val="2"/>
            <scheme val="minor"/>
          </rPr>
          <t>======
ID#AAAAkkpSM1k
User    (2022-11-28 17:31:22)
Incluye: arveja seca y tierna, fréjol seco y tierno, haba seca y tierna</t>
        </r>
      </text>
    </comment>
    <comment ref="F217" authorId="0" shapeId="0" xr:uid="{704E7675-707F-4A3D-8C44-C31BBF09EEE4}">
      <text>
        <r>
          <rPr>
            <sz val="11"/>
            <color theme="1"/>
            <rFont val="Calibri"/>
            <family val="2"/>
            <scheme val="minor"/>
          </rPr>
          <t>======
ID#AAAAkkpSM24
User    (2022-11-28 17:31:22)
Incluye: cebada, trigo</t>
        </r>
      </text>
    </comment>
    <comment ref="F218" authorId="0" shapeId="0" xr:uid="{1254443C-70BB-4F14-8A52-115787546F9B}">
      <text>
        <r>
          <rPr>
            <sz val="11"/>
            <color theme="1"/>
            <rFont val="Calibri"/>
            <family val="2"/>
            <scheme val="minor"/>
          </rPr>
          <t>======
ID#AAAAkkpSMn4
User    (2022-11-28 17:31:22)
Incluye: papa, yuca</t>
        </r>
      </text>
    </comment>
    <comment ref="F219" authorId="0" shapeId="0" xr:uid="{6DC48044-5A50-425F-AC3C-A1D7CC75CBCA}">
      <text>
        <r>
          <rPr>
            <sz val="11"/>
            <color theme="1"/>
            <rFont val="Calibri"/>
            <family val="2"/>
            <scheme val="minor"/>
          </rPr>
          <t>======
ID#AAAAkkpSM0s
User    (2022-11-28 17:31:22)
Incluye: maracuyá, naranja, plátano, tomate de árbol, tomate riñón</t>
        </r>
      </text>
    </comment>
    <comment ref="F220" authorId="0" shapeId="0" xr:uid="{E2D05876-99B5-4B9D-AB34-D057E950A99B}">
      <text>
        <r>
          <rPr>
            <sz val="11"/>
            <color theme="1"/>
            <rFont val="Calibri"/>
            <family val="2"/>
            <scheme val="minor"/>
          </rPr>
          <t>======
ID#AAAAkkpSMow
User    (2022-11-28 17:31:22)
Incluye: brócoli, cebolla blanca, palmito</t>
        </r>
      </text>
    </comment>
    <comment ref="F286" authorId="0" shapeId="0" xr:uid="{9C5E207D-96B3-40A6-BCF4-C7D133C7C6F0}">
      <text>
        <r>
          <rPr>
            <sz val="11"/>
            <color theme="1"/>
            <rFont val="Calibri"/>
            <family val="2"/>
            <scheme val="minor"/>
          </rPr>
          <t>======
ID#AAAAkkEn1RE
tc={13A785E9-29BF-4097-8D34-4A6C591DB30A}    (2022-11-28 17:31:21)
[Threaded comment]
Your version of Excel allows you to read this threaded comment; however, any edits to it will get removed if the file is opened in a newer version of Excel. Learn more: https://go.microsoft.com/fwlink/?linkid=870924
Comment:
    Si carne y leche está separado, dejar 'doble propósito' en blanco</t>
        </r>
      </text>
    </comment>
    <comment ref="F349" authorId="0" shapeId="0" xr:uid="{60C13470-A5FD-4C0D-B743-0815D3FE9F71}">
      <text>
        <r>
          <rPr>
            <sz val="11"/>
            <color theme="1"/>
            <rFont val="Calibri"/>
            <family val="2"/>
            <scheme val="minor"/>
          </rPr>
          <t>======
ID#AAAAkkpSM8w
User    (2022-11-28 17:31:22)
Incluye caña de azucar para azúcar y para otros usos</t>
        </r>
      </text>
    </comment>
    <comment ref="F350" authorId="0" shapeId="0" xr:uid="{64C41BF4-D886-48C5-84A0-DAE44BCCA68F}">
      <text>
        <r>
          <rPr>
            <sz val="11"/>
            <color theme="1"/>
            <rFont val="Calibri"/>
            <family val="2"/>
            <scheme val="minor"/>
          </rPr>
          <t>======
ID#AAAAkkpSMm0
User    (2022-11-28 17:31:22)
Incluye: Maíz duro en choclo y seco, maíz suave en choclo y seco</t>
        </r>
      </text>
    </comment>
    <comment ref="F387" authorId="0" shapeId="0" xr:uid="{DBD7F763-1E4B-4DE8-BE4E-8E21D1203833}">
      <text>
        <r>
          <rPr>
            <sz val="11"/>
            <color theme="1"/>
            <rFont val="Calibri"/>
            <family val="2"/>
            <scheme val="minor"/>
          </rPr>
          <t>======
ID#AAAAkkpSMys
User    (2022-11-28 17:31:22)
Incluye banano de exportación en monocultivo</t>
        </r>
      </text>
    </comment>
    <comment ref="F390" authorId="0" shapeId="0" xr:uid="{078D0D04-2B0D-46EE-BC16-E5BD9D7BEE6B}">
      <text>
        <r>
          <rPr>
            <sz val="11"/>
            <color theme="1"/>
            <rFont val="Calibri"/>
            <family val="2"/>
            <scheme val="minor"/>
          </rPr>
          <t>======
ID#AAAAkkpSNA0
User    (2022-11-28 17:31:22)
Incluye caña de azucar para azúcar y para otros usos</t>
        </r>
      </text>
    </comment>
    <comment ref="F391" authorId="0" shapeId="0" xr:uid="{78D8D25A-3411-4B0E-BFF2-A7AF41F56997}">
      <text>
        <r>
          <rPr>
            <sz val="11"/>
            <color theme="1"/>
            <rFont val="Calibri"/>
            <family val="2"/>
            <scheme val="minor"/>
          </rPr>
          <t>======
ID#AAAAkkpSM2g
User    (2022-11-28 17:31:22)
Incluye: Maíz duro en choclo y seco, maíz suave en choclo y seco</t>
        </r>
      </text>
    </comment>
    <comment ref="F395" authorId="0" shapeId="0" xr:uid="{1A328B16-6215-4BF7-B8B3-A892060CD775}">
      <text>
        <r>
          <rPr>
            <sz val="11"/>
            <color theme="1"/>
            <rFont val="Calibri"/>
            <family val="2"/>
            <scheme val="minor"/>
          </rPr>
          <t>======
ID#AAAAkkpSM-4
User    (2022-11-28 17:31:22)
Incluye: arveja seca y tierna, fréjol seco y tierno, haba seca y tierna, maní</t>
        </r>
      </text>
    </comment>
    <comment ref="F396" authorId="0" shapeId="0" xr:uid="{B312DCF1-114E-4A42-BD04-4ABAD28B8F10}">
      <text>
        <r>
          <rPr>
            <sz val="11"/>
            <color theme="1"/>
            <rFont val="Calibri"/>
            <family val="2"/>
            <scheme val="minor"/>
          </rPr>
          <t>======
ID#AAAAkkEn1QA
User    (2022-11-28 17:31:21)
Incluye: cebada, trigo</t>
        </r>
      </text>
    </comment>
    <comment ref="F397" authorId="0" shapeId="0" xr:uid="{429395EB-1222-4E44-A18D-4F2E1A0E4400}">
      <text>
        <r>
          <rPr>
            <sz val="11"/>
            <color theme="1"/>
            <rFont val="Calibri"/>
            <family val="2"/>
            <scheme val="minor"/>
          </rPr>
          <t>======
ID#AAAAkkpSM4U
User    (2022-11-28 17:31:22)
Incluye: papa, yuca</t>
        </r>
      </text>
    </comment>
    <comment ref="F398" authorId="0" shapeId="0" xr:uid="{12F8E2FD-6D20-4954-9D67-2E4DF6E8BD95}">
      <text>
        <r>
          <rPr>
            <sz val="11"/>
            <color theme="1"/>
            <rFont val="Calibri"/>
            <family val="2"/>
            <scheme val="minor"/>
          </rPr>
          <t>======
ID#AAAAkkpSMoo
User    (2022-11-28 17:31:22)
Incluye: aguacate,maracuyá, naranja, plátano, tomate de árbol, tomate riñón, limón, mango, orito, piña</t>
        </r>
      </text>
    </comment>
    <comment ref="F399" authorId="0" shapeId="0" xr:uid="{98570250-710C-41C7-B2AD-BBDAEBC2A516}">
      <text>
        <r>
          <rPr>
            <sz val="11"/>
            <color theme="1"/>
            <rFont val="Calibri"/>
            <family val="2"/>
            <scheme val="minor"/>
          </rPr>
          <t>======
ID#AAAAkkpSM6g
User    (2022-11-28 17:31:22)
Incluye: brócoli, cebolla blanca, palmito</t>
        </r>
      </text>
    </comment>
    <comment ref="F406" authorId="0" shapeId="0" xr:uid="{46A14F78-062C-4CF9-A7A0-4A3926F91853}">
      <text>
        <r>
          <rPr>
            <sz val="11"/>
            <color theme="1"/>
            <rFont val="Calibri"/>
            <family val="2"/>
            <scheme val="minor"/>
          </rPr>
          <t>======
ID#AAAAkkpSNAk
User    (2022-11-28 17:31:22)
Incluye banano de exportación en monocultivo</t>
        </r>
      </text>
    </comment>
    <comment ref="F409" authorId="0" shapeId="0" xr:uid="{DE569380-D857-4516-B066-B8B4CEE5C79F}">
      <text>
        <r>
          <rPr>
            <sz val="11"/>
            <color theme="1"/>
            <rFont val="Calibri"/>
            <family val="2"/>
            <scheme val="minor"/>
          </rPr>
          <t>======
ID#AAAAkkEn1Rs
User    (2022-11-28 17:31:21)
Incluye caña de azucar para azúcar y para otros usos</t>
        </r>
      </text>
    </comment>
    <comment ref="F410" authorId="0" shapeId="0" xr:uid="{8928A472-7B9C-4ADB-BAF6-8B346D4B8C2B}">
      <text>
        <r>
          <rPr>
            <sz val="11"/>
            <color theme="1"/>
            <rFont val="Calibri"/>
            <family val="2"/>
            <scheme val="minor"/>
          </rPr>
          <t>======
ID#AAAAkkpSM_M
User    (2022-11-28 17:31:22)
Incluye: Maíz duro en choclo y seco, maíz suave en choclo y seco</t>
        </r>
      </text>
    </comment>
    <comment ref="F414" authorId="0" shapeId="0" xr:uid="{2A68D0E5-68C1-478E-AA8E-3C373577A6E9}">
      <text>
        <r>
          <rPr>
            <sz val="11"/>
            <color theme="1"/>
            <rFont val="Calibri"/>
            <family val="2"/>
            <scheme val="minor"/>
          </rPr>
          <t>======
ID#AAAAkkpSM_A
User    (2022-11-28 17:31:22)
Incluye: arveja seca y tierna, fréjol seco y tierno, haba seca y tierna, maní</t>
        </r>
      </text>
    </comment>
    <comment ref="F415" authorId="0" shapeId="0" xr:uid="{E7F25E04-8989-41B9-B521-0DD2DD17B76D}">
      <text>
        <r>
          <rPr>
            <sz val="11"/>
            <color theme="1"/>
            <rFont val="Calibri"/>
            <family val="2"/>
            <scheme val="minor"/>
          </rPr>
          <t>======
ID#AAAAkkpSM4M
User    (2022-11-28 17:31:22)
Incluye: cebada, trigo</t>
        </r>
      </text>
    </comment>
    <comment ref="F416" authorId="0" shapeId="0" xr:uid="{17905EE9-DB47-48C9-B062-3D909966FB28}">
      <text>
        <r>
          <rPr>
            <sz val="11"/>
            <color theme="1"/>
            <rFont val="Calibri"/>
            <family val="2"/>
            <scheme val="minor"/>
          </rPr>
          <t>======
ID#AAAAkkpSM4k
User    (2022-11-28 17:31:22)
Incluye: papa, yuca</t>
        </r>
      </text>
    </comment>
    <comment ref="F417" authorId="0" shapeId="0" xr:uid="{513E6BB1-4F78-466D-B7AA-1FE5C3943680}">
      <text>
        <r>
          <rPr>
            <sz val="11"/>
            <color theme="1"/>
            <rFont val="Calibri"/>
            <family val="2"/>
            <scheme val="minor"/>
          </rPr>
          <t>======
ID#AAAAkkpSMpE
User    (2022-11-28 17:31:22)
Incluye: aguacate,maracuyá, naranja, plátano, tomate de árbol, tomate riñón, limón, mango, orito, piña</t>
        </r>
      </text>
    </comment>
    <comment ref="F418" authorId="0" shapeId="0" xr:uid="{0F8CDA3D-94B8-4193-9F36-46B0C68E7037}">
      <text>
        <r>
          <rPr>
            <sz val="11"/>
            <color theme="1"/>
            <rFont val="Calibri"/>
            <family val="2"/>
            <scheme val="minor"/>
          </rPr>
          <t>======
ID#AAAAkkpSM1E
User    (2022-11-28 17:31:22)
Incluye: brócoli, cebolla blanca, palmito</t>
        </r>
      </text>
    </comment>
  </commentList>
</comments>
</file>

<file path=xl/sharedStrings.xml><?xml version="1.0" encoding="utf-8"?>
<sst xmlns="http://schemas.openxmlformats.org/spreadsheetml/2006/main" count="1567" uniqueCount="699">
  <si>
    <t>Notas importantes</t>
  </si>
  <si>
    <t>Llenar por favor TODAS las hojas y los espacios en blanco de este libro de Excel.</t>
  </si>
  <si>
    <t>Acompañe los datos de las casillas con comentarios para facilitar la comprensión de los datos, su origen, los cálculos, los supuestos, entre otros.</t>
  </si>
  <si>
    <t>Si requiere agregar más hojas, más filas o columnas, más tecnologías u otro para completar todos los datos necesarios de los 3 escenarios complementarios al BAU, hágalo por favor.</t>
  </si>
  <si>
    <t>Agregue comentarios explicativos bajo las tablas de los datos para la mejor comprensión de los escenarios.</t>
  </si>
  <si>
    <t>Si tiene dudas, contacte a los equipos o personas correspondientes para aclararlas.</t>
  </si>
  <si>
    <t>Si las variables dentro de las hojas no varían en comparación con el escenario BAU, replicar los datos donde corresponda e indicar que esto pasa.</t>
  </si>
  <si>
    <t>Siempre que sea posible, acompañe los datos con la referencia de procedencia (enlaces de la web, nombre del informe u otro).</t>
  </si>
  <si>
    <t>No se detallan necesariamente todas las tecnologías. Se incorporaron algunas de ellas y es cuestión de agregar más líneas para caracterizar cada tecnología,
sobretodo con las tecnologías de mitigación.</t>
  </si>
  <si>
    <t>En algunos casos, se incluyeros unidades predeterminadas para los datos. Si los datos están en otras unidades o es mejor verlos en otras unidades, modifíquelo por favor.</t>
  </si>
  <si>
    <t>Si solo se tienen valores en años puntuales o años meta y no en todo el intervalo, colóquelos en el año correspondiente de igual manera. Se usará algún método de interpolación
o extrapolación para completar todo el intervalo.</t>
  </si>
  <si>
    <t>Nombre:</t>
  </si>
  <si>
    <t>Tasas usadas para escenario Políticas Anunciadas</t>
  </si>
  <si>
    <t>DATOS del BAU</t>
  </si>
  <si>
    <t>Sector</t>
  </si>
  <si>
    <t>Objectivo de política</t>
  </si>
  <si>
    <t>Unidad</t>
  </si>
  <si>
    <t>Tipo de cobertura</t>
  </si>
  <si>
    <t>Uso del suelo</t>
  </si>
  <si>
    <t>Proyección de bosque con deforestacion bruta</t>
  </si>
  <si>
    <t>Mha</t>
  </si>
  <si>
    <t>Hectareas que se conservan segun metas PSB II [Mha/ano]</t>
  </si>
  <si>
    <t>Proyección de cobertura: bosque nativo</t>
  </si>
  <si>
    <t xml:space="preserve">Regeneracion natural anual </t>
  </si>
  <si>
    <r>
      <t xml:space="preserve">Superficie que se incorpora a programa Socio Bosque </t>
    </r>
    <r>
      <rPr>
        <b/>
        <sz val="11"/>
        <color rgb="FF000000"/>
        <rFont val="Arial"/>
        <family val="2"/>
      </rPr>
      <t>anual</t>
    </r>
  </si>
  <si>
    <r>
      <t xml:space="preserve">Superficie conservada bajo </t>
    </r>
    <r>
      <rPr>
        <b/>
        <sz val="11"/>
        <color rgb="FF000000"/>
        <rFont val="Arial"/>
        <family val="2"/>
      </rPr>
      <t>Socio Bosque</t>
    </r>
    <r>
      <rPr>
        <sz val="11"/>
        <color rgb="FF000000"/>
        <rFont val="Arial"/>
        <family val="2"/>
      </rPr>
      <t xml:space="preserve"> acumulada </t>
    </r>
  </si>
  <si>
    <r>
      <t xml:space="preserve">Superficie areas bajo proteccion legal </t>
    </r>
    <r>
      <rPr>
        <b/>
        <sz val="11"/>
        <color rgb="FF000000"/>
        <rFont val="Arial"/>
        <family val="2"/>
      </rPr>
      <t>(SNAP)</t>
    </r>
  </si>
  <si>
    <t>Total bosques protegidos legalmente (SNAP + Socio Bosque)</t>
  </si>
  <si>
    <t xml:space="preserve">Total de bosques no protegidos </t>
  </si>
  <si>
    <t>Areas de bosque restauradas anualmente (PNR)</t>
  </si>
  <si>
    <t>Tasa de reforestación [Mha/año]</t>
  </si>
  <si>
    <t>Tasa de deforestación neta propuesta para PA</t>
  </si>
  <si>
    <t xml:space="preserve">Deforestacion bruta anual </t>
  </si>
  <si>
    <t>Proyección de cobertura: bosque nativo total (neto)</t>
  </si>
  <si>
    <t>Tasa de plantaciones forestales sostenibles [Mha/año]</t>
  </si>
  <si>
    <t>Proyección de cobertura: plantación forestal</t>
  </si>
  <si>
    <t>Tasa de plantaciones forestales comerciales [Mha/año]</t>
  </si>
  <si>
    <t>Proyección de cobertura: cultivos</t>
  </si>
  <si>
    <t>5% menos que el BAU</t>
  </si>
  <si>
    <t>Proyección cultivo</t>
  </si>
  <si>
    <t>Proyección de cobertura: pastura</t>
  </si>
  <si>
    <t>Proyección de cobertura: pastizales (grasslands)</t>
  </si>
  <si>
    <t>Pastizal protegido Mha/año</t>
  </si>
  <si>
    <t>Proyección de cobertura: humedal</t>
  </si>
  <si>
    <t>Humedal protegido (Mha/año)</t>
  </si>
  <si>
    <t>Proyección de cobertura: asentamientos</t>
  </si>
  <si>
    <t>Asentamientos disminuyen en: 1% en relacion al BAU</t>
  </si>
  <si>
    <t>Otras tierras</t>
  </si>
  <si>
    <t>Otras tierras disminuyen en 1% en relacion al BAU</t>
  </si>
  <si>
    <t>TOTAL</t>
  </si>
  <si>
    <t>Agricultura</t>
  </si>
  <si>
    <t>TABLA ESC1: Cambio en factores de emisión</t>
  </si>
  <si>
    <t>Emisiones en cultivos</t>
  </si>
  <si>
    <t>% de cambio con respecto al año base</t>
  </si>
  <si>
    <t>Tasa variación</t>
  </si>
  <si>
    <t>Reduce</t>
  </si>
  <si>
    <t>Emisiones de arroz</t>
  </si>
  <si>
    <t>TABLA ESC2: Cambio en rendimiento y área de cultivos</t>
  </si>
  <si>
    <t>Rendimiento  de cultivos</t>
  </si>
  <si>
    <t>Incrementa</t>
  </si>
  <si>
    <t>Área de cultivos</t>
  </si>
  <si>
    <t>TABLA ESC3: Cambio en la demanda de productos agrícolas</t>
  </si>
  <si>
    <t>Cambios en las demandas de productos agrícolas</t>
  </si>
  <si>
    <t>Demanda de banano y plátano</t>
  </si>
  <si>
    <t>Demanda de cacao</t>
  </si>
  <si>
    <t>Demanda de café</t>
  </si>
  <si>
    <t>Demanda de caña de azúcar</t>
  </si>
  <si>
    <t>Demanda de maiz</t>
  </si>
  <si>
    <t>Demanda de palma africana</t>
  </si>
  <si>
    <t xml:space="preserve"> </t>
  </si>
  <si>
    <t>Demanda de soya</t>
  </si>
  <si>
    <t>Demanda de palmito</t>
  </si>
  <si>
    <t>Demanda de legumbres</t>
  </si>
  <si>
    <t>Demanda de cereales y pseudocereales</t>
  </si>
  <si>
    <t>Demanda de tubérculos</t>
  </si>
  <si>
    <t>Demanda de fruta fresca</t>
  </si>
  <si>
    <t>Demanda de verduras</t>
  </si>
  <si>
    <t>Demanda de florícola</t>
  </si>
  <si>
    <t>Demanda de arroz</t>
  </si>
  <si>
    <t>TABLA ESC4: Cambio en la producción de productos agrícolas</t>
  </si>
  <si>
    <t>Producción de productos agrícolas</t>
  </si>
  <si>
    <t>Producción de banano y plátano</t>
  </si>
  <si>
    <t>Producción de cacao</t>
  </si>
  <si>
    <t>Producción de café</t>
  </si>
  <si>
    <t>Producción de caña de azúcar</t>
  </si>
  <si>
    <t>Producción de maiz</t>
  </si>
  <si>
    <t>Producción de palma africana</t>
  </si>
  <si>
    <t>Producción de soya</t>
  </si>
  <si>
    <t>Producción de palmito</t>
  </si>
  <si>
    <t>Producción de legumbres</t>
  </si>
  <si>
    <t>Producción de cereales y pseudocereales</t>
  </si>
  <si>
    <t>Producción de tubérculos</t>
  </si>
  <si>
    <t>Producción de fruta fresca</t>
  </si>
  <si>
    <t>Producción de verduras</t>
  </si>
  <si>
    <t>Producción de florícola</t>
  </si>
  <si>
    <t>Producción de arroz</t>
  </si>
  <si>
    <t>TABLA ESC5: Cambio en la importación de productos agrícolas</t>
  </si>
  <si>
    <t>Importación de productos agrícolas</t>
  </si>
  <si>
    <t>Importación de banano y plátano</t>
  </si>
  <si>
    <t>Importación de cacao</t>
  </si>
  <si>
    <t>Importación de café</t>
  </si>
  <si>
    <t>Importación de caña de azúcar</t>
  </si>
  <si>
    <t>Importación de maiz</t>
  </si>
  <si>
    <t>Importación de palma africana</t>
  </si>
  <si>
    <t>Importación de soya</t>
  </si>
  <si>
    <t>Importación de palmito</t>
  </si>
  <si>
    <t>Importación de legumbres</t>
  </si>
  <si>
    <t>Importación de cereales y pseudocereales</t>
  </si>
  <si>
    <t>Importación de tubérculos</t>
  </si>
  <si>
    <t>Importación de fruta fresca</t>
  </si>
  <si>
    <t>Importación de verduras</t>
  </si>
  <si>
    <t>Importación de florícola</t>
  </si>
  <si>
    <t>Importación de arroz</t>
  </si>
  <si>
    <t>TABLA ESC6: Cambio en costos de productos agrícolas</t>
  </si>
  <si>
    <t>Costos de producción de productos agrícolas</t>
  </si>
  <si>
    <t>Ganadería</t>
  </si>
  <si>
    <t>TABLA ESC7: Cambio en factores de emisión de ganadería</t>
  </si>
  <si>
    <t>Emisiones de fermentación entérica en ganadería</t>
  </si>
  <si>
    <t>Emisiones de manejo de estiércol en ganadería</t>
  </si>
  <si>
    <t>TABLA ESC8: Cambio en rendimientos de productos ganaderos</t>
  </si>
  <si>
    <t>Rendimiento de ganadería carne</t>
  </si>
  <si>
    <t>Rendimiento de ganadería leche</t>
  </si>
  <si>
    <t>TABLA ESC9: Cambio en la demanda de productos ganaderos</t>
  </si>
  <si>
    <t>Cambios en las demandas de productos ganaderos</t>
  </si>
  <si>
    <t>Demandas de carne</t>
  </si>
  <si>
    <t>Demandas de leche</t>
  </si>
  <si>
    <t>TABLA ESC10: Cambio en la producción de productos ganaderos</t>
  </si>
  <si>
    <t>%Producción de productos ganaderos</t>
  </si>
  <si>
    <t>Producción de carne</t>
  </si>
  <si>
    <t>Producción de leche</t>
  </si>
  <si>
    <t>TABLA ESC11: Cambio en la importación de productos ganaderos</t>
  </si>
  <si>
    <t>%Importaciónde productos ganaderos</t>
  </si>
  <si>
    <t>Importaciónde carne</t>
  </si>
  <si>
    <t>Importaciónde leche</t>
  </si>
  <si>
    <t>TABLA ESC12: Cambio en la carga animal y costos de productos ganaderos</t>
  </si>
  <si>
    <t>Incremento de la carga animal</t>
  </si>
  <si>
    <t>Costos de producción de productos ganaderos</t>
  </si>
  <si>
    <t>Reducción  de emisiones en cultivos</t>
  </si>
  <si>
    <t>Reducción de emisiones de arroz</t>
  </si>
  <si>
    <t>Reemplazo de fertilizantes orgánicos</t>
  </si>
  <si>
    <t>Cambio en uso de fertilizantes de banano</t>
  </si>
  <si>
    <t>% de cambio con respecto al 2070 BAU</t>
  </si>
  <si>
    <t>Cambio en uso de fertilizantes de cacao</t>
  </si>
  <si>
    <t>Cambio en uso de fertilizantes de café</t>
  </si>
  <si>
    <t>Cambio en uso de fertilizantes de caña de azúcar</t>
  </si>
  <si>
    <t>Cambio en uso de fertilizantes de maiz</t>
  </si>
  <si>
    <t>Cambio en uso de fertilizantes de palma africana</t>
  </si>
  <si>
    <t>Cambio en uso de fertilizantes de soya</t>
  </si>
  <si>
    <t>Cambio en uso de fertilizantes de palmito</t>
  </si>
  <si>
    <t>Cambio en uso de fertilizantes de legumbres</t>
  </si>
  <si>
    <t>Cambio en uso de fertilizantes de cereales y pseudocereales</t>
  </si>
  <si>
    <t>Cambio en uso de fertilizantesa de tubérculos</t>
  </si>
  <si>
    <t>Cambio en uso de fertilizantes de fruta fresca</t>
  </si>
  <si>
    <t>Cambio en uso de fertilizantes de verduras</t>
  </si>
  <si>
    <t>Cambio en uso de fertilizantes de florícola</t>
  </si>
  <si>
    <t>Cambio enuso de fertilizantes de arroz</t>
  </si>
  <si>
    <t>Cambio en la demanda de banano</t>
  </si>
  <si>
    <t>% de cambio con respecto al BAU</t>
  </si>
  <si>
    <t>Cambio en la demanda de cacao</t>
  </si>
  <si>
    <t>Cambio en la demanda de café</t>
  </si>
  <si>
    <t>Cambio en la demanda de caña de azúcar</t>
  </si>
  <si>
    <t>Cambio en la demanda de maiz</t>
  </si>
  <si>
    <t>Cambio en la demanda de palma africana</t>
  </si>
  <si>
    <t>Cambio en la demanda de soya</t>
  </si>
  <si>
    <t>Cambio en la demanda de palmito</t>
  </si>
  <si>
    <t>Cambio en la demanda de legumbres</t>
  </si>
  <si>
    <t>Cambio en la demanda de cereales y pseudocereales</t>
  </si>
  <si>
    <t>Cambio en la demanda de tubérculos</t>
  </si>
  <si>
    <t>Cambio en la demanda de fruta fresca</t>
  </si>
  <si>
    <t>Cambio en la demanda de verduras</t>
  </si>
  <si>
    <t>Cambio en la demanda de florícola</t>
  </si>
  <si>
    <t>Cambio en la demanda de arroz</t>
  </si>
  <si>
    <t>TABLA ESC3: Cambio en las exportaciones de productos agrícolas</t>
  </si>
  <si>
    <t>Cambio en las exportaciones de banano</t>
  </si>
  <si>
    <t>Cambio en las exportaciones de cacao</t>
  </si>
  <si>
    <t>Cambio en las exportaciones de café</t>
  </si>
  <si>
    <t>Cambio en las exportaciones de caña de azúcar</t>
  </si>
  <si>
    <t>Cambio en las exportaciones de maiz</t>
  </si>
  <si>
    <t>Cambio en las exportaciones de palma africana</t>
  </si>
  <si>
    <t>Cambio en las exportaciones de soya</t>
  </si>
  <si>
    <t>Cambio en las exportaciones de palmito</t>
  </si>
  <si>
    <t>Cambio en las exportaciones de legumbres</t>
  </si>
  <si>
    <t>Cambio en las exportaciones de cereales y pseudocereales</t>
  </si>
  <si>
    <t>Cambio en las exportaciones de tubérculos</t>
  </si>
  <si>
    <t>Cambio en las exportaciones de fruta fresca</t>
  </si>
  <si>
    <t>Cambio en las exportaciones de verduras</t>
  </si>
  <si>
    <t>Cambio en las exportaciones de florícola</t>
  </si>
  <si>
    <t>Cambio en las exportaciones de arroz</t>
  </si>
  <si>
    <t>Reducción del factor de emisión de fermentación entérica en ganadería</t>
  </si>
  <si>
    <t>Reducción del factor de emisión de manejo de estiércol en ganadería</t>
  </si>
  <si>
    <t xml:space="preserve">Cambio en el número de cabezas de ganado vacuno </t>
  </si>
  <si>
    <t>Cambio de rendimiento de ganadería carne</t>
  </si>
  <si>
    <t>Cambio de rendimiento de ganadería leche</t>
  </si>
  <si>
    <t>TABLA ESC9: Cambio en las cabezas de ganado</t>
  </si>
  <si>
    <t>Cambios en las demandas de carne</t>
  </si>
  <si>
    <t>Cambios en el ganado</t>
  </si>
  <si>
    <t>TABLA ESC13: Cambio en el tipo de raza del ganado vacuno</t>
  </si>
  <si>
    <t>Raza mestiza</t>
  </si>
  <si>
    <t>Raza criolla</t>
  </si>
  <si>
    <t>Decrece</t>
  </si>
  <si>
    <t>Raza pura</t>
  </si>
  <si>
    <t>Arroz tradicional[USD/ha]</t>
  </si>
  <si>
    <t>Arroz Pato [USD/ha]</t>
  </si>
  <si>
    <t>Beneficios de tiempo ahorrado en agricultura/ganadería</t>
  </si>
  <si>
    <t>Observación</t>
  </si>
  <si>
    <t>Rendimientos de productos agrícolas</t>
  </si>
  <si>
    <t>Rendimiento de banano</t>
  </si>
  <si>
    <t>Mton</t>
  </si>
  <si>
    <t>% utilizados de CC70 - %</t>
  </si>
  <si>
    <t>Mton/Mha</t>
  </si>
  <si>
    <t>Rendimiento de cacao</t>
  </si>
  <si>
    <t>Rendimiento de café</t>
  </si>
  <si>
    <t>Rendimiento de caña de azúcar</t>
  </si>
  <si>
    <t>Rendimiento de maiz</t>
  </si>
  <si>
    <t>Rendimiento de palma africana</t>
  </si>
  <si>
    <t>Rendimiento de soya</t>
  </si>
  <si>
    <t>Rendimiento de palmito</t>
  </si>
  <si>
    <t>Rendimiento de legumbres</t>
  </si>
  <si>
    <t>Rendimiento de cereales y pseudocereales</t>
  </si>
  <si>
    <t>Rendimiento de tubérculos</t>
  </si>
  <si>
    <t>Rendimiento de fruta fresca</t>
  </si>
  <si>
    <t>Rendimiento de verduras</t>
  </si>
  <si>
    <t>Rendimiento de florícola</t>
  </si>
  <si>
    <t>Rendimiento de arroz</t>
  </si>
  <si>
    <t>Demandas de productos agrícolas</t>
  </si>
  <si>
    <t>Demanda de banano</t>
  </si>
  <si>
    <t>Producción de banano</t>
  </si>
  <si>
    <t>Demanda - Importación + Exportación</t>
  </si>
  <si>
    <t>Importación de banano</t>
  </si>
  <si>
    <t>BAU</t>
  </si>
  <si>
    <t>Exportación de productos agrícolas</t>
  </si>
  <si>
    <t xml:space="preserve">Exportación de banano </t>
  </si>
  <si>
    <t>Exportación de cacao</t>
  </si>
  <si>
    <t>Exportación de café</t>
  </si>
  <si>
    <t>Exportación de caña de azúcar</t>
  </si>
  <si>
    <t>Exportación de maiz</t>
  </si>
  <si>
    <t>Exportación de palma africana</t>
  </si>
  <si>
    <t>Exportación de soya</t>
  </si>
  <si>
    <t>Exportación de palmito</t>
  </si>
  <si>
    <t>Exportación de legumbres</t>
  </si>
  <si>
    <t>Exportación de cereales y pseudocereales</t>
  </si>
  <si>
    <t>Exportación de tubérculos</t>
  </si>
  <si>
    <t>Exportación de fruta fresca</t>
  </si>
  <si>
    <t>Exportación de verduras</t>
  </si>
  <si>
    <t>Exportación de florícola</t>
  </si>
  <si>
    <t>Exportación de arroz</t>
  </si>
  <si>
    <t>Cobertura de cultivos (Cobertura=Producción/Rendimiento)</t>
  </si>
  <si>
    <t>Cobertura de banano</t>
  </si>
  <si>
    <t>Producción / Rendimiento</t>
  </si>
  <si>
    <t>Cobertura de cacao</t>
  </si>
  <si>
    <t>Cobertura de café</t>
  </si>
  <si>
    <t>Cobertura de caña de azúcar</t>
  </si>
  <si>
    <t>Cobertura de maiz</t>
  </si>
  <si>
    <t>Cobertura de palma africana</t>
  </si>
  <si>
    <t>Cobertura de soya</t>
  </si>
  <si>
    <t>Cobertura de palmito</t>
  </si>
  <si>
    <t>Cobertura de legumbres</t>
  </si>
  <si>
    <t>Cobertura de cereales y pseudocereales</t>
  </si>
  <si>
    <t>Cobertura de tubérculos</t>
  </si>
  <si>
    <t>Cobertura de fruta fresca</t>
  </si>
  <si>
    <t>Cobertura de verduras</t>
  </si>
  <si>
    <t>Cobertura de florícola</t>
  </si>
  <si>
    <t>Cobertura de arroz</t>
  </si>
  <si>
    <t>Total de cobertura</t>
  </si>
  <si>
    <t>Cultivo de banano</t>
  </si>
  <si>
    <t>kg/ha</t>
  </si>
  <si>
    <t>Cultivo de cacao</t>
  </si>
  <si>
    <t>Cultivo de café</t>
  </si>
  <si>
    <t>Cultivo de caña de azúcar</t>
  </si>
  <si>
    <t>Cultivo de maiz</t>
  </si>
  <si>
    <t>Cultivo de palma africana</t>
  </si>
  <si>
    <t>Cultivo de soya</t>
  </si>
  <si>
    <t>Cultivo de palmito</t>
  </si>
  <si>
    <t>Cultivo de legumbres</t>
  </si>
  <si>
    <t>Cultivo de cereales y pseudocereales</t>
  </si>
  <si>
    <t>Cultivo de tubérculos</t>
  </si>
  <si>
    <t>Cultivo de fruta fresca</t>
  </si>
  <si>
    <t>Cultivo de verduras</t>
  </si>
  <si>
    <t>Cultivo de florícola</t>
  </si>
  <si>
    <t>Cultivo de arroz</t>
  </si>
  <si>
    <t>TOTAL BAU</t>
  </si>
  <si>
    <t>296 * (44 / 28) * 0.01* Concentración fertilizantes * Cobertura / 1000</t>
  </si>
  <si>
    <t>Mton CO2e</t>
  </si>
  <si>
    <t>Total de emisiones</t>
  </si>
  <si>
    <t>Rendimiento de carne</t>
  </si>
  <si>
    <t>ton/cabezas</t>
  </si>
  <si>
    <t>Rendimiento de leche</t>
  </si>
  <si>
    <t>Demanda de carne</t>
  </si>
  <si>
    <t>Producción + Importación - Exportación</t>
  </si>
  <si>
    <t>Demanda de leche</t>
  </si>
  <si>
    <t>Producción de productos ganaderos</t>
  </si>
  <si>
    <t>Rendimiento * Población * 0.28 / 1000000</t>
  </si>
  <si>
    <t>Importaciónde productos ganaderos</t>
  </si>
  <si>
    <t>Exportaciónde productos ganaderos</t>
  </si>
  <si>
    <t>Exportaciónde carne</t>
  </si>
  <si>
    <t>Exportaciónde leche</t>
  </si>
  <si>
    <t>Uso de suelo=Numero de cabezas/Carga animal</t>
  </si>
  <si>
    <t>Número de cabezas de ganado</t>
  </si>
  <si>
    <t>Cabezas</t>
  </si>
  <si>
    <t>Vacas mestizas</t>
  </si>
  <si>
    <t>% de tipo de raza * Población</t>
  </si>
  <si>
    <t>Vacas criollas</t>
  </si>
  <si>
    <t>Vacas puras</t>
  </si>
  <si>
    <t>Carga animal</t>
  </si>
  <si>
    <t>Cabeza/Mha</t>
  </si>
  <si>
    <t>Uso de suelo para ganadería</t>
  </si>
  <si>
    <t>Población / Carga animal (Se utiliza % de aplicación de técnicas GCI)</t>
  </si>
  <si>
    <t>Fermentación entérica en ganadería</t>
  </si>
  <si>
    <t>Gg CH4</t>
  </si>
  <si>
    <t>Manejo de estiércol en ganadería</t>
  </si>
  <si>
    <t>Reemplazo ganado GCI</t>
  </si>
  <si>
    <t>%</t>
  </si>
  <si>
    <t>Población * 25 * (Factor Emisión * (1 - GCI%) + Factor emisión GCI * GCI% / 100) / 1000000000</t>
  </si>
  <si>
    <t>Costos</t>
  </si>
  <si>
    <t>TABLA ESC-VAL13: Agricultura</t>
  </si>
  <si>
    <t>Costos de semillas</t>
  </si>
  <si>
    <t>Arroz (en cáscara)</t>
  </si>
  <si>
    <t xml:space="preserve"> USD/ha</t>
  </si>
  <si>
    <t>Banano</t>
  </si>
  <si>
    <t xml:space="preserve">Cacao - Almendra seca </t>
  </si>
  <si>
    <t xml:space="preserve">Café - Grano Oro </t>
  </si>
  <si>
    <t xml:space="preserve">Caña de azucar </t>
  </si>
  <si>
    <t>Maíz [USD/ha]</t>
  </si>
  <si>
    <t>Palma africana (Fruta Fresca)</t>
  </si>
  <si>
    <t xml:space="preserve">Soya </t>
  </si>
  <si>
    <t>Palmito</t>
  </si>
  <si>
    <t xml:space="preserve">Legumbres (Pulses) </t>
  </si>
  <si>
    <t xml:space="preserve">Cereales </t>
  </si>
  <si>
    <t xml:space="preserve">Tubérculos </t>
  </si>
  <si>
    <t xml:space="preserve">Fruta fresca </t>
  </si>
  <si>
    <t xml:space="preserve">Verduras </t>
  </si>
  <si>
    <t xml:space="preserve">Florícolas </t>
  </si>
  <si>
    <t>Costos de maquinaria</t>
  </si>
  <si>
    <t xml:space="preserve">Banano </t>
  </si>
  <si>
    <t>Costos de insumos postcosecha</t>
  </si>
  <si>
    <t>Costos de fertilizantes: Reemplazo de un % de f. sintéticos por f. orgánicos</t>
  </si>
  <si>
    <t>Costos de control de plagas/herbicidas</t>
  </si>
  <si>
    <t>Costos operacionales: mano de obra</t>
  </si>
  <si>
    <t>Costos de adquisición de  ganado</t>
  </si>
  <si>
    <t>Costo por cabeza</t>
  </si>
  <si>
    <t>Vacuno tradicional - raza importada(USD/cabeza)</t>
  </si>
  <si>
    <t>Vacuno criollo (USD/cabeza)</t>
  </si>
  <si>
    <t>% vacaimportada</t>
  </si>
  <si>
    <t>%vaca criolla</t>
  </si>
  <si>
    <t>% vaca mestizas</t>
  </si>
  <si>
    <t>Vacuno tradicional - raza importada(cabeza) - TOTAL</t>
  </si>
  <si>
    <t>Vacuno raza criolla (cabeza) - TOTAL</t>
  </si>
  <si>
    <t>Vacuno alternativo - raza mestiza (cabeza) - TOTAL</t>
  </si>
  <si>
    <t>Vacuno tradicional - raza importada(cabeza) - NUEVAS</t>
  </si>
  <si>
    <t>Vacuno alternativo - raza criolla (cabeza) - NUEVAS</t>
  </si>
  <si>
    <t>Vacuno alternativo - raza mestiza (cabeza) - NUEVAS</t>
  </si>
  <si>
    <t>Costos de adquisición de  ganado: CAPEX</t>
  </si>
  <si>
    <t>Vacuno tradicional - raza importada(cabeza)</t>
  </si>
  <si>
    <t>Vacuno criollo (cabeza)</t>
  </si>
  <si>
    <t>Vacuno alternativo - raza mestiza (cabeza)</t>
  </si>
  <si>
    <t>Costos de mano de obra, atención veterinaria: OPEX</t>
  </si>
  <si>
    <t>Vacuno alternativo - raza mestiza (USD/cabeza)</t>
  </si>
  <si>
    <t>TABLA ESC-VAL14: Costos de adquisición de  ganado</t>
  </si>
  <si>
    <t>Vacuno tradicional - raza importada</t>
  </si>
  <si>
    <t>USD/cabeza</t>
  </si>
  <si>
    <t xml:space="preserve">Vacuno alternativo - raza mestiza </t>
  </si>
  <si>
    <t xml:space="preserve">Vacuno criollo </t>
  </si>
  <si>
    <t>Costos de alimentación: OPEX</t>
  </si>
  <si>
    <t>Costos de mantenimiento de instalaciones: OPEX</t>
  </si>
  <si>
    <t>Beneficios</t>
  </si>
  <si>
    <t>TABLA ESC-VAL15: Costos de sistemas silvopastoriles</t>
  </si>
  <si>
    <t>Biodiversidad</t>
  </si>
  <si>
    <t>Constante</t>
  </si>
  <si>
    <t>USD/ha</t>
  </si>
  <si>
    <t>Erosión</t>
  </si>
  <si>
    <t>Sistemas intensivos de cultivo arrocero</t>
  </si>
  <si>
    <t>TABLA ESC-VAL16: Ganadería</t>
  </si>
  <si>
    <t>Tiempo libre por cabeza de ganado</t>
  </si>
  <si>
    <t xml:space="preserve"> USD/cabeza</t>
  </si>
  <si>
    <t>Rendimiento de cultivos</t>
  </si>
  <si>
    <t>Banano [ton/ha]</t>
  </si>
  <si>
    <t>Cacao - Almendra seca [ton/ha]</t>
  </si>
  <si>
    <t>Café - Grano Oro [ton/ha]</t>
  </si>
  <si>
    <t>Caña de azucar [ton/ha]</t>
  </si>
  <si>
    <t>Maíz [ton/ha]</t>
  </si>
  <si>
    <t>Palma africana  (Fruta Fresca) [ton/ha]</t>
  </si>
  <si>
    <t>Soya [ton/ha]</t>
  </si>
  <si>
    <t>Palmito [ton/ha]</t>
  </si>
  <si>
    <t>Legumbres (Pulses) [ton/ha]</t>
  </si>
  <si>
    <t>Cereales  y pseudocereales [ton/ha]</t>
  </si>
  <si>
    <t>Tubérculos [ton/ha]</t>
  </si>
  <si>
    <t>Fruta fresca [ton/ha]</t>
  </si>
  <si>
    <t>Verduras [ton/ha]</t>
  </si>
  <si>
    <t>Floricola [ton/ha]</t>
  </si>
  <si>
    <t>Arroz [ton/ha]</t>
  </si>
  <si>
    <t>Datos Escenario Compromiso climático 2070</t>
  </si>
  <si>
    <t>Banano  [ton/ha]</t>
  </si>
  <si>
    <t>Demanda de cultivos</t>
  </si>
  <si>
    <t>Banano [Mton]</t>
  </si>
  <si>
    <t>Cacao - Almendra seca [Mton]</t>
  </si>
  <si>
    <t>Café - Grano Oro [Mton]</t>
  </si>
  <si>
    <t>Caña de azucar [Mton]</t>
  </si>
  <si>
    <t>Maíz [Mton]</t>
  </si>
  <si>
    <t>Palma africana  (Fruta Fresca) [Mton]</t>
  </si>
  <si>
    <t>Soya [Mton]</t>
  </si>
  <si>
    <t>Palmito [Mton]</t>
  </si>
  <si>
    <t>Legumbres (Pulses) [Mton]</t>
  </si>
  <si>
    <t>Cereales y pseudocereales [ [Mton]</t>
  </si>
  <si>
    <t>Tubérculos [Mton]</t>
  </si>
  <si>
    <t>Fruta fresca [Mton]</t>
  </si>
  <si>
    <t>Verduras [Mton]</t>
  </si>
  <si>
    <t>Florícola [Mton]</t>
  </si>
  <si>
    <t>Arroz [Mton]</t>
  </si>
  <si>
    <t>Exportación de cultivos</t>
  </si>
  <si>
    <t>Banano  [Mton]</t>
  </si>
  <si>
    <t>Producción de cultivos</t>
  </si>
  <si>
    <t>Uso de fertilizantes</t>
  </si>
  <si>
    <t>Banano [kg/ha]</t>
  </si>
  <si>
    <t>Cacao - Almendra seca [kg/ha]</t>
  </si>
  <si>
    <t>Café - Grano Oro  [kg/ha]</t>
  </si>
  <si>
    <t>Caña de azucar [kg/ha]</t>
  </si>
  <si>
    <t>Maíz  [kg/ha]</t>
  </si>
  <si>
    <t>Palma africana - FRUTA FRESCA [kg/ha]</t>
  </si>
  <si>
    <t>Soya - Grano seco [kg/ha]</t>
  </si>
  <si>
    <t>Palmito [kg/ha]</t>
  </si>
  <si>
    <t>Legumbres (Pulses)  [kg/ha]</t>
  </si>
  <si>
    <t>Cereales  y pseudo cereales [kg/ha]</t>
  </si>
  <si>
    <t>Tubérculos  [kg/ha]</t>
  </si>
  <si>
    <t>Fruta fresca [kg/ha]</t>
  </si>
  <si>
    <t>Verduras [kg/ha]</t>
  </si>
  <si>
    <t>Floricola [kg/ha]</t>
  </si>
  <si>
    <t>Arroz en cáscara [kg/ha]</t>
  </si>
  <si>
    <t>Datos Escenario Compromiso climático 2070 - Fertilizantes totales</t>
  </si>
  <si>
    <t>Datos Escenario Compromiso climático 2070 - F. NPK</t>
  </si>
  <si>
    <t>Datos Escenario Compromiso climático 2070 - Fertilizantes Orgánicos</t>
  </si>
  <si>
    <t>Uso de suelos en cultivos</t>
  </si>
  <si>
    <t>Banano  [Mha]</t>
  </si>
  <si>
    <t>Cacao - Almendra seca [Mha]</t>
  </si>
  <si>
    <t>Café - Grano Oro [Mha]</t>
  </si>
  <si>
    <t>Caña de azucar [Mha]</t>
  </si>
  <si>
    <t>Maíz [Mha]</t>
  </si>
  <si>
    <t>Palma africana (Fruta Fresca) [Mha]</t>
  </si>
  <si>
    <t>Soya [Mha]</t>
  </si>
  <si>
    <t>Palmito [Mha]</t>
  </si>
  <si>
    <t>Legumbres (Pulses) [Mha]</t>
  </si>
  <si>
    <t>Cereales y pseudocereales [Mha]</t>
  </si>
  <si>
    <t>Tubérculos [Mha]</t>
  </si>
  <si>
    <t>Fruta fresca [Mha]</t>
  </si>
  <si>
    <t>Verduras [Mha]</t>
  </si>
  <si>
    <t>Florícolas [Mha]</t>
  </si>
  <si>
    <t>Arroz [Mha]</t>
  </si>
  <si>
    <t>Banano [Mha]</t>
  </si>
  <si>
    <t>Compromiso climático 2070</t>
  </si>
  <si>
    <t>Rendimiento ganadero</t>
  </si>
  <si>
    <t>Vacuno carne (ton/cabeza)</t>
  </si>
  <si>
    <t>Vacuno leche (ton/cabeza)</t>
  </si>
  <si>
    <t>CC70</t>
  </si>
  <si>
    <t>Demanda del sector ganadero</t>
  </si>
  <si>
    <t>Vacuno carne (Mton)</t>
  </si>
  <si>
    <t>Vacuno leche (Mton)</t>
  </si>
  <si>
    <t>Numero de cabezas de ganado</t>
  </si>
  <si>
    <t>Raza importada (CC70)</t>
  </si>
  <si>
    <t>Raza criolla (CC70)</t>
  </si>
  <si>
    <t>Raza mestiza (CC70)</t>
  </si>
  <si>
    <t>Hato CC70</t>
  </si>
  <si>
    <t>Carga animal ganadería</t>
  </si>
  <si>
    <t>Cobertura de ganado</t>
  </si>
  <si>
    <t>Emisiones</t>
  </si>
  <si>
    <t>Cultivos</t>
  </si>
  <si>
    <t>Factor de emisión ganadería</t>
  </si>
  <si>
    <t>Fermentación entérica</t>
  </si>
  <si>
    <t>Manejo de estiércol</t>
  </si>
  <si>
    <t>Rendimiento</t>
  </si>
  <si>
    <t>Promedio 2010-2022</t>
  </si>
  <si>
    <t>R^2 de regresión lineal</t>
  </si>
  <si>
    <t>Desviación estándar</t>
  </si>
  <si>
    <t>Tasa anual de crecimiento</t>
  </si>
  <si>
    <t>(Y-Y_prom)^2</t>
  </si>
  <si>
    <t>Promedio de tasa anual</t>
  </si>
  <si>
    <t>Sumatoria (Y-Y_prom)^2</t>
  </si>
  <si>
    <t>Promedio - 1DE</t>
  </si>
  <si>
    <t>Promedio +1DE</t>
  </si>
  <si>
    <t>En amarillo valores fuera de + - 1 desviación estándar</t>
  </si>
  <si>
    <t>Tasa anual de crecimiento promedio (excluyendo datos fuera de +- 1 SD)</t>
  </si>
  <si>
    <t>Dado que es negativa, se usa una positiva baja, entre las habilitadas.</t>
  </si>
  <si>
    <t>Tasa de crecimiento a usar en las proyecciones</t>
  </si>
  <si>
    <t>Promedio entre las positivas</t>
  </si>
  <si>
    <t>Referencia</t>
  </si>
  <si>
    <t>Ecuador</t>
  </si>
  <si>
    <t>COBERTURA DE CULTIVOS ESPAC</t>
  </si>
  <si>
    <t>TABLA AGR - 1: Cobertura de cultivos SEMBRADOS</t>
  </si>
  <si>
    <t>Cultivos en hectáreas [ha]</t>
  </si>
  <si>
    <t>ESPAC</t>
  </si>
  <si>
    <t>Banano [ha]</t>
  </si>
  <si>
    <t>Cacao - Almendra seca [ha]</t>
  </si>
  <si>
    <t>Café - Grano Oro [ha]</t>
  </si>
  <si>
    <t>Caña de azucar [ha]</t>
  </si>
  <si>
    <t>Maíz [ha]</t>
  </si>
  <si>
    <t>Palma africana [ha]</t>
  </si>
  <si>
    <t>!</t>
  </si>
  <si>
    <t>Soya - Grano seco [ha]</t>
  </si>
  <si>
    <t>Palmito [ha]</t>
  </si>
  <si>
    <t>Legumbres (Pulses) [ha]</t>
  </si>
  <si>
    <t>Cereales y pseudocereales[ha]</t>
  </si>
  <si>
    <t>Tubérculos [ha]</t>
  </si>
  <si>
    <t>Fruta fresca [ha]</t>
  </si>
  <si>
    <t>Verduras [ha]</t>
  </si>
  <si>
    <t>Floricolas [ha]</t>
  </si>
  <si>
    <t>Cultivos en mega hectáreas [Mha]</t>
  </si>
  <si>
    <t>Total [Mha]</t>
  </si>
  <si>
    <t>TABLA AGR - 2: Cobertura de cultivos COSECHADOS</t>
  </si>
  <si>
    <t>Florícola [ha]</t>
  </si>
  <si>
    <t>Información subrayada: No existen datos disponibles</t>
  </si>
  <si>
    <t>PRODUCCIÓN Y RENDIMIENTO DE LOS CULTIVOS COSECHADOS</t>
  </si>
  <si>
    <t>TABLA AGR - 3: Producción de cultivos COSECHADOS</t>
  </si>
  <si>
    <t>Producción en toneladas [ton]</t>
  </si>
  <si>
    <t>Banano [ton]</t>
  </si>
  <si>
    <t>Cacao - Almendra seca [ton]</t>
  </si>
  <si>
    <t>Café - Grano Oro [ton]</t>
  </si>
  <si>
    <t>Caña de azucar [ton]</t>
  </si>
  <si>
    <t>Maíz [ton]</t>
  </si>
  <si>
    <t>Palma africana [ton]</t>
  </si>
  <si>
    <t>Soya [ton]</t>
  </si>
  <si>
    <t>Legumbres (Pulses) [ton]</t>
  </si>
  <si>
    <t>Cereales  y pseudocereales [ton]</t>
  </si>
  <si>
    <t>Tubérculos [ton]</t>
  </si>
  <si>
    <t>Fruta fresca [ton]</t>
  </si>
  <si>
    <t>Verduras [ton]</t>
  </si>
  <si>
    <t>Florícola [ton]</t>
  </si>
  <si>
    <t>Producción agrícola en mega toneladas [Mton]</t>
  </si>
  <si>
    <t>!!</t>
  </si>
  <si>
    <t>Cereales  y pseudocereales [Mton]</t>
  </si>
  <si>
    <t>Total [Mton]</t>
  </si>
  <si>
    <t>TABLA AGR - 4: Rendimiento de cultivos COSECHADOS</t>
  </si>
  <si>
    <t>Porcentaje 2070</t>
  </si>
  <si>
    <t>Porcentaje anual</t>
  </si>
  <si>
    <t>Rendimiento de los cultivos agrílocas [ton/ha]</t>
  </si>
  <si>
    <t>Producción local / Cobertura cultivo</t>
  </si>
  <si>
    <t>Información obtenida a partir de supuestos</t>
  </si>
  <si>
    <t>EXPORTACIÓN, IMPORTACIÓN Y DEMANDA LOCAL</t>
  </si>
  <si>
    <t>Porcentaje de peso de trasporte</t>
  </si>
  <si>
    <t>TABLA AGR - 5: Exportación de productos agrícolas</t>
  </si>
  <si>
    <t>Exportación de los productos agrílocas [ton]</t>
  </si>
  <si>
    <t>BCE, Proyecciones: ELENA</t>
  </si>
  <si>
    <t>Banano  [ton]</t>
  </si>
  <si>
    <t>Palmito [ton]</t>
  </si>
  <si>
    <t>Cereales y pseudocereales [ [ton]</t>
  </si>
  <si>
    <t>Exportación de los productos agrílocas [Mton]</t>
  </si>
  <si>
    <t>!!!</t>
  </si>
  <si>
    <t>Cereales y pseudocereales [Mton]</t>
  </si>
  <si>
    <t xml:space="preserve">Total [Mton] </t>
  </si>
  <si>
    <t>TABLA AGR - 6: Importación de productos agrícolas</t>
  </si>
  <si>
    <t>Importación de los productos agrílocas [ton]</t>
  </si>
  <si>
    <t>Tomate riñon [Mton]</t>
  </si>
  <si>
    <t>Cereales y pseudocereales [ton]</t>
  </si>
  <si>
    <t>Importación de los productos agrílocas [Mton]</t>
  </si>
  <si>
    <t>Palma africana  [Mton]</t>
  </si>
  <si>
    <t>TABLA AGR - 7: Demanda local de productos agrícolas</t>
  </si>
  <si>
    <t>Demanda local de los productos agrílocas [Mton]</t>
  </si>
  <si>
    <t>Producción + Importación - Exportación, BA (MAG)</t>
  </si>
  <si>
    <t>Existe información de aceite de palma, es un producto procesado</t>
  </si>
  <si>
    <t>CULTIVOS DE ARROZ</t>
  </si>
  <si>
    <t>TABLA AGR - 8: Cultivos de arroz</t>
  </si>
  <si>
    <t>Cobertura de cultivos de arroz COSECHADA [Mha]</t>
  </si>
  <si>
    <t>Arroz en cáscara [ha]</t>
  </si>
  <si>
    <t>Arroz en cáscara [Mha]</t>
  </si>
  <si>
    <t>Producción de arroz  [Mton]</t>
  </si>
  <si>
    <t>Arroz en cáscara [ton]</t>
  </si>
  <si>
    <t>Arroz en cáscara [Mton]</t>
  </si>
  <si>
    <t>Rendimiento de cultivos de arroz [ton/ha]</t>
  </si>
  <si>
    <t>Producción / Cobertura</t>
  </si>
  <si>
    <t>Arroz en cáscara [ton/ha]</t>
  </si>
  <si>
    <t>Exportación de arroz [Mton]</t>
  </si>
  <si>
    <t>BCE</t>
  </si>
  <si>
    <t>Importación de arroz [Mton]</t>
  </si>
  <si>
    <t>Demanda local de arroz [Mton]</t>
  </si>
  <si>
    <t>GANADERÍA - POBLACIÓN, COBERTURA</t>
  </si>
  <si>
    <t>TABLA AGR - 9-1: Población de ganado bovino</t>
  </si>
  <si>
    <t>Cabezas de ganado [Cabezas]</t>
  </si>
  <si>
    <t>Vacuno total (Cabezas)</t>
  </si>
  <si>
    <t>Vacuno lechero (Cabezas)</t>
  </si>
  <si>
    <t>Calcuado con %</t>
  </si>
  <si>
    <t>Vacuno no lechero - Toros (Cabezas)</t>
  </si>
  <si>
    <t>Vacuno no lechero - Vacas (Cabezas)</t>
  </si>
  <si>
    <t>Vacuno no lechero - Crecimiento(Cabezas)</t>
  </si>
  <si>
    <t>Vacunación FASE 2 - MAG Agrocalidad  [Cabezas]</t>
  </si>
  <si>
    <t>MAG - Agrocalidad</t>
  </si>
  <si>
    <t>Existencias [%]</t>
  </si>
  <si>
    <t xml:space="preserve">TABLA AGR - 9-2: Población de otro ganado </t>
  </si>
  <si>
    <t>Vacuno porcino (Cabezas)</t>
  </si>
  <si>
    <t>Vacuno ovino (Cabezas)</t>
  </si>
  <si>
    <t>Vacuno otras especies (Cabezas)</t>
  </si>
  <si>
    <t>TABLA AGR - 9-3: Clasificación según tipo de raza de ganado vacuno</t>
  </si>
  <si>
    <t>Raza importada (Cabezas)</t>
  </si>
  <si>
    <t>Raza criolla (Cabezas)</t>
  </si>
  <si>
    <t>Raza mestiza (Cabezas)</t>
  </si>
  <si>
    <t>TABLA AGR - 10: Cobertura de ganadería</t>
  </si>
  <si>
    <t>Cobertura de suelo para ganadería [Mha]</t>
  </si>
  <si>
    <t>Vacuno total (Mha)</t>
  </si>
  <si>
    <t>TABLA AGR - 11: Densidad del ganado</t>
  </si>
  <si>
    <t>Densidad [Cabezas/ha]</t>
  </si>
  <si>
    <t>Población / Cobertura</t>
  </si>
  <si>
    <t>Vacuno total (Cabezas/ha)</t>
  </si>
  <si>
    <t>GANADERÍA - PRODUCCIÓN, EXPORTACIÓN, IMPORTACIÓN, DEMANDA LOCAL</t>
  </si>
  <si>
    <t>TABLA AGR - 12: Producción de ganadería</t>
  </si>
  <si>
    <t>Producción local [Mton]</t>
  </si>
  <si>
    <t>FAO</t>
  </si>
  <si>
    <t>Vacuno carne NV (Mton)</t>
  </si>
  <si>
    <t>Vacuno leche NV (Mton)</t>
  </si>
  <si>
    <t>TABLA AGR - 13: Rendimiento ganadero</t>
  </si>
  <si>
    <t>Rendimiento [ton/ha]</t>
  </si>
  <si>
    <t>Vacuno total (ton/ha)</t>
  </si>
  <si>
    <t>Rendimiento [ton/cabeza]</t>
  </si>
  <si>
    <t>Vacuno carne NV (ton/cabeza)</t>
  </si>
  <si>
    <t>Vacuno leche NV (ton/cabeza)</t>
  </si>
  <si>
    <t>TABLA AGR - 14: Exportación de ganado</t>
  </si>
  <si>
    <t>Exportaciones [ton]</t>
  </si>
  <si>
    <t>Vacuno carne (ton)</t>
  </si>
  <si>
    <t>Vacuno leche (ton)</t>
  </si>
  <si>
    <t>Exportaciones [Mton]</t>
  </si>
  <si>
    <t>TABLA AGR - 15: Importación de ganado</t>
  </si>
  <si>
    <t>Importaciones [ton]</t>
  </si>
  <si>
    <t>Importaciones [Mton]</t>
  </si>
  <si>
    <t>TABLA AGR - 16: Demanda local de ganado</t>
  </si>
  <si>
    <t>Demanda local [Mton]</t>
  </si>
  <si>
    <t>Vacuno carne NV(Mton)</t>
  </si>
  <si>
    <t>AVES DE CORRAL - GALLINAS</t>
  </si>
  <si>
    <t>TABLA AGR - 17: Población de aves de corral</t>
  </si>
  <si>
    <t>Población  [Cabezas]</t>
  </si>
  <si>
    <t>Criadas en campo (Cabezas)</t>
  </si>
  <si>
    <t>Criadas en planteles avícolas (Cabezas)</t>
  </si>
  <si>
    <t>TABLA AGR - 18: Producción/autoconsumo de huevos</t>
  </si>
  <si>
    <t>Producción/Autoconsumo [# Huevos]</t>
  </si>
  <si>
    <t>Huevos (# huevos)</t>
  </si>
  <si>
    <t>Huevos autoconsumo (# huevos)</t>
  </si>
  <si>
    <t>RESIDUOS</t>
  </si>
  <si>
    <t>TABLA AGR - 19: Cantidad de residuos</t>
  </si>
  <si>
    <t>Residuos [Mton]</t>
  </si>
  <si>
    <t>Atlas Bioenergético</t>
  </si>
  <si>
    <t>Cascarrilla de aroz [Mton]</t>
  </si>
  <si>
    <t>Raquis de banano [Mton]</t>
  </si>
  <si>
    <t>Cáscara de cacao [Mton]</t>
  </si>
  <si>
    <t>Residuos de café [Mton]</t>
  </si>
  <si>
    <t>Bagazo y hojarrasca de caña de azucar [Mton]</t>
  </si>
  <si>
    <t>Mazorca de maíz [Mton]</t>
  </si>
  <si>
    <t>Cuesco de palma [Mton]</t>
  </si>
  <si>
    <t>TABLA AGR - 20: Palma africana</t>
  </si>
  <si>
    <t>Productos/Residuos de palma africana [Mton]</t>
  </si>
  <si>
    <t>TESIS, Tolagasi 2013</t>
  </si>
  <si>
    <t>Raquis (23%) [Mton]</t>
  </si>
  <si>
    <t>fibra mesocárpica (14%)  [Mton]</t>
  </si>
  <si>
    <t>Cuesco (7%) [Mton]</t>
  </si>
  <si>
    <t>Lodo - torta (6%)  [Mton]</t>
  </si>
  <si>
    <t>Aceites (45%)[Mton]</t>
  </si>
  <si>
    <t>Otros (5%)  [Mton]</t>
  </si>
  <si>
    <t>TABLA AGR - 21: Caña de azúcar</t>
  </si>
  <si>
    <t>Productos/Residuos de caña de azúcar [Mton]</t>
  </si>
  <si>
    <t>Jugo de caña [Mton]</t>
  </si>
  <si>
    <t>Bagazo  [Mton]</t>
  </si>
  <si>
    <t>Hojarrazca [Mton]</t>
  </si>
  <si>
    <t>NOTAS</t>
  </si>
  <si>
    <t xml:space="preserve">Legumbres (grano seco y grano tierno): arveja, fréjol y haba 
</t>
  </si>
  <si>
    <t>Cereales y pseudocereales: cebada, trigo, quinua</t>
  </si>
  <si>
    <t>Tubérculos: papa, yuca</t>
  </si>
  <si>
    <t>Fruta fresca: maracuyá, naranja, tomate de árbol, piña</t>
  </si>
  <si>
    <t>Verduras: brócoli, cebolla, tomate riñon</t>
  </si>
  <si>
    <t>Florícolas: rosa, clavel, astromellas, campánula, gysophilia, crisantemos, trachelium, lilium, lirios, limonium, girasoles, hypericum, godethia, áster, orquídeas, cartucho, otras flores transitorias y permanentes</t>
  </si>
  <si>
    <t>FERTILIZANTES UTILIZADOS EN CULTIVOS</t>
  </si>
  <si>
    <t>TABLA EMAGR - 4: Fertilizantes NPK en cultivos</t>
  </si>
  <si>
    <t>Uso de fertilizantes NPK [kg/ha]</t>
  </si>
  <si>
    <t>Otra metodología de encuesta. Se dividen los fertilizantes según su riesgo.</t>
  </si>
  <si>
    <t>Total [kg/ha]</t>
  </si>
  <si>
    <t>TABLA EMAGR - 5: Fertilizantes nitrogenados en cultivos</t>
  </si>
  <si>
    <t>Uso de fertilizantes nitrogenados [kg/ha]</t>
  </si>
  <si>
    <t>Arroz en cáscara[kg/ha]</t>
  </si>
  <si>
    <t>Cereales y pseudo cereales [kg/ha]</t>
  </si>
  <si>
    <t>Tubérculos [kg/ha]</t>
  </si>
  <si>
    <t>Datos Escenario Tendencial</t>
  </si>
  <si>
    <t>Datos Escenario Tendencial - F. NPK</t>
  </si>
  <si>
    <t>Tendencial</t>
  </si>
  <si>
    <t>Raza importada (Tendencial)</t>
  </si>
  <si>
    <t>Raza criolla (Tendencial)</t>
  </si>
  <si>
    <t>Raza mestiza (Tendencial)</t>
  </si>
  <si>
    <t>Hato Tendencial</t>
  </si>
  <si>
    <t>TABLA ESC-VAL2: Rendimiento y área de cultivos</t>
  </si>
  <si>
    <t>TABLA ESC-VAL3: Demanda de cultivos</t>
  </si>
  <si>
    <t>La demanda es igual que el escenario tendencial a excepción de cereales y pseudocereales (balance de alimentos)</t>
  </si>
  <si>
    <t>TABLA ESC-VAL4: Producción de cultivos</t>
  </si>
  <si>
    <t>Producción es calculada con el balance de alimentos a excepción de cereales y pseudocereales (Rendimiento*Cobertura)</t>
  </si>
  <si>
    <t>TABLA ESC-VAL5: Importación de cultivos</t>
  </si>
  <si>
    <t>La Importación es igual que el escenario tendencial a excepción de cereales y pseudocereales (Incremento del 25%)</t>
  </si>
  <si>
    <t>TABLA ESC-VAL6: Exportación de cultivos</t>
  </si>
  <si>
    <t>Cereales y pseudocereales tiene valor establecido por FIAS</t>
  </si>
  <si>
    <t>TABLA ESC-VAL11: Cobertura de cultivos</t>
  </si>
  <si>
    <t>TABLA ESC-VAL11: Uso de fertilizantes</t>
  </si>
  <si>
    <t>TABLA ESC-VAL11: Emisiones por fertilizantes</t>
  </si>
  <si>
    <t>TABLA ESC-VAL7: Rendimientos de ganadería</t>
  </si>
  <si>
    <t>TABLA ESC-VAL8: Demanda de ganadería</t>
  </si>
  <si>
    <t>TABLA ESC-VAL9: Producción de ganadería</t>
  </si>
  <si>
    <t>TABLA ESC-VAL10: Importación de ganadería</t>
  </si>
  <si>
    <t>TABLA ESC-VAL10: Exportación de ganadería</t>
  </si>
  <si>
    <t>TABLA ESC-VAL12: Cobertura de ganadería</t>
  </si>
  <si>
    <t>TABLA ESC-VAL7: Factor de emision de ganadería</t>
  </si>
  <si>
    <t>TABLA ESC-VAL7: Emisiones de ganadería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</si>
</sst>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 #,##0.00_ ;_ * \-#,##0.00_ ;_ * &quot;-&quot;??_ ;_ @_ "/>
    <numFmt numFmtId="165" formatCode="0.000"/>
    <numFmt numFmtId="166" formatCode="0.0000"/>
    <numFmt numFmtId="167" formatCode="0.00000"/>
    <numFmt numFmtId="168" formatCode="0.000000"/>
    <numFmt numFmtId="169" formatCode="0.0000000"/>
    <numFmt numFmtId="170" formatCode="0.000000000000"/>
    <numFmt numFmtId="171" formatCode="#,##0.0000"/>
    <numFmt numFmtId="172" formatCode="0.0000000000000000000000000000000000000000000000"/>
    <numFmt numFmtId="173" formatCode="#,##0.000"/>
    <numFmt numFmtId="174" formatCode="0.0%"/>
    <numFmt numFmtId="175" formatCode="_(* #,##0.00_);_(* \(#,##0.00\);_(* &quot;-&quot;??_);_(@_)"/>
    <numFmt numFmtId="176" formatCode="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000000"/>
      <name val="Calibri"/>
      <family val="2"/>
    </font>
    <font>
      <sz val="11"/>
      <color theme="1"/>
      <name val="Arial"/>
      <family val="2"/>
    </font>
    <font>
      <sz val="11"/>
      <color theme="1"/>
      <name val="Calibri"/>
      <family val="2"/>
      <scheme val="minor"/>
    </font>
    <font>
      <u/>
      <sz val="11"/>
      <color theme="10"/>
      <name val="Arial"/>
      <family val="2"/>
    </font>
    <font>
      <b/>
      <sz val="11"/>
      <color theme="1"/>
      <name val="Arial"/>
      <family val="2"/>
    </font>
    <font>
      <b/>
      <sz val="11"/>
      <color rgb="FF000000"/>
      <name val="Arial"/>
      <family val="2"/>
    </font>
    <font>
      <sz val="9"/>
      <color theme="1"/>
      <name val="Arial"/>
      <family val="2"/>
    </font>
    <font>
      <sz val="11"/>
      <color rgb="FF000000"/>
      <name val="Arial"/>
      <family val="2"/>
    </font>
    <font>
      <b/>
      <sz val="11"/>
      <color rgb="FF00B0F0"/>
      <name val="Arial"/>
      <family val="2"/>
    </font>
    <font>
      <sz val="8"/>
      <color theme="1"/>
      <name val="Arial"/>
      <family val="2"/>
    </font>
    <font>
      <b/>
      <sz val="11"/>
      <color theme="4"/>
      <name val="Arial"/>
      <family val="2"/>
    </font>
    <font>
      <b/>
      <sz val="13"/>
      <color theme="1"/>
      <name val="Arial"/>
      <family val="2"/>
    </font>
    <font>
      <sz val="13"/>
      <color theme="1"/>
      <name val="Arial"/>
      <family val="2"/>
    </font>
    <font>
      <b/>
      <sz val="13"/>
      <color rgb="FF000000"/>
      <name val="Arial"/>
      <family val="2"/>
    </font>
    <font>
      <sz val="13"/>
      <color theme="1"/>
      <name val="Calibri"/>
      <family val="2"/>
      <scheme val="minor"/>
    </font>
    <font>
      <b/>
      <i/>
      <sz val="11"/>
      <color theme="1"/>
      <name val="Arial"/>
      <family val="2"/>
    </font>
    <font>
      <b/>
      <sz val="14"/>
      <color theme="1"/>
      <name val="Arial"/>
      <family val="2"/>
    </font>
    <font>
      <b/>
      <sz val="11"/>
      <color indexed="8"/>
      <name val="Arial"/>
      <family val="2"/>
    </font>
    <font>
      <b/>
      <sz val="11"/>
      <color rgb="FFFF0000"/>
      <name val="Calibri"/>
      <family val="2"/>
      <scheme val="minor"/>
    </font>
    <font>
      <b/>
      <sz val="12"/>
      <name val="Calibri"/>
      <family val="2"/>
      <scheme val="minor"/>
    </font>
    <font>
      <b/>
      <sz val="13"/>
      <color rgb="FFFF0000"/>
      <name val="Calibri"/>
      <family val="2"/>
      <scheme val="minor"/>
    </font>
    <font>
      <b/>
      <sz val="15"/>
      <color theme="4"/>
      <name val="Calibri"/>
      <family val="2"/>
      <scheme val="minor"/>
    </font>
    <font>
      <b/>
      <sz val="14"/>
      <color theme="1"/>
      <name val="Calibri"/>
      <family val="2"/>
    </font>
    <font>
      <sz val="11"/>
      <color theme="1"/>
      <name val="Calibri"/>
      <family val="2"/>
    </font>
    <font>
      <b/>
      <sz val="20"/>
      <color rgb="FFFF0000"/>
      <name val="Calibri"/>
      <family val="2"/>
    </font>
    <font>
      <b/>
      <sz val="12"/>
      <color theme="4"/>
      <name val="Calibri"/>
      <family val="2"/>
    </font>
    <font>
      <b/>
      <sz val="11"/>
      <color theme="1"/>
      <name val="Calibri"/>
      <family val="2"/>
    </font>
    <font>
      <b/>
      <sz val="12"/>
      <color theme="5"/>
      <name val="Calibri"/>
      <family val="2"/>
    </font>
    <font>
      <b/>
      <sz val="11"/>
      <color rgb="FFC00000"/>
      <name val="Calibri"/>
      <family val="2"/>
    </font>
    <font>
      <b/>
      <sz val="11"/>
      <color rgb="FFFF0000"/>
      <name val="Calibri"/>
      <family val="2"/>
    </font>
    <font>
      <b/>
      <sz val="13"/>
      <color theme="1"/>
      <name val="Calibri"/>
      <family val="2"/>
    </font>
    <font>
      <sz val="11"/>
      <name val="Arial"/>
      <family val="2"/>
    </font>
    <font>
      <sz val="11"/>
      <color rgb="FFFF0000"/>
      <name val="Calibri"/>
      <family val="2"/>
      <scheme val="minor"/>
    </font>
    <font>
      <sz val="11"/>
      <name val="Calibri"/>
      <family val="2"/>
      <scheme val="minor"/>
    </font>
    <font>
      <b/>
      <sz val="11"/>
      <name val="Calibri"/>
      <family val="2"/>
      <scheme val="minor"/>
    </font>
    <font>
      <b/>
      <sz val="11"/>
      <color theme="9"/>
      <name val="Arial"/>
      <family val="2"/>
    </font>
  </fonts>
  <fills count="32">
    <fill>
      <patternFill patternType="none"/>
    </fill>
    <fill>
      <patternFill patternType="gray125"/>
    </fill>
    <fill>
      <patternFill patternType="solid">
        <fgColor theme="0"/>
        <bgColor indexed="64"/>
      </patternFill>
    </fill>
    <fill>
      <patternFill patternType="solid">
        <fgColor rgb="FFFFF2CC"/>
        <bgColor indexed="64"/>
      </patternFill>
    </fill>
    <fill>
      <patternFill patternType="solid">
        <fgColor rgb="FFD8D8D8"/>
        <bgColor rgb="FFD8D8D8"/>
      </patternFill>
    </fill>
    <fill>
      <patternFill patternType="solid">
        <fgColor rgb="FFDADADA"/>
        <bgColor rgb="FFDADADA"/>
      </patternFill>
    </fill>
    <fill>
      <patternFill patternType="solid">
        <fgColor rgb="FFFFE598"/>
        <bgColor rgb="FFFFE598"/>
      </patternFill>
    </fill>
    <fill>
      <patternFill patternType="solid">
        <fgColor rgb="FFFEF2CB"/>
        <bgColor rgb="FFFEF2CB"/>
      </patternFill>
    </fill>
    <fill>
      <patternFill patternType="solid">
        <fgColor theme="7"/>
        <bgColor theme="7"/>
      </patternFill>
    </fill>
    <fill>
      <patternFill patternType="solid">
        <fgColor rgb="FFFFC000"/>
        <bgColor rgb="FFFFC000"/>
      </patternFill>
    </fill>
    <fill>
      <patternFill patternType="solid">
        <fgColor rgb="FFFFCDF4"/>
        <bgColor rgb="FFFFCDF4"/>
      </patternFill>
    </fill>
    <fill>
      <patternFill patternType="solid">
        <fgColor theme="5" tint="0.39997558519241921"/>
        <bgColor rgb="FFFFCDF4"/>
      </patternFill>
    </fill>
    <fill>
      <patternFill patternType="solid">
        <fgColor rgb="FFF7CDF3"/>
        <bgColor rgb="FFFFCDF4"/>
      </patternFill>
    </fill>
    <fill>
      <patternFill patternType="solid">
        <fgColor theme="9" tint="0.59999389629810485"/>
        <bgColor rgb="FFFEF2CB"/>
      </patternFill>
    </fill>
    <fill>
      <patternFill patternType="solid">
        <fgColor theme="9" tint="0.79998168889431442"/>
        <bgColor indexed="64"/>
      </patternFill>
    </fill>
    <fill>
      <patternFill patternType="solid">
        <fgColor rgb="FFF7CDF3"/>
        <bgColor rgb="FFFEF2CB"/>
      </patternFill>
    </fill>
    <fill>
      <patternFill patternType="solid">
        <fgColor theme="7" tint="0.79998168889431442"/>
        <bgColor rgb="FFFEF2CB"/>
      </patternFill>
    </fill>
    <fill>
      <patternFill patternType="solid">
        <fgColor rgb="FF9CC2E5"/>
        <bgColor rgb="FF9CC2E5"/>
      </patternFill>
    </fill>
    <fill>
      <patternFill patternType="solid">
        <fgColor rgb="FFDEEAF6"/>
        <bgColor rgb="FFDEEAF6"/>
      </patternFill>
    </fill>
    <fill>
      <patternFill patternType="solid">
        <fgColor rgb="FFF7CDF3"/>
        <bgColor rgb="FFDEEAF6"/>
      </patternFill>
    </fill>
    <fill>
      <patternFill patternType="solid">
        <fgColor theme="9" tint="0.59999389629810485"/>
        <bgColor rgb="FFDEEAF6"/>
      </patternFill>
    </fill>
    <fill>
      <patternFill patternType="solid">
        <fgColor rgb="FFC8C8C8"/>
        <bgColor rgb="FFC8C8C8"/>
      </patternFill>
    </fill>
    <fill>
      <patternFill patternType="solid">
        <fgColor rgb="FFECECEC"/>
        <bgColor rgb="FFECECEC"/>
      </patternFill>
    </fill>
    <fill>
      <patternFill patternType="solid">
        <fgColor rgb="FFA8D08D"/>
        <bgColor rgb="FFA8D08D"/>
      </patternFill>
    </fill>
    <fill>
      <patternFill patternType="solid">
        <fgColor rgb="FFE2EFD9"/>
        <bgColor rgb="FFE2EFD9"/>
      </patternFill>
    </fill>
    <fill>
      <patternFill patternType="solid">
        <fgColor rgb="FFFFD965"/>
        <bgColor rgb="FFFFD965"/>
      </patternFill>
    </fill>
    <fill>
      <patternFill patternType="solid">
        <fgColor theme="7" tint="0.79998168889431442"/>
        <bgColor indexed="64"/>
      </patternFill>
    </fill>
    <fill>
      <patternFill patternType="solid">
        <fgColor theme="9" tint="0.79998168889431442"/>
        <bgColor rgb="FFFEF2CB"/>
      </patternFill>
    </fill>
    <fill>
      <patternFill patternType="solid">
        <fgColor rgb="FFFFFF00"/>
        <bgColor indexed="64"/>
      </patternFill>
    </fill>
    <fill>
      <patternFill patternType="solid">
        <fgColor theme="9" tint="0.59999389629810485"/>
        <bgColor indexed="64"/>
      </patternFill>
    </fill>
    <fill>
      <patternFill patternType="solid">
        <fgColor theme="7" tint="0.79998168889431442"/>
        <bgColor rgb="FFFFCDF4"/>
      </patternFill>
    </fill>
    <fill>
      <patternFill patternType="solid">
        <fgColor theme="5"/>
        <bgColor rgb="FFFEF2CB"/>
      </patternFill>
    </fill>
  </fills>
  <borders count="5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8">
    <xf numFmtId="0" fontId="0" fillId="0" borderId="0"/>
    <xf numFmtId="0" fontId="5" fillId="0" borderId="0"/>
    <xf numFmtId="0" fontId="7" fillId="0" borderId="0" applyNumberFormat="0" applyFill="0" applyBorder="0" applyAlignment="0" applyProtection="0"/>
    <xf numFmtId="0" fontId="6" fillId="0" borderId="0"/>
    <xf numFmtId="164" fontId="6" fillId="0" borderId="0" applyFont="0" applyFill="0" applyBorder="0" applyAlignment="0" applyProtection="0"/>
    <xf numFmtId="9" fontId="6" fillId="0" borderId="0" applyFont="0" applyFill="0" applyBorder="0" applyAlignment="0" applyProtection="0"/>
    <xf numFmtId="0" fontId="6" fillId="0" borderId="0"/>
    <xf numFmtId="175" fontId="6" fillId="0" borderId="0" applyFont="0" applyFill="0" applyBorder="0" applyAlignment="0" applyProtection="0"/>
  </cellStyleXfs>
  <cellXfs count="403">
    <xf numFmtId="0" fontId="0" fillId="0" borderId="0" xfId="0"/>
    <xf numFmtId="0" fontId="0" fillId="2" borderId="0" xfId="0" applyFill="1"/>
    <xf numFmtId="0" fontId="1" fillId="2" borderId="0" xfId="0" applyFont="1" applyFill="1"/>
    <xf numFmtId="0" fontId="1" fillId="2" borderId="2" xfId="0" applyFont="1" applyFill="1" applyBorder="1" applyAlignment="1">
      <alignment horizontal="center"/>
    </xf>
    <xf numFmtId="0" fontId="0" fillId="2" borderId="2" xfId="0" applyFill="1" applyBorder="1"/>
    <xf numFmtId="0" fontId="1" fillId="2" borderId="2" xfId="0" applyFont="1" applyFill="1" applyBorder="1" applyAlignment="1">
      <alignment horizontal="center" vertical="center"/>
    </xf>
    <xf numFmtId="0" fontId="0" fillId="2" borderId="2" xfId="0" applyFill="1" applyBorder="1" applyAlignment="1">
      <alignment vertical="center" wrapText="1"/>
    </xf>
    <xf numFmtId="0" fontId="4" fillId="0" borderId="0" xfId="0" applyFont="1"/>
    <xf numFmtId="0" fontId="0" fillId="3" borderId="0" xfId="0" applyFill="1"/>
    <xf numFmtId="0" fontId="5" fillId="0" borderId="0" xfId="0" applyFont="1"/>
    <xf numFmtId="167" fontId="5" fillId="0" borderId="0" xfId="0" applyNumberFormat="1" applyFont="1"/>
    <xf numFmtId="2" fontId="5" fillId="0" borderId="0" xfId="0" applyNumberFormat="1" applyFont="1"/>
    <xf numFmtId="166" fontId="5" fillId="0" borderId="0" xfId="0" applyNumberFormat="1" applyFont="1"/>
    <xf numFmtId="0" fontId="8" fillId="0" borderId="0" xfId="0" applyFont="1"/>
    <xf numFmtId="0" fontId="8" fillId="0" borderId="1" xfId="0" applyFont="1" applyBorder="1" applyAlignment="1">
      <alignment horizontal="center" vertical="center"/>
    </xf>
    <xf numFmtId="1" fontId="8" fillId="0" borderId="1" xfId="0" applyNumberFormat="1" applyFont="1" applyBorder="1" applyAlignment="1">
      <alignment horizontal="center" vertical="center"/>
    </xf>
    <xf numFmtId="0" fontId="8" fillId="0" borderId="0" xfId="0" applyFont="1" applyAlignment="1">
      <alignment horizontal="center" vertical="center"/>
    </xf>
    <xf numFmtId="0" fontId="5" fillId="0" borderId="3" xfId="0" applyFont="1" applyBorder="1"/>
    <xf numFmtId="0" fontId="9" fillId="0" borderId="0" xfId="0" applyFont="1"/>
    <xf numFmtId="0" fontId="10" fillId="0" borderId="3" xfId="0" applyFont="1" applyBorder="1"/>
    <xf numFmtId="0" fontId="11" fillId="0" borderId="0" xfId="0" applyFont="1"/>
    <xf numFmtId="2" fontId="5" fillId="0" borderId="0" xfId="0" applyNumberFormat="1" applyFont="1" applyAlignment="1">
      <alignment horizontal="center" vertical="center"/>
    </xf>
    <xf numFmtId="0" fontId="13" fillId="0" borderId="3" xfId="0" applyFont="1" applyBorder="1"/>
    <xf numFmtId="0" fontId="8" fillId="3" borderId="0" xfId="0" applyFont="1" applyFill="1" applyAlignment="1">
      <alignment horizontal="center" vertical="center"/>
    </xf>
    <xf numFmtId="0" fontId="5" fillId="3" borderId="0" xfId="0" applyFont="1" applyFill="1"/>
    <xf numFmtId="0" fontId="8" fillId="3" borderId="0" xfId="0" applyFont="1" applyFill="1" applyAlignment="1">
      <alignment horizontal="left" vertical="center"/>
    </xf>
    <xf numFmtId="0" fontId="5" fillId="3" borderId="0" xfId="0" applyFont="1" applyFill="1" applyAlignment="1">
      <alignment horizontal="center" vertical="center"/>
    </xf>
    <xf numFmtId="2" fontId="8" fillId="0" borderId="0" xfId="0" applyNumberFormat="1" applyFont="1" applyAlignment="1">
      <alignment horizontal="center" vertical="center"/>
    </xf>
    <xf numFmtId="0" fontId="11" fillId="0" borderId="0" xfId="0" applyFont="1" applyAlignment="1">
      <alignment horizontal="left" vertical="center" indent="1"/>
    </xf>
    <xf numFmtId="1" fontId="8" fillId="0" borderId="0" xfId="0" applyNumberFormat="1" applyFont="1" applyAlignment="1">
      <alignment horizontal="center" vertical="center"/>
    </xf>
    <xf numFmtId="0" fontId="5" fillId="0" borderId="0" xfId="0" applyFont="1" applyAlignment="1">
      <alignment vertical="center" wrapText="1"/>
    </xf>
    <xf numFmtId="0" fontId="14" fillId="0" borderId="0" xfId="0" applyFont="1" applyAlignment="1">
      <alignment horizontal="left" vertical="center"/>
    </xf>
    <xf numFmtId="0" fontId="15" fillId="0" borderId="0" xfId="0" applyFont="1" applyAlignment="1">
      <alignment horizontal="center" vertical="center"/>
    </xf>
    <xf numFmtId="1" fontId="15" fillId="0" borderId="0" xfId="0" applyNumberFormat="1" applyFont="1" applyAlignment="1">
      <alignment horizontal="center" vertical="center"/>
    </xf>
    <xf numFmtId="0" fontId="16" fillId="0" borderId="0" xfId="0" applyFont="1"/>
    <xf numFmtId="0" fontId="17" fillId="0" borderId="0" xfId="0" applyFont="1"/>
    <xf numFmtId="0" fontId="18" fillId="0" borderId="0" xfId="0" applyFont="1"/>
    <xf numFmtId="0" fontId="5" fillId="0" borderId="2" xfId="0" applyFont="1" applyBorder="1"/>
    <xf numFmtId="0" fontId="5" fillId="0" borderId="0" xfId="0" applyFont="1" applyAlignment="1">
      <alignment horizontal="center"/>
    </xf>
    <xf numFmtId="0" fontId="9" fillId="0" borderId="3" xfId="0" applyFont="1" applyBorder="1" applyAlignment="1">
      <alignment horizontal="center"/>
    </xf>
    <xf numFmtId="0" fontId="11" fillId="0" borderId="3" xfId="0" applyFont="1" applyBorder="1" applyAlignment="1">
      <alignment horizontal="center"/>
    </xf>
    <xf numFmtId="0" fontId="5" fillId="0" borderId="3" xfId="0" applyFont="1" applyBorder="1" applyAlignment="1">
      <alignment horizontal="center"/>
    </xf>
    <xf numFmtId="0" fontId="5" fillId="3" borderId="0" xfId="0" applyFont="1" applyFill="1" applyAlignment="1">
      <alignment horizontal="center"/>
    </xf>
    <xf numFmtId="0" fontId="9" fillId="0" borderId="0" xfId="0" applyFont="1" applyAlignment="1">
      <alignment horizontal="center"/>
    </xf>
    <xf numFmtId="0" fontId="17" fillId="0" borderId="0" xfId="0" applyFont="1" applyAlignment="1">
      <alignment horizontal="center"/>
    </xf>
    <xf numFmtId="0" fontId="8" fillId="0" borderId="0" xfId="0" applyFont="1" applyAlignment="1">
      <alignment horizontal="center"/>
    </xf>
    <xf numFmtId="0" fontId="5" fillId="0" borderId="0" xfId="3" applyFont="1" applyAlignment="1">
      <alignment horizontal="left" vertical="center"/>
    </xf>
    <xf numFmtId="0" fontId="8" fillId="0" borderId="0" xfId="3" applyFont="1" applyAlignment="1">
      <alignment horizontal="left" vertical="center"/>
    </xf>
    <xf numFmtId="1" fontId="5" fillId="0" borderId="0" xfId="0" applyNumberFormat="1" applyFont="1"/>
    <xf numFmtId="0" fontId="20" fillId="0" borderId="0" xfId="3" applyFont="1" applyAlignment="1">
      <alignment horizontal="left" vertical="center"/>
    </xf>
    <xf numFmtId="165" fontId="11" fillId="0" borderId="0" xfId="0" applyNumberFormat="1" applyFont="1"/>
    <xf numFmtId="0" fontId="11" fillId="0" borderId="3" xfId="0" applyFont="1" applyBorder="1"/>
    <xf numFmtId="0" fontId="21" fillId="0" borderId="0" xfId="0" applyFont="1"/>
    <xf numFmtId="0" fontId="15" fillId="0" borderId="0" xfId="0" applyFont="1"/>
    <xf numFmtId="168" fontId="15" fillId="0" borderId="0" xfId="0" applyNumberFormat="1" applyFont="1" applyAlignment="1">
      <alignment horizontal="center" vertical="center"/>
    </xf>
    <xf numFmtId="0" fontId="11" fillId="0" borderId="0" xfId="0" applyFont="1" applyAlignment="1">
      <alignment wrapText="1"/>
    </xf>
    <xf numFmtId="0" fontId="12" fillId="0" borderId="0" xfId="0" applyFont="1" applyAlignment="1">
      <alignment wrapText="1"/>
    </xf>
    <xf numFmtId="0" fontId="8" fillId="0" borderId="0" xfId="0" applyFont="1" applyAlignment="1">
      <alignment wrapText="1"/>
    </xf>
    <xf numFmtId="0" fontId="5" fillId="0" borderId="0" xfId="0" applyFont="1" applyAlignment="1">
      <alignment wrapText="1"/>
    </xf>
    <xf numFmtId="0" fontId="5" fillId="0" borderId="0" xfId="0" applyFont="1" applyAlignment="1">
      <alignment horizontal="right"/>
    </xf>
    <xf numFmtId="2" fontId="5" fillId="0" borderId="0" xfId="0" applyNumberFormat="1" applyFont="1" applyAlignment="1">
      <alignment horizontal="right"/>
    </xf>
    <xf numFmtId="2" fontId="5" fillId="0" borderId="0" xfId="0" applyNumberFormat="1" applyFont="1" applyAlignment="1">
      <alignment horizontal="right" vertical="center"/>
    </xf>
    <xf numFmtId="0" fontId="5" fillId="0" borderId="0" xfId="0" applyFont="1" applyAlignment="1">
      <alignment horizontal="right" vertical="center"/>
    </xf>
    <xf numFmtId="165" fontId="11" fillId="0" borderId="0" xfId="0" applyNumberFormat="1" applyFont="1" applyAlignment="1">
      <alignment horizontal="right"/>
    </xf>
    <xf numFmtId="0" fontId="8" fillId="0" borderId="0" xfId="0" applyFont="1" applyAlignment="1">
      <alignment horizontal="right" vertical="center"/>
    </xf>
    <xf numFmtId="0" fontId="15" fillId="0" borderId="0" xfId="0" applyFont="1" applyAlignment="1">
      <alignment horizontal="right" vertical="center"/>
    </xf>
    <xf numFmtId="1" fontId="8" fillId="0" borderId="0" xfId="0" applyNumberFormat="1" applyFont="1" applyAlignment="1">
      <alignment horizontal="right" vertical="center"/>
    </xf>
    <xf numFmtId="166" fontId="5" fillId="0" borderId="0" xfId="0" applyNumberFormat="1" applyFont="1" applyAlignment="1">
      <alignment horizontal="right" vertical="center"/>
    </xf>
    <xf numFmtId="165" fontId="5" fillId="0" borderId="0" xfId="0" applyNumberFormat="1" applyFont="1" applyAlignment="1">
      <alignment horizontal="right" vertical="center"/>
    </xf>
    <xf numFmtId="167" fontId="5" fillId="0" borderId="0" xfId="0" applyNumberFormat="1" applyFont="1" applyAlignment="1">
      <alignment horizontal="right" vertical="center"/>
    </xf>
    <xf numFmtId="165" fontId="5" fillId="0" borderId="0" xfId="0" applyNumberFormat="1" applyFont="1" applyAlignment="1">
      <alignment horizontal="center" vertical="center"/>
    </xf>
    <xf numFmtId="2" fontId="12" fillId="0" borderId="0" xfId="0" applyNumberFormat="1" applyFont="1" applyAlignment="1">
      <alignment horizontal="right"/>
    </xf>
    <xf numFmtId="165" fontId="12" fillId="0" borderId="0" xfId="0" applyNumberFormat="1" applyFont="1" applyAlignment="1">
      <alignment horizontal="right" vertical="center"/>
    </xf>
    <xf numFmtId="165" fontId="15" fillId="0" borderId="0" xfId="0" applyNumberFormat="1" applyFont="1"/>
    <xf numFmtId="0" fontId="5" fillId="0" borderId="3" xfId="0" applyFont="1" applyBorder="1" applyAlignment="1">
      <alignment horizontal="center" vertical="center"/>
    </xf>
    <xf numFmtId="0" fontId="5" fillId="0" borderId="3" xfId="0" applyFont="1" applyBorder="1" applyAlignment="1">
      <alignment horizontal="left" vertical="center"/>
    </xf>
    <xf numFmtId="0" fontId="8" fillId="0" borderId="4" xfId="0" applyFont="1" applyBorder="1"/>
    <xf numFmtId="0" fontId="8" fillId="0" borderId="17" xfId="0" applyFont="1" applyBorder="1"/>
    <xf numFmtId="165" fontId="8" fillId="3" borderId="0" xfId="0" applyNumberFormat="1" applyFont="1" applyFill="1" applyAlignment="1">
      <alignment horizontal="right" vertical="center"/>
    </xf>
    <xf numFmtId="1" fontId="5" fillId="0" borderId="0" xfId="0" applyNumberFormat="1" applyFont="1" applyAlignment="1">
      <alignment horizontal="right" vertical="center"/>
    </xf>
    <xf numFmtId="0" fontId="23" fillId="0" borderId="0" xfId="0" applyFont="1"/>
    <xf numFmtId="0" fontId="23" fillId="0" borderId="0" xfId="0" applyFont="1" applyAlignment="1">
      <alignment horizontal="center"/>
    </xf>
    <xf numFmtId="0" fontId="0" fillId="0" borderId="0" xfId="0" applyAlignment="1">
      <alignment horizontal="center"/>
    </xf>
    <xf numFmtId="166" fontId="0" fillId="0" borderId="0" xfId="0" applyNumberFormat="1" applyAlignment="1">
      <alignment horizontal="center"/>
    </xf>
    <xf numFmtId="167" fontId="0" fillId="0" borderId="0" xfId="0" applyNumberFormat="1" applyAlignment="1">
      <alignment horizontal="center"/>
    </xf>
    <xf numFmtId="0" fontId="25" fillId="0" borderId="0" xfId="0" applyFont="1"/>
    <xf numFmtId="0" fontId="25" fillId="0" borderId="0" xfId="0" applyFont="1" applyAlignment="1">
      <alignment horizontal="center"/>
    </xf>
    <xf numFmtId="2" fontId="8" fillId="0" borderId="0" xfId="0" applyNumberFormat="1" applyFont="1"/>
    <xf numFmtId="2" fontId="0" fillId="0" borderId="0" xfId="0" applyNumberFormat="1" applyAlignment="1">
      <alignment horizontal="center"/>
    </xf>
    <xf numFmtId="168" fontId="0" fillId="0" borderId="0" xfId="0" applyNumberFormat="1"/>
    <xf numFmtId="169" fontId="0" fillId="0" borderId="0" xfId="0" applyNumberFormat="1"/>
    <xf numFmtId="169" fontId="0" fillId="0" borderId="0" xfId="0" applyNumberFormat="1" applyAlignment="1">
      <alignment horizontal="center"/>
    </xf>
    <xf numFmtId="0" fontId="5" fillId="0" borderId="0" xfId="0" applyFont="1" applyAlignment="1">
      <alignment vertical="center"/>
    </xf>
    <xf numFmtId="0" fontId="0" fillId="0" borderId="0" xfId="0" applyAlignment="1">
      <alignment vertical="center"/>
    </xf>
    <xf numFmtId="0" fontId="20" fillId="0" borderId="0" xfId="0" applyFont="1" applyAlignment="1">
      <alignment horizontal="center" vertical="center"/>
    </xf>
    <xf numFmtId="0" fontId="26" fillId="0" borderId="0" xfId="0" applyFont="1" applyAlignment="1">
      <alignment horizontal="center" vertical="center"/>
    </xf>
    <xf numFmtId="0" fontId="26" fillId="4" borderId="18" xfId="0" applyFont="1" applyFill="1" applyBorder="1" applyAlignment="1">
      <alignment horizontal="center" vertical="center"/>
    </xf>
    <xf numFmtId="0" fontId="26" fillId="4" borderId="19" xfId="0" applyFont="1" applyFill="1" applyBorder="1" applyAlignment="1">
      <alignment horizontal="left" vertical="center"/>
    </xf>
    <xf numFmtId="0" fontId="26" fillId="4" borderId="20" xfId="0" applyFont="1" applyFill="1" applyBorder="1" applyAlignment="1">
      <alignment horizontal="left" vertical="center"/>
    </xf>
    <xf numFmtId="0" fontId="26" fillId="5" borderId="20" xfId="0" applyFont="1" applyFill="1" applyBorder="1" applyAlignment="1">
      <alignment horizontal="left" vertical="center"/>
    </xf>
    <xf numFmtId="0" fontId="26" fillId="4" borderId="19" xfId="0" applyFont="1" applyFill="1" applyBorder="1" applyAlignment="1">
      <alignment horizontal="center" vertical="center"/>
    </xf>
    <xf numFmtId="0" fontId="26" fillId="4" borderId="21" xfId="0" applyFont="1" applyFill="1" applyBorder="1" applyAlignment="1">
      <alignment horizontal="left" vertical="center"/>
    </xf>
    <xf numFmtId="0" fontId="20" fillId="0" borderId="0" xfId="0" applyFont="1"/>
    <xf numFmtId="0" fontId="27" fillId="0" borderId="0" xfId="0" applyFont="1" applyAlignment="1">
      <alignment horizontal="left" vertical="center"/>
    </xf>
    <xf numFmtId="0" fontId="28" fillId="0" borderId="0" xfId="0" applyFont="1" applyAlignment="1">
      <alignment vertical="center"/>
    </xf>
    <xf numFmtId="0" fontId="27" fillId="6" borderId="22" xfId="0" applyFont="1" applyFill="1" applyBorder="1" applyAlignment="1">
      <alignment horizontal="center" vertical="center"/>
    </xf>
    <xf numFmtId="0" fontId="27" fillId="6" borderId="23" xfId="0" applyFont="1" applyFill="1" applyBorder="1" applyAlignment="1">
      <alignment horizontal="left" vertical="center"/>
    </xf>
    <xf numFmtId="0" fontId="27" fillId="6" borderId="23" xfId="0" applyFont="1" applyFill="1" applyBorder="1" applyAlignment="1">
      <alignment horizontal="center" vertical="center"/>
    </xf>
    <xf numFmtId="0" fontId="27" fillId="6" borderId="24" xfId="0" applyFont="1" applyFill="1" applyBorder="1" applyAlignment="1">
      <alignment horizontal="left" vertical="center"/>
    </xf>
    <xf numFmtId="0" fontId="7" fillId="6" borderId="25" xfId="0" applyFont="1" applyFill="1" applyBorder="1" applyAlignment="1">
      <alignment horizontal="center" vertical="center"/>
    </xf>
    <xf numFmtId="0" fontId="29" fillId="7" borderId="0" xfId="0" applyFont="1" applyFill="1" applyAlignment="1">
      <alignment horizontal="left" vertical="center"/>
    </xf>
    <xf numFmtId="0" fontId="30" fillId="7" borderId="0" xfId="0" applyFont="1" applyFill="1" applyAlignment="1">
      <alignment horizontal="left" vertical="center"/>
    </xf>
    <xf numFmtId="0" fontId="30" fillId="7" borderId="0" xfId="0" applyFont="1" applyFill="1" applyAlignment="1">
      <alignment horizontal="center" vertical="center"/>
    </xf>
    <xf numFmtId="0" fontId="27" fillId="7" borderId="0" xfId="0" applyFont="1" applyFill="1" applyAlignment="1">
      <alignment horizontal="center" vertical="center"/>
    </xf>
    <xf numFmtId="0" fontId="27" fillId="6" borderId="26" xfId="0" applyFont="1" applyFill="1" applyBorder="1" applyAlignment="1">
      <alignment horizontal="left" vertical="center"/>
    </xf>
    <xf numFmtId="0" fontId="27" fillId="6" borderId="25" xfId="0" applyFont="1" applyFill="1" applyBorder="1" applyAlignment="1">
      <alignment horizontal="center" vertical="center"/>
    </xf>
    <xf numFmtId="0" fontId="31" fillId="7" borderId="0" xfId="0" applyFont="1" applyFill="1" applyAlignment="1">
      <alignment horizontal="left" vertical="center"/>
    </xf>
    <xf numFmtId="0" fontId="27" fillId="7" borderId="0" xfId="0" applyFont="1" applyFill="1" applyAlignment="1">
      <alignment horizontal="left" vertical="center"/>
    </xf>
    <xf numFmtId="3" fontId="27" fillId="7" borderId="0" xfId="0" applyNumberFormat="1" applyFont="1" applyFill="1" applyAlignment="1">
      <alignment horizontal="left" vertical="center"/>
    </xf>
    <xf numFmtId="3" fontId="27" fillId="7" borderId="0" xfId="0" applyNumberFormat="1" applyFont="1" applyFill="1" applyAlignment="1">
      <alignment horizontal="center" vertical="center"/>
    </xf>
    <xf numFmtId="3" fontId="27" fillId="8" borderId="0" xfId="0" applyNumberFormat="1" applyFont="1" applyFill="1" applyAlignment="1">
      <alignment horizontal="left" vertical="center"/>
    </xf>
    <xf numFmtId="3" fontId="27" fillId="9" borderId="0" xfId="0" applyNumberFormat="1" applyFont="1" applyFill="1" applyAlignment="1">
      <alignment horizontal="left" vertical="center"/>
    </xf>
    <xf numFmtId="167" fontId="27" fillId="7" borderId="0" xfId="0" applyNumberFormat="1" applyFont="1" applyFill="1" applyAlignment="1">
      <alignment horizontal="left" vertical="center"/>
    </xf>
    <xf numFmtId="167" fontId="27" fillId="7" borderId="0" xfId="0" applyNumberFormat="1" applyFont="1" applyFill="1" applyAlignment="1">
      <alignment horizontal="center" vertical="center"/>
    </xf>
    <xf numFmtId="0" fontId="27" fillId="10" borderId="0" xfId="0" applyFont="1" applyFill="1" applyAlignment="1">
      <alignment horizontal="center" vertical="center"/>
    </xf>
    <xf numFmtId="0" fontId="27" fillId="11" borderId="0" xfId="0" applyFont="1" applyFill="1" applyAlignment="1">
      <alignment horizontal="center" vertical="center"/>
    </xf>
    <xf numFmtId="0" fontId="27" fillId="12" borderId="0" xfId="0" applyFont="1" applyFill="1" applyAlignment="1">
      <alignment horizontal="center" vertical="center"/>
    </xf>
    <xf numFmtId="167" fontId="27" fillId="8" borderId="0" xfId="0" applyNumberFormat="1" applyFont="1" applyFill="1" applyAlignment="1">
      <alignment horizontal="left" vertical="center"/>
    </xf>
    <xf numFmtId="0" fontId="30" fillId="0" borderId="0" xfId="0" applyFont="1" applyAlignment="1">
      <alignment horizontal="center" vertical="center"/>
    </xf>
    <xf numFmtId="0" fontId="30" fillId="6" borderId="25" xfId="0" applyFont="1" applyFill="1" applyBorder="1" applyAlignment="1">
      <alignment horizontal="center" vertical="center"/>
    </xf>
    <xf numFmtId="167" fontId="30" fillId="7" borderId="0" xfId="0" applyNumberFormat="1" applyFont="1" applyFill="1" applyAlignment="1">
      <alignment horizontal="left" vertical="center"/>
    </xf>
    <xf numFmtId="167" fontId="30" fillId="7" borderId="0" xfId="0" applyNumberFormat="1" applyFont="1" applyFill="1" applyAlignment="1">
      <alignment horizontal="center" vertical="center"/>
    </xf>
    <xf numFmtId="0" fontId="30" fillId="6" borderId="26" xfId="0" applyFont="1" applyFill="1" applyBorder="1" applyAlignment="1">
      <alignment horizontal="left" vertical="center"/>
    </xf>
    <xf numFmtId="0" fontId="27" fillId="6" borderId="0" xfId="0" applyFont="1" applyFill="1" applyAlignment="1">
      <alignment horizontal="left" vertical="center"/>
    </xf>
    <xf numFmtId="0" fontId="27" fillId="6" borderId="0" xfId="0" applyFont="1" applyFill="1" applyAlignment="1">
      <alignment horizontal="center" vertical="center"/>
    </xf>
    <xf numFmtId="0" fontId="27" fillId="6" borderId="27" xfId="0" applyFont="1" applyFill="1" applyBorder="1" applyAlignment="1">
      <alignment horizontal="center" vertical="center"/>
    </xf>
    <xf numFmtId="0" fontId="27" fillId="6" borderId="20" xfId="0" applyFont="1" applyFill="1" applyBorder="1" applyAlignment="1">
      <alignment horizontal="left" vertical="center"/>
    </xf>
    <xf numFmtId="0" fontId="27" fillId="6" borderId="20" xfId="0" applyFont="1" applyFill="1" applyBorder="1" applyAlignment="1">
      <alignment horizontal="center" vertical="center"/>
    </xf>
    <xf numFmtId="0" fontId="27" fillId="6" borderId="28" xfId="0" applyFont="1" applyFill="1" applyBorder="1" applyAlignment="1">
      <alignment horizontal="left" vertical="center"/>
    </xf>
    <xf numFmtId="1" fontId="27" fillId="7" borderId="0" xfId="0" applyNumberFormat="1" applyFont="1" applyFill="1" applyAlignment="1">
      <alignment horizontal="center" vertical="center"/>
    </xf>
    <xf numFmtId="3" fontId="5" fillId="7" borderId="0" xfId="0" applyNumberFormat="1" applyFont="1" applyFill="1" applyAlignment="1">
      <alignment horizontal="left"/>
    </xf>
    <xf numFmtId="3" fontId="5" fillId="7" borderId="0" xfId="0" applyNumberFormat="1" applyFont="1" applyFill="1" applyAlignment="1">
      <alignment horizontal="center"/>
    </xf>
    <xf numFmtId="165" fontId="27" fillId="7" borderId="0" xfId="0" applyNumberFormat="1" applyFont="1" applyFill="1" applyAlignment="1">
      <alignment horizontal="center" vertical="center"/>
    </xf>
    <xf numFmtId="165" fontId="27" fillId="13" borderId="0" xfId="0" applyNumberFormat="1" applyFont="1" applyFill="1" applyAlignment="1">
      <alignment horizontal="center" vertical="center"/>
    </xf>
    <xf numFmtId="2" fontId="5" fillId="14" borderId="0" xfId="0" applyNumberFormat="1" applyFont="1" applyFill="1" applyAlignment="1">
      <alignment horizontal="center" vertical="center"/>
    </xf>
    <xf numFmtId="167" fontId="5" fillId="0" borderId="0" xfId="0" applyNumberFormat="1" applyFont="1" applyAlignment="1">
      <alignment horizontal="center" vertical="center"/>
    </xf>
    <xf numFmtId="2" fontId="0" fillId="14" borderId="0" xfId="0" applyNumberFormat="1" applyFill="1" applyAlignment="1">
      <alignment horizontal="center"/>
    </xf>
    <xf numFmtId="170" fontId="27" fillId="0" borderId="0" xfId="0" applyNumberFormat="1" applyFont="1" applyAlignment="1">
      <alignment horizontal="center" vertical="center"/>
    </xf>
    <xf numFmtId="3" fontId="27" fillId="8" borderId="0" xfId="0" applyNumberFormat="1" applyFont="1" applyFill="1" applyAlignment="1">
      <alignment horizontal="center" vertical="center"/>
    </xf>
    <xf numFmtId="1" fontId="27" fillId="7" borderId="0" xfId="0" applyNumberFormat="1" applyFont="1" applyFill="1" applyAlignment="1">
      <alignment horizontal="left" vertical="center"/>
    </xf>
    <xf numFmtId="165" fontId="27" fillId="10" borderId="0" xfId="0" applyNumberFormat="1" applyFont="1" applyFill="1" applyAlignment="1">
      <alignment horizontal="center" vertical="center"/>
    </xf>
    <xf numFmtId="165" fontId="27" fillId="11" borderId="0" xfId="0" applyNumberFormat="1" applyFont="1" applyFill="1" applyAlignment="1">
      <alignment horizontal="center" vertical="center"/>
    </xf>
    <xf numFmtId="167" fontId="27" fillId="8" borderId="0" xfId="0" applyNumberFormat="1" applyFont="1" applyFill="1" applyAlignment="1">
      <alignment horizontal="center" vertical="center"/>
    </xf>
    <xf numFmtId="171" fontId="27" fillId="7" borderId="0" xfId="0" applyNumberFormat="1" applyFont="1" applyFill="1" applyAlignment="1">
      <alignment horizontal="left" vertical="center"/>
    </xf>
    <xf numFmtId="171" fontId="27" fillId="7" borderId="0" xfId="0" applyNumberFormat="1" applyFont="1" applyFill="1" applyAlignment="1">
      <alignment horizontal="center" vertical="center"/>
    </xf>
    <xf numFmtId="165" fontId="27" fillId="15" borderId="0" xfId="0" applyNumberFormat="1" applyFont="1" applyFill="1" applyAlignment="1">
      <alignment horizontal="center" vertical="center"/>
    </xf>
    <xf numFmtId="171" fontId="27" fillId="8" borderId="0" xfId="0" applyNumberFormat="1" applyFont="1" applyFill="1" applyAlignment="1">
      <alignment horizontal="left" vertical="center"/>
    </xf>
    <xf numFmtId="171" fontId="27" fillId="9" borderId="0" xfId="0" applyNumberFormat="1" applyFont="1" applyFill="1" applyAlignment="1">
      <alignment horizontal="left" vertical="center"/>
    </xf>
    <xf numFmtId="0" fontId="27" fillId="8" borderId="0" xfId="0" applyFont="1" applyFill="1" applyAlignment="1">
      <alignment horizontal="left" vertical="center"/>
    </xf>
    <xf numFmtId="0" fontId="27" fillId="9" borderId="0" xfId="0" applyFont="1" applyFill="1" applyAlignment="1">
      <alignment horizontal="left" vertical="center"/>
    </xf>
    <xf numFmtId="167" fontId="27" fillId="16" borderId="0" xfId="0" applyNumberFormat="1" applyFont="1" applyFill="1" applyAlignment="1">
      <alignment horizontal="center" vertical="center"/>
    </xf>
    <xf numFmtId="0" fontId="27" fillId="6" borderId="26" xfId="0" applyFont="1" applyFill="1" applyBorder="1" applyAlignment="1">
      <alignment horizontal="center" vertical="center"/>
    </xf>
    <xf numFmtId="0" fontId="27" fillId="17" borderId="22" xfId="0" applyFont="1" applyFill="1" applyBorder="1" applyAlignment="1">
      <alignment horizontal="center" vertical="center"/>
    </xf>
    <xf numFmtId="0" fontId="27" fillId="17" borderId="23" xfId="0" applyFont="1" applyFill="1" applyBorder="1" applyAlignment="1">
      <alignment horizontal="left" vertical="center"/>
    </xf>
    <xf numFmtId="0" fontId="27" fillId="17" borderId="23" xfId="0" applyFont="1" applyFill="1" applyBorder="1" applyAlignment="1">
      <alignment horizontal="center" vertical="center"/>
    </xf>
    <xf numFmtId="0" fontId="27" fillId="17" borderId="24" xfId="0" applyFont="1" applyFill="1" applyBorder="1" applyAlignment="1">
      <alignment horizontal="left" vertical="center"/>
    </xf>
    <xf numFmtId="0" fontId="7" fillId="17" borderId="25" xfId="0" applyFont="1" applyFill="1" applyBorder="1" applyAlignment="1">
      <alignment horizontal="center" vertical="center"/>
    </xf>
    <xf numFmtId="0" fontId="29" fillId="18" borderId="0" xfId="0" applyFont="1" applyFill="1" applyAlignment="1">
      <alignment horizontal="left" vertical="center"/>
    </xf>
    <xf numFmtId="0" fontId="30" fillId="18" borderId="0" xfId="0" applyFont="1" applyFill="1" applyAlignment="1">
      <alignment horizontal="left" vertical="center"/>
    </xf>
    <xf numFmtId="0" fontId="30" fillId="18" borderId="0" xfId="0" applyFont="1" applyFill="1" applyAlignment="1">
      <alignment horizontal="center" vertical="center"/>
    </xf>
    <xf numFmtId="0" fontId="27" fillId="18" borderId="0" xfId="0" applyFont="1" applyFill="1" applyAlignment="1">
      <alignment horizontal="center" vertical="center"/>
    </xf>
    <xf numFmtId="0" fontId="27" fillId="17" borderId="26" xfId="0" applyFont="1" applyFill="1" applyBorder="1" applyAlignment="1">
      <alignment horizontal="left" vertical="center"/>
    </xf>
    <xf numFmtId="0" fontId="27" fillId="17" borderId="25" xfId="0" applyFont="1" applyFill="1" applyBorder="1" applyAlignment="1">
      <alignment horizontal="center" vertical="center"/>
    </xf>
    <xf numFmtId="0" fontId="31" fillId="18" borderId="0" xfId="0" applyFont="1" applyFill="1" applyAlignment="1">
      <alignment horizontal="left" vertical="center"/>
    </xf>
    <xf numFmtId="0" fontId="27" fillId="18" borderId="0" xfId="0" applyFont="1" applyFill="1" applyAlignment="1">
      <alignment horizontal="left" vertical="center"/>
    </xf>
    <xf numFmtId="1" fontId="27" fillId="10" borderId="0" xfId="0" applyNumberFormat="1" applyFont="1" applyFill="1" applyAlignment="1">
      <alignment horizontal="center" vertical="center"/>
    </xf>
    <xf numFmtId="0" fontId="27" fillId="0" borderId="0" xfId="0" applyFont="1"/>
    <xf numFmtId="1" fontId="27" fillId="18" borderId="0" xfId="0" applyNumberFormat="1" applyFont="1" applyFill="1" applyAlignment="1">
      <alignment horizontal="left" vertical="center"/>
    </xf>
    <xf numFmtId="1" fontId="27" fillId="18" borderId="0" xfId="0" applyNumberFormat="1" applyFont="1" applyFill="1" applyAlignment="1">
      <alignment horizontal="center" vertical="center"/>
    </xf>
    <xf numFmtId="0" fontId="27" fillId="17" borderId="0" xfId="0" applyFont="1" applyFill="1" applyAlignment="1">
      <alignment horizontal="left" vertical="center"/>
    </xf>
    <xf numFmtId="0" fontId="27" fillId="0" borderId="0" xfId="0" applyFont="1" applyAlignment="1">
      <alignment vertical="center"/>
    </xf>
    <xf numFmtId="9" fontId="32" fillId="0" borderId="0" xfId="0" applyNumberFormat="1" applyFont="1" applyAlignment="1">
      <alignment horizontal="center" vertical="center"/>
    </xf>
    <xf numFmtId="10" fontId="27" fillId="18" borderId="0" xfId="0" applyNumberFormat="1" applyFont="1" applyFill="1" applyAlignment="1">
      <alignment horizontal="center" vertical="center"/>
    </xf>
    <xf numFmtId="9" fontId="33" fillId="18" borderId="0" xfId="0" applyNumberFormat="1" applyFont="1" applyFill="1" applyAlignment="1">
      <alignment horizontal="center" vertical="center"/>
    </xf>
    <xf numFmtId="166" fontId="27" fillId="17" borderId="0" xfId="0" applyNumberFormat="1" applyFont="1" applyFill="1" applyAlignment="1">
      <alignment horizontal="left" vertical="center"/>
    </xf>
    <xf numFmtId="166" fontId="27" fillId="17" borderId="0" xfId="0" applyNumberFormat="1" applyFont="1" applyFill="1" applyAlignment="1">
      <alignment horizontal="center" vertical="center"/>
    </xf>
    <xf numFmtId="171" fontId="27" fillId="18" borderId="0" xfId="0" applyNumberFormat="1" applyFont="1" applyFill="1" applyAlignment="1">
      <alignment horizontal="left" vertical="center"/>
    </xf>
    <xf numFmtId="171" fontId="27" fillId="18" borderId="0" xfId="0" applyNumberFormat="1" applyFont="1" applyFill="1" applyAlignment="1">
      <alignment horizontal="center" vertical="center"/>
    </xf>
    <xf numFmtId="166" fontId="27" fillId="12" borderId="0" xfId="0" applyNumberFormat="1" applyFont="1" applyFill="1" applyAlignment="1">
      <alignment horizontal="center" vertical="center"/>
    </xf>
    <xf numFmtId="166" fontId="27" fillId="18" borderId="0" xfId="0" applyNumberFormat="1" applyFont="1" applyFill="1" applyAlignment="1">
      <alignment horizontal="left" vertical="center"/>
    </xf>
    <xf numFmtId="166" fontId="27" fillId="18" borderId="0" xfId="0" applyNumberFormat="1" applyFont="1" applyFill="1" applyAlignment="1">
      <alignment horizontal="center" vertical="center"/>
    </xf>
    <xf numFmtId="166" fontId="27" fillId="19" borderId="0" xfId="0" applyNumberFormat="1" applyFont="1" applyFill="1" applyAlignment="1">
      <alignment horizontal="center" vertical="center"/>
    </xf>
    <xf numFmtId="0" fontId="27" fillId="17" borderId="27" xfId="0" applyFont="1" applyFill="1" applyBorder="1" applyAlignment="1">
      <alignment horizontal="center" vertical="center"/>
    </xf>
    <xf numFmtId="0" fontId="27" fillId="17" borderId="20" xfId="0" applyFont="1" applyFill="1" applyBorder="1"/>
    <xf numFmtId="0" fontId="27" fillId="17" borderId="20" xfId="0" applyFont="1" applyFill="1" applyBorder="1" applyAlignment="1">
      <alignment horizontal="center"/>
    </xf>
    <xf numFmtId="0" fontId="27" fillId="17" borderId="20" xfId="0" applyFont="1" applyFill="1" applyBorder="1" applyAlignment="1">
      <alignment horizontal="center" vertical="center"/>
    </xf>
    <xf numFmtId="0" fontId="27" fillId="17" borderId="28" xfId="0" applyFont="1" applyFill="1" applyBorder="1" applyAlignment="1">
      <alignment horizontal="left" vertical="center"/>
    </xf>
    <xf numFmtId="0" fontId="27" fillId="0" borderId="0" xfId="0" applyFont="1" applyAlignment="1">
      <alignment horizontal="center"/>
    </xf>
    <xf numFmtId="166" fontId="27" fillId="20" borderId="0" xfId="0" applyNumberFormat="1" applyFont="1" applyFill="1" applyAlignment="1">
      <alignment horizontal="center" vertical="center"/>
    </xf>
    <xf numFmtId="0" fontId="27" fillId="17" borderId="0" xfId="0" applyFont="1" applyFill="1"/>
    <xf numFmtId="0" fontId="27" fillId="17" borderId="0" xfId="0" applyFont="1" applyFill="1" applyAlignment="1">
      <alignment horizontal="center"/>
    </xf>
    <xf numFmtId="0" fontId="27" fillId="17" borderId="0" xfId="0" applyFont="1" applyFill="1" applyAlignment="1">
      <alignment horizontal="center" vertical="center"/>
    </xf>
    <xf numFmtId="0" fontId="27" fillId="0" borderId="0" xfId="0" applyFont="1" applyAlignment="1">
      <alignment vertical="center" wrapText="1"/>
    </xf>
    <xf numFmtId="166" fontId="27" fillId="18" borderId="0" xfId="0" applyNumberFormat="1" applyFont="1" applyFill="1" applyAlignment="1">
      <alignment vertical="center"/>
    </xf>
    <xf numFmtId="166" fontId="27" fillId="20" borderId="0" xfId="0" applyNumberFormat="1" applyFont="1" applyFill="1" applyAlignment="1">
      <alignment vertical="center"/>
    </xf>
    <xf numFmtId="166" fontId="27" fillId="18" borderId="0" xfId="0" applyNumberFormat="1" applyFont="1" applyFill="1" applyAlignment="1">
      <alignment horizontal="left"/>
    </xf>
    <xf numFmtId="166" fontId="27" fillId="10" borderId="0" xfId="0" applyNumberFormat="1" applyFont="1" applyFill="1" applyAlignment="1">
      <alignment horizontal="center" vertical="center"/>
    </xf>
    <xf numFmtId="172" fontId="5" fillId="0" borderId="0" xfId="0" applyNumberFormat="1" applyFont="1"/>
    <xf numFmtId="0" fontId="27" fillId="21" borderId="22" xfId="0" applyFont="1" applyFill="1" applyBorder="1" applyAlignment="1">
      <alignment horizontal="center" vertical="center"/>
    </xf>
    <xf numFmtId="0" fontId="27" fillId="21" borderId="23" xfId="0" applyFont="1" applyFill="1" applyBorder="1" applyAlignment="1">
      <alignment horizontal="left" vertical="center"/>
    </xf>
    <xf numFmtId="0" fontId="27" fillId="21" borderId="23" xfId="0" applyFont="1" applyFill="1" applyBorder="1" applyAlignment="1">
      <alignment horizontal="center" vertical="center"/>
    </xf>
    <xf numFmtId="0" fontId="27" fillId="21" borderId="24" xfId="0" applyFont="1" applyFill="1" applyBorder="1" applyAlignment="1">
      <alignment horizontal="left" vertical="center"/>
    </xf>
    <xf numFmtId="0" fontId="7" fillId="21" borderId="25" xfId="0" applyFont="1" applyFill="1" applyBorder="1" applyAlignment="1">
      <alignment horizontal="center" vertical="center"/>
    </xf>
    <xf numFmtId="0" fontId="29" fillId="22" borderId="0" xfId="0" applyFont="1" applyFill="1" applyAlignment="1">
      <alignment horizontal="left" vertical="center"/>
    </xf>
    <xf numFmtId="0" fontId="30" fillId="22" borderId="0" xfId="0" applyFont="1" applyFill="1" applyAlignment="1">
      <alignment horizontal="left" vertical="center"/>
    </xf>
    <xf numFmtId="0" fontId="30" fillId="22" borderId="0" xfId="0" applyFont="1" applyFill="1" applyAlignment="1">
      <alignment horizontal="center" vertical="center"/>
    </xf>
    <xf numFmtId="0" fontId="27" fillId="22" borderId="0" xfId="0" applyFont="1" applyFill="1" applyAlignment="1">
      <alignment horizontal="center" vertical="center"/>
    </xf>
    <xf numFmtId="0" fontId="27" fillId="21" borderId="26" xfId="0" applyFont="1" applyFill="1" applyBorder="1" applyAlignment="1">
      <alignment horizontal="left" vertical="center"/>
    </xf>
    <xf numFmtId="0" fontId="27" fillId="21" borderId="25" xfId="0" applyFont="1" applyFill="1" applyBorder="1" applyAlignment="1">
      <alignment horizontal="center" vertical="center"/>
    </xf>
    <xf numFmtId="0" fontId="31" fillId="22" borderId="0" xfId="0" applyFont="1" applyFill="1" applyAlignment="1">
      <alignment horizontal="left" vertical="center"/>
    </xf>
    <xf numFmtId="0" fontId="27" fillId="22" borderId="0" xfId="0" applyFont="1" applyFill="1" applyAlignment="1">
      <alignment horizontal="left" vertical="center"/>
    </xf>
    <xf numFmtId="1" fontId="27" fillId="22" borderId="0" xfId="0" applyNumberFormat="1" applyFont="1" applyFill="1" applyAlignment="1">
      <alignment horizontal="left" vertical="center"/>
    </xf>
    <xf numFmtId="3" fontId="27" fillId="22" borderId="0" xfId="0" applyNumberFormat="1" applyFont="1" applyFill="1" applyAlignment="1">
      <alignment horizontal="left" vertical="center"/>
    </xf>
    <xf numFmtId="0" fontId="27" fillId="21" borderId="0" xfId="0" applyFont="1" applyFill="1" applyAlignment="1">
      <alignment horizontal="left" vertical="center"/>
    </xf>
    <xf numFmtId="0" fontId="27" fillId="21" borderId="0" xfId="0" applyFont="1" applyFill="1" applyAlignment="1">
      <alignment horizontal="center" vertical="center"/>
    </xf>
    <xf numFmtId="1" fontId="27" fillId="22" borderId="0" xfId="0" applyNumberFormat="1" applyFont="1" applyFill="1" applyAlignment="1">
      <alignment horizontal="center" vertical="center"/>
    </xf>
    <xf numFmtId="0" fontId="27" fillId="21" borderId="27" xfId="0" applyFont="1" applyFill="1" applyBorder="1" applyAlignment="1">
      <alignment horizontal="center" vertical="center"/>
    </xf>
    <xf numFmtId="0" fontId="27" fillId="21" borderId="20" xfId="0" applyFont="1" applyFill="1" applyBorder="1" applyAlignment="1">
      <alignment horizontal="left" vertical="center"/>
    </xf>
    <xf numFmtId="0" fontId="27" fillId="21" borderId="20" xfId="0" applyFont="1" applyFill="1" applyBorder="1" applyAlignment="1">
      <alignment horizontal="center" vertical="center"/>
    </xf>
    <xf numFmtId="0" fontId="27" fillId="21" borderId="28" xfId="0" applyFont="1" applyFill="1" applyBorder="1" applyAlignment="1">
      <alignment horizontal="left" vertical="center"/>
    </xf>
    <xf numFmtId="0" fontId="27" fillId="23" borderId="22" xfId="0" applyFont="1" applyFill="1" applyBorder="1" applyAlignment="1">
      <alignment horizontal="center" vertical="center"/>
    </xf>
    <xf numFmtId="0" fontId="27" fillId="23" borderId="23" xfId="0" applyFont="1" applyFill="1" applyBorder="1" applyAlignment="1">
      <alignment horizontal="left" vertical="center"/>
    </xf>
    <xf numFmtId="0" fontId="27" fillId="23" borderId="23" xfId="0" applyFont="1" applyFill="1" applyBorder="1" applyAlignment="1">
      <alignment horizontal="center" vertical="center"/>
    </xf>
    <xf numFmtId="0" fontId="27" fillId="23" borderId="24" xfId="0" applyFont="1" applyFill="1" applyBorder="1" applyAlignment="1">
      <alignment horizontal="left" vertical="center"/>
    </xf>
    <xf numFmtId="0" fontId="30" fillId="23" borderId="25" xfId="0" applyFont="1" applyFill="1" applyBorder="1" applyAlignment="1">
      <alignment horizontal="center" vertical="center"/>
    </xf>
    <xf numFmtId="0" fontId="29" fillId="24" borderId="0" xfId="0" applyFont="1" applyFill="1" applyAlignment="1">
      <alignment horizontal="left" vertical="center"/>
    </xf>
    <xf numFmtId="0" fontId="30" fillId="24" borderId="0" xfId="0" applyFont="1" applyFill="1" applyAlignment="1">
      <alignment horizontal="left" vertical="center"/>
    </xf>
    <xf numFmtId="0" fontId="30" fillId="24" borderId="0" xfId="0" applyFont="1" applyFill="1" applyAlignment="1">
      <alignment horizontal="center" vertical="center"/>
    </xf>
    <xf numFmtId="0" fontId="27" fillId="24" borderId="0" xfId="0" applyFont="1" applyFill="1" applyAlignment="1">
      <alignment horizontal="center" vertical="center"/>
    </xf>
    <xf numFmtId="0" fontId="27" fillId="23" borderId="26" xfId="0" applyFont="1" applyFill="1" applyBorder="1" applyAlignment="1">
      <alignment horizontal="left" vertical="center"/>
    </xf>
    <xf numFmtId="0" fontId="8" fillId="23" borderId="25" xfId="0" applyFont="1" applyFill="1" applyBorder="1" applyAlignment="1">
      <alignment horizontal="center" vertical="center"/>
    </xf>
    <xf numFmtId="0" fontId="31" fillId="24" borderId="0" xfId="0" applyFont="1" applyFill="1" applyAlignment="1">
      <alignment horizontal="left" vertical="center"/>
    </xf>
    <xf numFmtId="0" fontId="27" fillId="24" borderId="0" xfId="0" applyFont="1" applyFill="1" applyAlignment="1">
      <alignment horizontal="left" vertical="center"/>
    </xf>
    <xf numFmtId="0" fontId="27" fillId="0" borderId="26" xfId="0" applyFont="1" applyBorder="1" applyAlignment="1">
      <alignment horizontal="center" vertical="center"/>
    </xf>
    <xf numFmtId="0" fontId="30" fillId="23" borderId="0" xfId="0" applyFont="1" applyFill="1" applyAlignment="1">
      <alignment horizontal="center" vertical="center"/>
    </xf>
    <xf numFmtId="0" fontId="27" fillId="23" borderId="0" xfId="0" applyFont="1" applyFill="1" applyAlignment="1">
      <alignment horizontal="left" vertical="center"/>
    </xf>
    <xf numFmtId="0" fontId="27" fillId="23" borderId="0" xfId="0" applyFont="1" applyFill="1" applyAlignment="1">
      <alignment horizontal="center" vertical="center"/>
    </xf>
    <xf numFmtId="171" fontId="27" fillId="24" borderId="0" xfId="0" applyNumberFormat="1" applyFont="1" applyFill="1" applyAlignment="1">
      <alignment horizontal="left" vertical="center"/>
    </xf>
    <xf numFmtId="171" fontId="27" fillId="24" borderId="0" xfId="0" applyNumberFormat="1" applyFont="1" applyFill="1" applyAlignment="1">
      <alignment horizontal="center" vertical="center"/>
    </xf>
    <xf numFmtId="3" fontId="27" fillId="24" borderId="0" xfId="0" applyNumberFormat="1" applyFont="1" applyFill="1" applyAlignment="1">
      <alignment horizontal="center" vertical="center"/>
    </xf>
    <xf numFmtId="166" fontId="27" fillId="24" borderId="0" xfId="0" applyNumberFormat="1" applyFont="1" applyFill="1" applyAlignment="1">
      <alignment horizontal="left" vertical="center"/>
    </xf>
    <xf numFmtId="166" fontId="27" fillId="24" borderId="0" xfId="0" applyNumberFormat="1" applyFont="1" applyFill="1" applyAlignment="1">
      <alignment horizontal="center" vertical="center"/>
    </xf>
    <xf numFmtId="167" fontId="27" fillId="24" borderId="0" xfId="0" applyNumberFormat="1" applyFont="1" applyFill="1" applyAlignment="1">
      <alignment horizontal="left" vertical="center"/>
    </xf>
    <xf numFmtId="167" fontId="27" fillId="24" borderId="0" xfId="0" applyNumberFormat="1" applyFont="1" applyFill="1" applyAlignment="1">
      <alignment horizontal="center" vertical="center"/>
    </xf>
    <xf numFmtId="165" fontId="27" fillId="24" borderId="0" xfId="0" applyNumberFormat="1" applyFont="1" applyFill="1" applyAlignment="1">
      <alignment horizontal="center" vertical="center"/>
    </xf>
    <xf numFmtId="0" fontId="27" fillId="23" borderId="27" xfId="0" applyFont="1" applyFill="1" applyBorder="1" applyAlignment="1">
      <alignment horizontal="center" vertical="center"/>
    </xf>
    <xf numFmtId="0" fontId="27" fillId="23" borderId="20" xfId="0" applyFont="1" applyFill="1" applyBorder="1" applyAlignment="1">
      <alignment horizontal="left" vertical="center"/>
    </xf>
    <xf numFmtId="0" fontId="27" fillId="23" borderId="20" xfId="0" applyFont="1" applyFill="1" applyBorder="1" applyAlignment="1">
      <alignment horizontal="center" vertical="center"/>
    </xf>
    <xf numFmtId="0" fontId="27" fillId="23" borderId="28" xfId="0" applyFont="1" applyFill="1" applyBorder="1" applyAlignment="1">
      <alignment horizontal="left" vertical="center"/>
    </xf>
    <xf numFmtId="0" fontId="27" fillId="0" borderId="23" xfId="0" applyFont="1" applyBorder="1" applyAlignment="1">
      <alignment horizontal="center" vertical="center"/>
    </xf>
    <xf numFmtId="0" fontId="27" fillId="0" borderId="0" xfId="0" applyFont="1" applyAlignment="1">
      <alignment horizontal="left" vertical="center" wrapText="1"/>
    </xf>
    <xf numFmtId="1" fontId="15" fillId="0" borderId="0" xfId="0" applyNumberFormat="1" applyFont="1" applyAlignment="1">
      <alignment horizontal="right" vertical="center"/>
    </xf>
    <xf numFmtId="1" fontId="5" fillId="0" borderId="0" xfId="0" applyNumberFormat="1" applyFont="1" applyAlignment="1">
      <alignment horizontal="right"/>
    </xf>
    <xf numFmtId="0" fontId="34" fillId="0" borderId="0" xfId="0" applyFont="1" applyAlignment="1">
      <alignment horizontal="left" vertical="center"/>
    </xf>
    <xf numFmtId="0" fontId="27" fillId="6" borderId="22" xfId="0" applyFont="1" applyFill="1" applyBorder="1" applyAlignment="1">
      <alignment horizontal="left" vertical="center"/>
    </xf>
    <xf numFmtId="0" fontId="27" fillId="6" borderId="25" xfId="0" applyFont="1" applyFill="1" applyBorder="1" applyAlignment="1">
      <alignment horizontal="left" vertical="center"/>
    </xf>
    <xf numFmtId="0" fontId="27" fillId="6" borderId="27" xfId="0" applyFont="1" applyFill="1" applyBorder="1" applyAlignment="1">
      <alignment horizontal="left" vertical="center"/>
    </xf>
    <xf numFmtId="3" fontId="30" fillId="7" borderId="0" xfId="0" applyNumberFormat="1" applyFont="1" applyFill="1" applyAlignment="1">
      <alignment horizontal="center" vertical="center"/>
    </xf>
    <xf numFmtId="165" fontId="27" fillId="10" borderId="0" xfId="0" applyNumberFormat="1" applyFont="1" applyFill="1" applyAlignment="1">
      <alignment horizontal="left" vertical="center"/>
    </xf>
    <xf numFmtId="173" fontId="27" fillId="7" borderId="0" xfId="0" applyNumberFormat="1" applyFont="1" applyFill="1" applyAlignment="1">
      <alignment horizontal="center" vertical="center"/>
    </xf>
    <xf numFmtId="173" fontId="30" fillId="7" borderId="0" xfId="0" applyNumberFormat="1" applyFont="1" applyFill="1" applyAlignment="1">
      <alignment horizontal="center" vertical="center"/>
    </xf>
    <xf numFmtId="4" fontId="30" fillId="7" borderId="0" xfId="0" applyNumberFormat="1" applyFont="1" applyFill="1" applyAlignment="1">
      <alignment horizontal="center" vertical="center"/>
    </xf>
    <xf numFmtId="165" fontId="27" fillId="7" borderId="0" xfId="0" applyNumberFormat="1" applyFont="1" applyFill="1" applyAlignment="1">
      <alignment horizontal="left" vertical="center"/>
    </xf>
    <xf numFmtId="165" fontId="30" fillId="7" borderId="0" xfId="0" applyNumberFormat="1" applyFont="1" applyFill="1" applyAlignment="1">
      <alignment horizontal="left" vertical="center"/>
    </xf>
    <xf numFmtId="168" fontId="0" fillId="0" borderId="0" xfId="0" applyNumberFormat="1" applyAlignment="1">
      <alignment horizontal="center"/>
    </xf>
    <xf numFmtId="0" fontId="26" fillId="0" borderId="0" xfId="0" applyFont="1" applyAlignment="1">
      <alignment horizontal="left" vertical="center"/>
    </xf>
    <xf numFmtId="0" fontId="30" fillId="0" borderId="0" xfId="0" applyFont="1" applyAlignment="1">
      <alignment horizontal="left" vertical="center"/>
    </xf>
    <xf numFmtId="3" fontId="27" fillId="0" borderId="0" xfId="0" applyNumberFormat="1" applyFont="1" applyAlignment="1">
      <alignment horizontal="left" vertical="center"/>
    </xf>
    <xf numFmtId="167" fontId="27" fillId="0" borderId="0" xfId="0" applyNumberFormat="1" applyFont="1" applyAlignment="1">
      <alignment horizontal="left" vertical="center"/>
    </xf>
    <xf numFmtId="167" fontId="27" fillId="0" borderId="0" xfId="0" applyNumberFormat="1" applyFont="1" applyAlignment="1">
      <alignment horizontal="center" vertical="center"/>
    </xf>
    <xf numFmtId="167" fontId="30" fillId="0" borderId="0" xfId="0" applyNumberFormat="1" applyFont="1" applyAlignment="1">
      <alignment horizontal="left" vertical="center"/>
    </xf>
    <xf numFmtId="167" fontId="30" fillId="0" borderId="0" xfId="0" applyNumberFormat="1" applyFont="1" applyAlignment="1">
      <alignment horizontal="center" vertical="center"/>
    </xf>
    <xf numFmtId="3" fontId="5" fillId="0" borderId="0" xfId="0" applyNumberFormat="1" applyFont="1" applyAlignment="1">
      <alignment horizontal="left"/>
    </xf>
    <xf numFmtId="3" fontId="5" fillId="0" borderId="0" xfId="0" applyNumberFormat="1" applyFont="1" applyAlignment="1">
      <alignment horizontal="center"/>
    </xf>
    <xf numFmtId="1" fontId="27" fillId="0" borderId="0" xfId="0" applyNumberFormat="1" applyFont="1" applyAlignment="1">
      <alignment horizontal="left" vertical="center"/>
    </xf>
    <xf numFmtId="1" fontId="27" fillId="0" borderId="0" xfId="0" applyNumberFormat="1" applyFont="1" applyAlignment="1">
      <alignment horizontal="center" vertical="center"/>
    </xf>
    <xf numFmtId="171" fontId="27" fillId="0" borderId="0" xfId="0" applyNumberFormat="1" applyFont="1" applyAlignment="1">
      <alignment horizontal="left" vertical="center"/>
    </xf>
    <xf numFmtId="171" fontId="27" fillId="0" borderId="0" xfId="0" applyNumberFormat="1" applyFont="1" applyAlignment="1">
      <alignment horizontal="center" vertical="center"/>
    </xf>
    <xf numFmtId="10" fontId="27" fillId="0" borderId="0" xfId="0" applyNumberFormat="1" applyFont="1" applyAlignment="1">
      <alignment horizontal="center" vertical="center"/>
    </xf>
    <xf numFmtId="166" fontId="27" fillId="0" borderId="0" xfId="0" applyNumberFormat="1" applyFont="1" applyAlignment="1">
      <alignment horizontal="left" vertical="center"/>
    </xf>
    <xf numFmtId="166" fontId="27" fillId="0" borderId="0" xfId="0" applyNumberFormat="1" applyFont="1" applyAlignment="1">
      <alignment horizontal="center" vertical="center"/>
    </xf>
    <xf numFmtId="166" fontId="27" fillId="0" borderId="0" xfId="0" applyNumberFormat="1" applyFont="1" applyAlignment="1">
      <alignment vertical="center"/>
    </xf>
    <xf numFmtId="166" fontId="27" fillId="0" borderId="0" xfId="0" applyNumberFormat="1" applyFont="1" applyAlignment="1">
      <alignment horizontal="left"/>
    </xf>
    <xf numFmtId="173" fontId="27" fillId="0" borderId="0" xfId="0" applyNumberFormat="1" applyFont="1" applyAlignment="1">
      <alignment horizontal="center" vertical="center"/>
    </xf>
    <xf numFmtId="0" fontId="23" fillId="0" borderId="29" xfId="0" applyFont="1" applyBorder="1" applyAlignment="1">
      <alignment horizontal="center"/>
    </xf>
    <xf numFmtId="0" fontId="23" fillId="0" borderId="30" xfId="0" applyFont="1" applyBorder="1" applyAlignment="1">
      <alignment horizontal="center"/>
    </xf>
    <xf numFmtId="0" fontId="23" fillId="0" borderId="31" xfId="0" applyFont="1" applyBorder="1" applyAlignment="1">
      <alignment horizontal="center"/>
    </xf>
    <xf numFmtId="173" fontId="27" fillId="0" borderId="32" xfId="0" applyNumberFormat="1" applyFont="1" applyBorder="1" applyAlignment="1">
      <alignment horizontal="left" vertical="center"/>
    </xf>
    <xf numFmtId="173" fontId="27" fillId="0" borderId="0" xfId="0" applyNumberFormat="1" applyFont="1" applyAlignment="1">
      <alignment horizontal="left" vertical="center"/>
    </xf>
    <xf numFmtId="173" fontId="27" fillId="0" borderId="33" xfId="0" applyNumberFormat="1" applyFont="1" applyBorder="1" applyAlignment="1">
      <alignment horizontal="center" vertical="center"/>
    </xf>
    <xf numFmtId="173" fontId="27" fillId="0" borderId="34" xfId="0" applyNumberFormat="1" applyFont="1" applyBorder="1" applyAlignment="1">
      <alignment horizontal="left" vertical="center"/>
    </xf>
    <xf numFmtId="173" fontId="27" fillId="0" borderId="35" xfId="0" applyNumberFormat="1" applyFont="1" applyBorder="1" applyAlignment="1">
      <alignment horizontal="left" vertical="center"/>
    </xf>
    <xf numFmtId="173" fontId="27" fillId="0" borderId="35" xfId="0" applyNumberFormat="1" applyFont="1" applyBorder="1" applyAlignment="1">
      <alignment horizontal="center" vertical="center"/>
    </xf>
    <xf numFmtId="173" fontId="27" fillId="0" borderId="36" xfId="0" applyNumberFormat="1" applyFont="1" applyBorder="1" applyAlignment="1">
      <alignment horizontal="center" vertical="center"/>
    </xf>
    <xf numFmtId="0" fontId="1" fillId="0" borderId="0" xfId="0" applyFont="1"/>
    <xf numFmtId="164" fontId="0" fillId="0" borderId="0" xfId="4" applyFont="1" applyFill="1"/>
    <xf numFmtId="164" fontId="0" fillId="26" borderId="0" xfId="4" applyFont="1" applyFill="1"/>
    <xf numFmtId="174" fontId="0" fillId="0" borderId="0" xfId="5" applyNumberFormat="1" applyFont="1" applyFill="1"/>
    <xf numFmtId="0" fontId="1" fillId="0" borderId="0" xfId="0" applyFont="1" applyAlignment="1">
      <alignment horizontal="center"/>
    </xf>
    <xf numFmtId="174" fontId="1" fillId="0" borderId="0" xfId="0" applyNumberFormat="1" applyFont="1" applyAlignment="1">
      <alignment horizontal="center"/>
    </xf>
    <xf numFmtId="0" fontId="0" fillId="0" borderId="37" xfId="0" applyBorder="1"/>
    <xf numFmtId="0" fontId="0" fillId="0" borderId="29" xfId="0" applyBorder="1"/>
    <xf numFmtId="0" fontId="0" fillId="0" borderId="31" xfId="0" applyBorder="1"/>
    <xf numFmtId="9" fontId="0" fillId="0" borderId="32" xfId="0" applyNumberFormat="1" applyBorder="1"/>
    <xf numFmtId="9" fontId="0" fillId="0" borderId="33" xfId="0" applyNumberFormat="1" applyBorder="1"/>
    <xf numFmtId="9" fontId="0" fillId="0" borderId="34" xfId="0" applyNumberFormat="1" applyBorder="1"/>
    <xf numFmtId="9" fontId="0" fillId="0" borderId="36" xfId="0" applyNumberFormat="1" applyBorder="1"/>
    <xf numFmtId="174" fontId="0" fillId="26" borderId="0" xfId="5" applyNumberFormat="1" applyFont="1" applyFill="1"/>
    <xf numFmtId="0" fontId="0" fillId="26" borderId="0" xfId="0" applyFill="1"/>
    <xf numFmtId="0" fontId="0" fillId="0" borderId="32" xfId="0" applyBorder="1"/>
    <xf numFmtId="0" fontId="0" fillId="0" borderId="34" xfId="0" applyBorder="1"/>
    <xf numFmtId="174" fontId="0" fillId="0" borderId="2" xfId="0" applyNumberFormat="1" applyBorder="1"/>
    <xf numFmtId="0" fontId="0" fillId="0" borderId="2" xfId="0" applyBorder="1"/>
    <xf numFmtId="174" fontId="0" fillId="0" borderId="42" xfId="0" applyNumberFormat="1" applyBorder="1"/>
    <xf numFmtId="0" fontId="0" fillId="0" borderId="46" xfId="0" applyBorder="1" applyAlignment="1">
      <alignment wrapText="1"/>
    </xf>
    <xf numFmtId="0" fontId="0" fillId="0" borderId="47" xfId="0" applyBorder="1" applyAlignment="1">
      <alignment wrapText="1"/>
    </xf>
    <xf numFmtId="0" fontId="0" fillId="0" borderId="48" xfId="0" applyBorder="1" applyAlignment="1">
      <alignment wrapText="1"/>
    </xf>
    <xf numFmtId="174" fontId="1" fillId="0" borderId="45" xfId="5" applyNumberFormat="1" applyFont="1" applyFill="1" applyBorder="1"/>
    <xf numFmtId="174" fontId="1" fillId="0" borderId="40" xfId="5" applyNumberFormat="1" applyFont="1" applyFill="1" applyBorder="1"/>
    <xf numFmtId="174" fontId="1" fillId="0" borderId="43" xfId="5" applyNumberFormat="1" applyFont="1" applyFill="1" applyBorder="1"/>
    <xf numFmtId="165" fontId="1" fillId="0" borderId="0" xfId="0" applyNumberFormat="1" applyFont="1" applyAlignment="1">
      <alignment horizontal="center"/>
    </xf>
    <xf numFmtId="167" fontId="27" fillId="27" borderId="0" xfId="0" applyNumberFormat="1" applyFont="1" applyFill="1" applyAlignment="1">
      <alignment horizontal="center" vertical="center"/>
    </xf>
    <xf numFmtId="165" fontId="27" fillId="27" borderId="0" xfId="0" applyNumberFormat="1" applyFont="1" applyFill="1" applyAlignment="1">
      <alignment horizontal="center" vertical="center"/>
    </xf>
    <xf numFmtId="174" fontId="0" fillId="0" borderId="38" xfId="5" applyNumberFormat="1" applyFont="1" applyFill="1" applyBorder="1"/>
    <xf numFmtId="174" fontId="0" fillId="28" borderId="0" xfId="5" applyNumberFormat="1" applyFont="1" applyFill="1"/>
    <xf numFmtId="174" fontId="37" fillId="0" borderId="0" xfId="5" applyNumberFormat="1" applyFont="1" applyFill="1"/>
    <xf numFmtId="174" fontId="37" fillId="26" borderId="0" xfId="5" applyNumberFormat="1" applyFont="1" applyFill="1"/>
    <xf numFmtId="10" fontId="36" fillId="0" borderId="41" xfId="0" applyNumberFormat="1" applyFont="1" applyBorder="1"/>
    <xf numFmtId="10" fontId="0" fillId="0" borderId="2" xfId="0" applyNumberFormat="1" applyBorder="1"/>
    <xf numFmtId="174" fontId="0" fillId="0" borderId="16" xfId="0" applyNumberFormat="1" applyBorder="1"/>
    <xf numFmtId="10" fontId="36" fillId="0" borderId="44" xfId="0" applyNumberFormat="1" applyFont="1" applyBorder="1"/>
    <xf numFmtId="10" fontId="0" fillId="0" borderId="39" xfId="0" applyNumberFormat="1" applyBorder="1"/>
    <xf numFmtId="10" fontId="36" fillId="0" borderId="39" xfId="0" applyNumberFormat="1" applyFont="1" applyBorder="1"/>
    <xf numFmtId="10" fontId="37" fillId="0" borderId="39" xfId="0" applyNumberFormat="1" applyFont="1" applyBorder="1"/>
    <xf numFmtId="0" fontId="37" fillId="0" borderId="0" xfId="0" applyFont="1"/>
    <xf numFmtId="0" fontId="38" fillId="29" borderId="37" xfId="0" applyFont="1" applyFill="1" applyBorder="1"/>
    <xf numFmtId="2" fontId="0" fillId="29" borderId="38" xfId="0" applyNumberFormat="1" applyFill="1" applyBorder="1"/>
    <xf numFmtId="2" fontId="0" fillId="29" borderId="49" xfId="0" applyNumberFormat="1" applyFill="1" applyBorder="1"/>
    <xf numFmtId="165" fontId="27" fillId="30" borderId="0" xfId="0" applyNumberFormat="1" applyFont="1" applyFill="1" applyAlignment="1">
      <alignment horizontal="center" vertical="center"/>
    </xf>
    <xf numFmtId="167" fontId="27" fillId="31" borderId="0" xfId="0" applyNumberFormat="1" applyFont="1" applyFill="1" applyAlignment="1">
      <alignment horizontal="center" vertical="center"/>
    </xf>
    <xf numFmtId="176" fontId="5" fillId="0" borderId="0" xfId="0" applyNumberFormat="1" applyFont="1" applyAlignment="1">
      <alignment horizontal="right" vertical="center"/>
    </xf>
    <xf numFmtId="0" fontId="5" fillId="0" borderId="0" xfId="0" applyFont="1" applyAlignment="1">
      <alignment horizontal="left" vertical="center"/>
    </xf>
    <xf numFmtId="0" fontId="5" fillId="0" borderId="0" xfId="0" applyFont="1" applyAlignment="1">
      <alignment horizontal="center" vertical="center" wrapText="1"/>
    </xf>
    <xf numFmtId="0" fontId="5" fillId="0" borderId="2" xfId="0" applyFont="1" applyBorder="1" applyAlignment="1">
      <alignment horizontal="center"/>
    </xf>
    <xf numFmtId="0" fontId="5" fillId="0" borderId="0" xfId="0" applyFont="1" applyAlignment="1">
      <alignment horizontal="center" vertical="center"/>
    </xf>
    <xf numFmtId="0" fontId="8" fillId="0" borderId="0" xfId="0" applyFont="1" applyAlignment="1">
      <alignment horizontal="center" vertical="center" wrapText="1"/>
    </xf>
    <xf numFmtId="3" fontId="27" fillId="0" borderId="0" xfId="0" applyNumberFormat="1" applyFont="1" applyAlignment="1">
      <alignment horizontal="center" vertical="center"/>
    </xf>
    <xf numFmtId="0" fontId="24" fillId="0" borderId="0" xfId="0" applyFont="1" applyAlignment="1">
      <alignment horizontal="center" vertical="center" textRotation="90" wrapText="1"/>
    </xf>
    <xf numFmtId="0" fontId="22" fillId="0" borderId="0" xfId="0"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center" vertical="center" wrapText="1"/>
    </xf>
    <xf numFmtId="0" fontId="5" fillId="0" borderId="0" xfId="0" applyFont="1" applyAlignment="1">
      <alignment horizontal="center" vertical="center" textRotation="90" wrapText="1"/>
    </xf>
    <xf numFmtId="2" fontId="5" fillId="14" borderId="0" xfId="0" applyNumberFormat="1" applyFont="1" applyFill="1"/>
    <xf numFmtId="0" fontId="39" fillId="0" borderId="0" xfId="0" applyFont="1" applyAlignment="1">
      <alignment horizontal="left" vertical="center"/>
    </xf>
    <xf numFmtId="0" fontId="5" fillId="0" borderId="0" xfId="0" applyFont="1" applyAlignment="1">
      <alignment horizontal="center" vertical="center" wrapText="1"/>
    </xf>
    <xf numFmtId="0" fontId="5" fillId="0" borderId="0" xfId="0" applyFont="1" applyAlignment="1">
      <alignment horizontal="left" vertical="center"/>
    </xf>
    <xf numFmtId="0" fontId="8" fillId="0" borderId="0" xfId="0" applyFont="1" applyAlignment="1">
      <alignment horizontal="left"/>
    </xf>
    <xf numFmtId="0" fontId="8" fillId="0" borderId="5" xfId="0" applyFont="1" applyBorder="1" applyAlignment="1">
      <alignment horizontal="left"/>
    </xf>
    <xf numFmtId="0" fontId="15" fillId="0" borderId="2" xfId="0" applyFont="1" applyBorder="1" applyAlignment="1">
      <alignment horizontal="center" vertical="center"/>
    </xf>
    <xf numFmtId="0" fontId="5" fillId="0" borderId="0" xfId="0" applyFont="1" applyAlignment="1">
      <alignment horizontal="center" wrapText="1"/>
    </xf>
    <xf numFmtId="0" fontId="5" fillId="0" borderId="7" xfId="0" applyFont="1" applyBorder="1" applyAlignment="1">
      <alignment horizontal="center"/>
    </xf>
    <xf numFmtId="0" fontId="5" fillId="0" borderId="9" xfId="0" applyFont="1" applyBorder="1" applyAlignment="1">
      <alignment horizontal="center"/>
    </xf>
    <xf numFmtId="0" fontId="5" fillId="0" borderId="6"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8" xfId="0" applyFont="1" applyBorder="1" applyAlignment="1">
      <alignment horizontal="center"/>
    </xf>
    <xf numFmtId="0" fontId="5" fillId="0" borderId="12" xfId="0" applyFont="1" applyBorder="1" applyAlignment="1">
      <alignment horizontal="center"/>
    </xf>
    <xf numFmtId="0" fontId="5" fillId="0" borderId="13" xfId="0" applyFont="1" applyBorder="1" applyAlignment="1">
      <alignment horizontal="center"/>
    </xf>
    <xf numFmtId="0" fontId="5" fillId="0" borderId="2" xfId="0" applyFont="1" applyBorder="1" applyAlignment="1">
      <alignment horizontal="center"/>
    </xf>
    <xf numFmtId="0" fontId="15" fillId="0" borderId="14" xfId="0" applyFont="1" applyBorder="1" applyAlignment="1">
      <alignment horizontal="center" vertical="center"/>
    </xf>
    <xf numFmtId="0" fontId="15" fillId="0" borderId="1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Alignment="1">
      <alignment horizontal="center" vertical="center"/>
    </xf>
    <xf numFmtId="0" fontId="8" fillId="0" borderId="0" xfId="0" applyFont="1" applyAlignment="1">
      <alignment horizontal="center" wrapText="1"/>
    </xf>
    <xf numFmtId="0" fontId="19" fillId="0" borderId="0" xfId="0" applyFont="1" applyAlignment="1">
      <alignment horizontal="center" vertical="center" wrapText="1"/>
    </xf>
    <xf numFmtId="0" fontId="8" fillId="0" borderId="0" xfId="0" applyFont="1" applyAlignment="1">
      <alignment horizontal="center" vertical="center" wrapText="1"/>
    </xf>
    <xf numFmtId="0" fontId="24" fillId="0" borderId="0" xfId="0" applyFont="1" applyAlignment="1">
      <alignment horizontal="center" vertical="center" textRotation="90" wrapText="1"/>
    </xf>
    <xf numFmtId="0" fontId="35" fillId="0" borderId="0" xfId="0" applyFont="1"/>
    <xf numFmtId="0" fontId="0" fillId="0" borderId="0" xfId="0"/>
    <xf numFmtId="0" fontId="22" fillId="0" borderId="0" xfId="0" applyFont="1" applyAlignment="1">
      <alignment horizontal="center" vertical="center"/>
    </xf>
    <xf numFmtId="0" fontId="22" fillId="0" borderId="0" xfId="0" applyFont="1" applyAlignment="1">
      <alignment horizontal="center" vertical="center" wrapText="1"/>
    </xf>
    <xf numFmtId="0" fontId="30" fillId="23" borderId="25" xfId="0" applyFont="1" applyFill="1" applyBorder="1" applyAlignment="1">
      <alignment horizontal="center" vertical="center" wrapText="1"/>
    </xf>
    <xf numFmtId="3" fontId="27" fillId="25" borderId="0" xfId="0" applyNumberFormat="1" applyFont="1" applyFill="1" applyAlignment="1">
      <alignment horizontal="center" vertical="center"/>
    </xf>
    <xf numFmtId="0" fontId="27" fillId="0" borderId="0" xfId="0" applyFont="1" applyAlignment="1">
      <alignment horizontal="center" vertical="center"/>
    </xf>
    <xf numFmtId="0" fontId="27" fillId="0" borderId="0" xfId="0" applyFont="1" applyAlignment="1">
      <alignment horizontal="center" vertical="center" wrapText="1"/>
    </xf>
    <xf numFmtId="0" fontId="5" fillId="0" borderId="0" xfId="0" applyFont="1" applyAlignment="1">
      <alignment horizontal="center" vertical="center" textRotation="90" wrapText="1"/>
    </xf>
    <xf numFmtId="0" fontId="0" fillId="0" borderId="0" xfId="0" applyFill="1"/>
    <xf numFmtId="167" fontId="27" fillId="0" borderId="0" xfId="0" applyNumberFormat="1" applyFont="1" applyFill="1" applyAlignment="1">
      <alignment horizontal="left" vertical="center"/>
    </xf>
    <xf numFmtId="167" fontId="27" fillId="0" borderId="0" xfId="0" applyNumberFormat="1" applyFont="1" applyFill="1" applyAlignment="1">
      <alignment horizontal="center" vertical="center"/>
    </xf>
    <xf numFmtId="0" fontId="0" fillId="0" borderId="0" xfId="0" applyFill="1" applyAlignment="1">
      <alignment horizontal="center"/>
    </xf>
    <xf numFmtId="0" fontId="27" fillId="0" borderId="0" xfId="0" applyFont="1" applyFill="1" applyAlignment="1">
      <alignment horizontal="left" vertical="center"/>
    </xf>
    <xf numFmtId="0" fontId="27" fillId="0" borderId="0" xfId="0" applyFont="1" applyFill="1" applyAlignment="1">
      <alignment horizontal="center" vertical="center"/>
    </xf>
    <xf numFmtId="167" fontId="0" fillId="0" borderId="0" xfId="0" applyNumberFormat="1" applyFill="1" applyAlignment="1">
      <alignment horizontal="center"/>
    </xf>
  </cellXfs>
  <cellStyles count="8">
    <cellStyle name="Hipervínculo 2" xfId="2" xr:uid="{1AA29F2E-0AAE-4E35-AB3E-5958BC151AE7}"/>
    <cellStyle name="Millares" xfId="4" builtinId="3"/>
    <cellStyle name="Millares 2" xfId="7" xr:uid="{D46CBD19-105E-4190-A46F-22160B5DA47F}"/>
    <cellStyle name="Normal" xfId="0" builtinId="0"/>
    <cellStyle name="Normal 2" xfId="6" xr:uid="{51653330-9A08-4EF1-BD00-10425DB46909}"/>
    <cellStyle name="Normal 3" xfId="1" xr:uid="{D223D998-448D-4FE6-95EC-031BAB74B6A6}"/>
    <cellStyle name="Normal 4" xfId="3" xr:uid="{064E889D-7079-443A-9304-F3C4691E44FB}"/>
    <cellStyle name="Porcentaje" xfId="5" builtinId="5"/>
  </cellStyles>
  <dxfs count="9">
    <dxf>
      <fill>
        <patternFill patternType="solid">
          <fgColor rgb="FFFFD965"/>
          <bgColor rgb="FFFFD965"/>
        </patternFill>
      </fill>
    </dxf>
    <dxf>
      <fill>
        <patternFill patternType="solid">
          <fgColor rgb="FFFFD965"/>
          <bgColor rgb="FFFFD965"/>
        </patternFill>
      </fill>
    </dxf>
    <dxf>
      <font>
        <color rgb="FF9C0006"/>
      </font>
      <fill>
        <patternFill>
          <bgColor rgb="FFFFC7CE"/>
        </patternFill>
      </fill>
    </dxf>
    <dxf>
      <font>
        <b/>
        <i/>
      </font>
      <fill>
        <patternFill>
          <bgColor rgb="FFFF0000"/>
        </patternFill>
      </fill>
    </dxf>
    <dxf>
      <font>
        <color rgb="FF9C0006"/>
      </font>
      <fill>
        <patternFill patternType="solid">
          <fgColor rgb="FFFFC7CE"/>
          <bgColor rgb="FFFFC7CE"/>
        </patternFill>
      </fill>
    </dxf>
    <dxf>
      <font>
        <b/>
        <i/>
      </font>
      <fill>
        <patternFill>
          <bgColor rgb="FFFF0000"/>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BD7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Banano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'CC70-Tendencial'!$C$3:$BK$3</c:f>
              <c:numCache>
                <c:formatCode>General</c:formatCode>
                <c:ptCount val="61"/>
                <c:pt idx="0">
                  <c:v>36.777975116741715</c:v>
                </c:pt>
                <c:pt idx="1">
                  <c:v>38.691774364103281</c:v>
                </c:pt>
                <c:pt idx="2">
                  <c:v>33.250087721793889</c:v>
                </c:pt>
                <c:pt idx="3">
                  <c:v>31.779871513532424</c:v>
                </c:pt>
                <c:pt idx="4">
                  <c:v>37.091561283393744</c:v>
                </c:pt>
                <c:pt idx="5">
                  <c:v>38.786294605070921</c:v>
                </c:pt>
                <c:pt idx="6">
                  <c:v>36.208188003571095</c:v>
                </c:pt>
                <c:pt idx="7">
                  <c:v>39.745819546113111</c:v>
                </c:pt>
                <c:pt idx="8">
                  <c:v>40.26187779655038</c:v>
                </c:pt>
                <c:pt idx="9">
                  <c:v>35.907197827071073</c:v>
                </c:pt>
                <c:pt idx="10">
                  <c:v>40.743049243603316</c:v>
                </c:pt>
                <c:pt idx="11">
                  <c:v>40.740567388853336</c:v>
                </c:pt>
                <c:pt idx="12">
                  <c:v>36.281746884400519</c:v>
                </c:pt>
                <c:pt idx="13">
                  <c:v>39.694399999999973</c:v>
                </c:pt>
                <c:pt idx="14">
                  <c:v>39.694399999999973</c:v>
                </c:pt>
                <c:pt idx="15">
                  <c:v>39.694399999999973</c:v>
                </c:pt>
                <c:pt idx="16">
                  <c:v>39.694399999999973</c:v>
                </c:pt>
                <c:pt idx="17">
                  <c:v>39.694399999999973</c:v>
                </c:pt>
                <c:pt idx="18">
                  <c:v>39.694399999999973</c:v>
                </c:pt>
                <c:pt idx="19">
                  <c:v>39.694399999999973</c:v>
                </c:pt>
                <c:pt idx="20">
                  <c:v>39.694399999999973</c:v>
                </c:pt>
                <c:pt idx="21">
                  <c:v>39.694399999999973</c:v>
                </c:pt>
                <c:pt idx="22">
                  <c:v>39.694399999999973</c:v>
                </c:pt>
                <c:pt idx="23">
                  <c:v>39.694399999999973</c:v>
                </c:pt>
                <c:pt idx="24">
                  <c:v>39.694399999999973</c:v>
                </c:pt>
                <c:pt idx="25">
                  <c:v>39.694399999999973</c:v>
                </c:pt>
                <c:pt idx="26">
                  <c:v>39.694399999999973</c:v>
                </c:pt>
                <c:pt idx="27">
                  <c:v>39.694399999999973</c:v>
                </c:pt>
                <c:pt idx="28">
                  <c:v>39.694399999999973</c:v>
                </c:pt>
                <c:pt idx="29">
                  <c:v>39.694399999999973</c:v>
                </c:pt>
                <c:pt idx="30">
                  <c:v>39.694399999999973</c:v>
                </c:pt>
                <c:pt idx="31">
                  <c:v>39.694399999999973</c:v>
                </c:pt>
                <c:pt idx="32">
                  <c:v>39.694399999999973</c:v>
                </c:pt>
                <c:pt idx="33">
                  <c:v>39.694399999999973</c:v>
                </c:pt>
                <c:pt idx="34">
                  <c:v>39.694399999999973</c:v>
                </c:pt>
                <c:pt idx="35">
                  <c:v>39.694399999999973</c:v>
                </c:pt>
                <c:pt idx="36">
                  <c:v>39.694399999999973</c:v>
                </c:pt>
                <c:pt idx="37">
                  <c:v>39.694399999999973</c:v>
                </c:pt>
                <c:pt idx="38">
                  <c:v>39.694399999999973</c:v>
                </c:pt>
                <c:pt idx="39">
                  <c:v>39.694399999999973</c:v>
                </c:pt>
                <c:pt idx="40">
                  <c:v>39.694399999999973</c:v>
                </c:pt>
                <c:pt idx="41">
                  <c:v>39.694399999999973</c:v>
                </c:pt>
                <c:pt idx="42">
                  <c:v>39.694399999999973</c:v>
                </c:pt>
                <c:pt idx="43">
                  <c:v>39.694399999999973</c:v>
                </c:pt>
                <c:pt idx="44">
                  <c:v>39.694399999999973</c:v>
                </c:pt>
                <c:pt idx="45">
                  <c:v>39.694399999999973</c:v>
                </c:pt>
                <c:pt idx="46">
                  <c:v>39.694399999999973</c:v>
                </c:pt>
                <c:pt idx="47">
                  <c:v>39.694399999999973</c:v>
                </c:pt>
                <c:pt idx="48">
                  <c:v>39.694399999999973</c:v>
                </c:pt>
                <c:pt idx="49">
                  <c:v>39.694399999999973</c:v>
                </c:pt>
                <c:pt idx="50">
                  <c:v>39.694399999999973</c:v>
                </c:pt>
                <c:pt idx="51">
                  <c:v>39.694399999999973</c:v>
                </c:pt>
                <c:pt idx="52">
                  <c:v>39.694399999999973</c:v>
                </c:pt>
                <c:pt idx="53">
                  <c:v>39.694399999999973</c:v>
                </c:pt>
                <c:pt idx="54">
                  <c:v>39.694399999999973</c:v>
                </c:pt>
                <c:pt idx="55">
                  <c:v>39.694399999999973</c:v>
                </c:pt>
                <c:pt idx="56">
                  <c:v>39.694399999999973</c:v>
                </c:pt>
                <c:pt idx="57">
                  <c:v>39.694399999999973</c:v>
                </c:pt>
                <c:pt idx="58">
                  <c:v>39.694399999999973</c:v>
                </c:pt>
                <c:pt idx="59">
                  <c:v>39.694399999999973</c:v>
                </c:pt>
                <c:pt idx="60">
                  <c:v>39.694399999999973</c:v>
                </c:pt>
              </c:numCache>
            </c:numRef>
          </c:yVal>
          <c:smooth val="1"/>
          <c:extLst>
            <c:ext xmlns:c16="http://schemas.microsoft.com/office/drawing/2014/chart" uri="{C3380CC4-5D6E-409C-BE32-E72D297353CC}">
              <c16:uniqueId val="{00000000-1325-4F82-B7A4-2F934062F4E6}"/>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'CC70-Tendencial'!$C$19:$BK$19</c:f>
              <c:numCache>
                <c:formatCode>General</c:formatCode>
                <c:ptCount val="61"/>
                <c:pt idx="0">
                  <c:v>36.777975116741715</c:v>
                </c:pt>
                <c:pt idx="1">
                  <c:v>38.691774364103281</c:v>
                </c:pt>
                <c:pt idx="2">
                  <c:v>33.250087721793889</c:v>
                </c:pt>
                <c:pt idx="3">
                  <c:v>31.779871513532424</c:v>
                </c:pt>
                <c:pt idx="4">
                  <c:v>37.091561283393744</c:v>
                </c:pt>
                <c:pt idx="5">
                  <c:v>38.786294605070921</c:v>
                </c:pt>
                <c:pt idx="6">
                  <c:v>36.208188003571095</c:v>
                </c:pt>
                <c:pt idx="7">
                  <c:v>39.745819546113111</c:v>
                </c:pt>
                <c:pt idx="8">
                  <c:v>40.26187779655038</c:v>
                </c:pt>
                <c:pt idx="9">
                  <c:v>35.907197827071073</c:v>
                </c:pt>
                <c:pt idx="10">
                  <c:v>40.743049243603316</c:v>
                </c:pt>
                <c:pt idx="11">
                  <c:v>40.740567388853336</c:v>
                </c:pt>
                <c:pt idx="12">
                  <c:v>36.281746884400519</c:v>
                </c:pt>
                <c:pt idx="13">
                  <c:v>39.694399999999973</c:v>
                </c:pt>
                <c:pt idx="14" formatCode="0.00000">
                  <c:v>39.694399999999973</c:v>
                </c:pt>
                <c:pt idx="15" formatCode="0.00000">
                  <c:v>39.914399999999972</c:v>
                </c:pt>
                <c:pt idx="16" formatCode="0.00000">
                  <c:v>40.134399999999971</c:v>
                </c:pt>
                <c:pt idx="17" formatCode="0.00000">
                  <c:v>40.35439999999997</c:v>
                </c:pt>
                <c:pt idx="18" formatCode="0.00000">
                  <c:v>40.574399999999969</c:v>
                </c:pt>
                <c:pt idx="19" formatCode="0.00000">
                  <c:v>40.794399999999968</c:v>
                </c:pt>
                <c:pt idx="20" formatCode="0.00000">
                  <c:v>41.014399999999966</c:v>
                </c:pt>
                <c:pt idx="21" formatCode="0.00000">
                  <c:v>41.234399999999965</c:v>
                </c:pt>
                <c:pt idx="22" formatCode="0.00000">
                  <c:v>41.454399999999964</c:v>
                </c:pt>
                <c:pt idx="23" formatCode="0.00000">
                  <c:v>41.674399999999963</c:v>
                </c:pt>
                <c:pt idx="24" formatCode="0.00000">
                  <c:v>41.894399999999962</c:v>
                </c:pt>
                <c:pt idx="25" formatCode="0.00000">
                  <c:v>42.114399999999961</c:v>
                </c:pt>
                <c:pt idx="26" formatCode="0.00000">
                  <c:v>42.33439999999996</c:v>
                </c:pt>
                <c:pt idx="27" formatCode="0.00000">
                  <c:v>42.554399999999958</c:v>
                </c:pt>
                <c:pt idx="28" formatCode="0.00000">
                  <c:v>42.774399999999957</c:v>
                </c:pt>
                <c:pt idx="29" formatCode="0.00000">
                  <c:v>42.994399999999956</c:v>
                </c:pt>
                <c:pt idx="30" formatCode="0.00000">
                  <c:v>42.994399999999956</c:v>
                </c:pt>
                <c:pt idx="31" formatCode="0.00000">
                  <c:v>42.994399999999956</c:v>
                </c:pt>
                <c:pt idx="32" formatCode="0.00000">
                  <c:v>42.994399999999956</c:v>
                </c:pt>
                <c:pt idx="33" formatCode="0.00000">
                  <c:v>42.994399999999956</c:v>
                </c:pt>
                <c:pt idx="34" formatCode="0.00000">
                  <c:v>42.994399999999956</c:v>
                </c:pt>
                <c:pt idx="35" formatCode="0.00000">
                  <c:v>42.994399999999956</c:v>
                </c:pt>
                <c:pt idx="36" formatCode="0.00000">
                  <c:v>42.994399999999956</c:v>
                </c:pt>
                <c:pt idx="37" formatCode="0.00000">
                  <c:v>42.994399999999956</c:v>
                </c:pt>
                <c:pt idx="38" formatCode="0.00000">
                  <c:v>42.994399999999956</c:v>
                </c:pt>
                <c:pt idx="39" formatCode="0.00000">
                  <c:v>42.994399999999956</c:v>
                </c:pt>
                <c:pt idx="40" formatCode="0.00000">
                  <c:v>42.994399999999956</c:v>
                </c:pt>
                <c:pt idx="41" formatCode="0.00000">
                  <c:v>42.994399999999956</c:v>
                </c:pt>
                <c:pt idx="42" formatCode="0.00000">
                  <c:v>42.994399999999956</c:v>
                </c:pt>
                <c:pt idx="43" formatCode="0.00000">
                  <c:v>42.994399999999956</c:v>
                </c:pt>
                <c:pt idx="44" formatCode="0.00000">
                  <c:v>42.994399999999956</c:v>
                </c:pt>
                <c:pt idx="45" formatCode="0.00000">
                  <c:v>42.994399999999956</c:v>
                </c:pt>
                <c:pt idx="46" formatCode="0.00000">
                  <c:v>42.994399999999956</c:v>
                </c:pt>
                <c:pt idx="47" formatCode="0.00000">
                  <c:v>42.994399999999956</c:v>
                </c:pt>
                <c:pt idx="48" formatCode="0.00000">
                  <c:v>42.994399999999956</c:v>
                </c:pt>
                <c:pt idx="49" formatCode="0.00000">
                  <c:v>42.994399999999956</c:v>
                </c:pt>
                <c:pt idx="50" formatCode="0.00000">
                  <c:v>42.994399999999956</c:v>
                </c:pt>
                <c:pt idx="51" formatCode="0.00000">
                  <c:v>42.994399999999956</c:v>
                </c:pt>
                <c:pt idx="52" formatCode="0.00000">
                  <c:v>42.994399999999956</c:v>
                </c:pt>
                <c:pt idx="53" formatCode="0.00000">
                  <c:v>42.994399999999956</c:v>
                </c:pt>
                <c:pt idx="54" formatCode="0.00000">
                  <c:v>42.994399999999956</c:v>
                </c:pt>
                <c:pt idx="55" formatCode="0.00000">
                  <c:v>42.994399999999956</c:v>
                </c:pt>
                <c:pt idx="56" formatCode="0.00000">
                  <c:v>42.994399999999956</c:v>
                </c:pt>
                <c:pt idx="57" formatCode="0.00000">
                  <c:v>42.994399999999956</c:v>
                </c:pt>
                <c:pt idx="58" formatCode="0.00000">
                  <c:v>42.994399999999956</c:v>
                </c:pt>
                <c:pt idx="59" formatCode="0.00000">
                  <c:v>42.994399999999956</c:v>
                </c:pt>
                <c:pt idx="60" formatCode="0.00000">
                  <c:v>42.994399999999956</c:v>
                </c:pt>
              </c:numCache>
            </c:numRef>
          </c:yVal>
          <c:smooth val="1"/>
          <c:extLst>
            <c:ext xmlns:c16="http://schemas.microsoft.com/office/drawing/2014/chart" uri="{C3380CC4-5D6E-409C-BE32-E72D297353CC}">
              <c16:uniqueId val="{00000001-1325-4F82-B7A4-2F934062F4E6}"/>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Rendimiento</a:t>
                </a:r>
                <a:r>
                  <a:rPr lang="en-US" baseline="0"/>
                  <a:t> [Ton/ha]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Uso de suelo ganadería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'CC70-Tendencial'!$B$316</c:f>
              <c:strCache>
                <c:ptCount val="1"/>
                <c:pt idx="0">
                  <c:v>Tendencial</c:v>
                </c:pt>
              </c:strCache>
            </c:strRef>
          </c:tx>
          <c:spPr>
            <a:solidFill>
              <a:schemeClr val="accent1"/>
            </a:solidFill>
            <a:ln>
              <a:noFill/>
            </a:ln>
            <a:effectLst/>
          </c:spPr>
          <c:invertIfNegative val="0"/>
          <c:cat>
            <c:numRef>
              <c:f>'CC70-Tendencial'!$K$315:$S$315</c:f>
              <c:numCache>
                <c:formatCode>General</c:formatCode>
                <c:ptCount val="9"/>
                <c:pt idx="0">
                  <c:v>2018</c:v>
                </c:pt>
                <c:pt idx="1">
                  <c:v>2020</c:v>
                </c:pt>
                <c:pt idx="2">
                  <c:v>2022</c:v>
                </c:pt>
                <c:pt idx="3">
                  <c:v>2025</c:v>
                </c:pt>
                <c:pt idx="4">
                  <c:v>2030</c:v>
                </c:pt>
                <c:pt idx="5">
                  <c:v>2040</c:v>
                </c:pt>
                <c:pt idx="6">
                  <c:v>2050</c:v>
                </c:pt>
                <c:pt idx="7">
                  <c:v>2060</c:v>
                </c:pt>
                <c:pt idx="8">
                  <c:v>2070</c:v>
                </c:pt>
              </c:numCache>
            </c:numRef>
          </c:cat>
          <c:val>
            <c:numRef>
              <c:f>'CC70-Tendencial'!$K$316:$S$316</c:f>
              <c:numCache>
                <c:formatCode>General</c:formatCode>
                <c:ptCount val="9"/>
                <c:pt idx="0">
                  <c:v>3.0943149999999999</c:v>
                </c:pt>
                <c:pt idx="1">
                  <c:v>2.9091149999999999</c:v>
                </c:pt>
                <c:pt idx="2">
                  <c:v>3.0633248021131103</c:v>
                </c:pt>
                <c:pt idx="3">
                  <c:v>3.1830705670696262</c:v>
                </c:pt>
                <c:pt idx="4">
                  <c:v>3.3740613739073542</c:v>
                </c:pt>
                <c:pt idx="5">
                  <c:v>3.743430167052209</c:v>
                </c:pt>
                <c:pt idx="6">
                  <c:v>3.980709076776844</c:v>
                </c:pt>
                <c:pt idx="7">
                  <c:v>4.1669132219172837</c:v>
                </c:pt>
                <c:pt idx="8">
                  <c:v>4.2610644203020476</c:v>
                </c:pt>
              </c:numCache>
            </c:numRef>
          </c:val>
          <c:extLst>
            <c:ext xmlns:c16="http://schemas.microsoft.com/office/drawing/2014/chart" uri="{C3380CC4-5D6E-409C-BE32-E72D297353CC}">
              <c16:uniqueId val="{00000000-140E-4CE9-B8A3-43F35A438CE7}"/>
            </c:ext>
          </c:extLst>
        </c:ser>
        <c:ser>
          <c:idx val="1"/>
          <c:order val="1"/>
          <c:tx>
            <c:strRef>
              <c:f>'CC70-Tendencial'!$B$317</c:f>
              <c:strCache>
                <c:ptCount val="1"/>
                <c:pt idx="0">
                  <c:v>Compromiso climático 2070</c:v>
                </c:pt>
              </c:strCache>
            </c:strRef>
          </c:tx>
          <c:spPr>
            <a:solidFill>
              <a:schemeClr val="accent2"/>
            </a:solidFill>
            <a:ln>
              <a:noFill/>
            </a:ln>
            <a:effectLst/>
          </c:spPr>
          <c:invertIfNegative val="0"/>
          <c:cat>
            <c:numRef>
              <c:f>'CC70-Tendencial'!$K$315:$S$315</c:f>
              <c:numCache>
                <c:formatCode>General</c:formatCode>
                <c:ptCount val="9"/>
                <c:pt idx="0">
                  <c:v>2018</c:v>
                </c:pt>
                <c:pt idx="1">
                  <c:v>2020</c:v>
                </c:pt>
                <c:pt idx="2">
                  <c:v>2022</c:v>
                </c:pt>
                <c:pt idx="3">
                  <c:v>2025</c:v>
                </c:pt>
                <c:pt idx="4">
                  <c:v>2030</c:v>
                </c:pt>
                <c:pt idx="5">
                  <c:v>2040</c:v>
                </c:pt>
                <c:pt idx="6">
                  <c:v>2050</c:v>
                </c:pt>
                <c:pt idx="7">
                  <c:v>2060</c:v>
                </c:pt>
                <c:pt idx="8">
                  <c:v>2070</c:v>
                </c:pt>
              </c:numCache>
            </c:numRef>
          </c:cat>
          <c:val>
            <c:numRef>
              <c:f>'CC70-Tendencial'!$K$317:$S$317</c:f>
              <c:numCache>
                <c:formatCode>General</c:formatCode>
                <c:ptCount val="9"/>
                <c:pt idx="0">
                  <c:v>3.0943149999999999</c:v>
                </c:pt>
                <c:pt idx="1">
                  <c:v>2.9091149999999999</c:v>
                </c:pt>
                <c:pt idx="2">
                  <c:v>3.0633248021131103</c:v>
                </c:pt>
                <c:pt idx="3">
                  <c:v>3.1830705670696262</c:v>
                </c:pt>
                <c:pt idx="4">
                  <c:v>3.3685066634648599</c:v>
                </c:pt>
                <c:pt idx="5">
                  <c:v>3.5430090101373604</c:v>
                </c:pt>
                <c:pt idx="6">
                  <c:v>3.5178258027898512</c:v>
                </c:pt>
                <c:pt idx="7">
                  <c:v>3.3159562613388114</c:v>
                </c:pt>
                <c:pt idx="8">
                  <c:v>2.9428370345821939</c:v>
                </c:pt>
              </c:numCache>
            </c:numRef>
          </c:val>
          <c:extLst>
            <c:ext xmlns:c16="http://schemas.microsoft.com/office/drawing/2014/chart" uri="{C3380CC4-5D6E-409C-BE32-E72D297353CC}">
              <c16:uniqueId val="{00000001-140E-4CE9-B8A3-43F35A438CE7}"/>
            </c:ext>
          </c:extLst>
        </c:ser>
        <c:dLbls>
          <c:showLegendKey val="0"/>
          <c:showVal val="0"/>
          <c:showCatName val="0"/>
          <c:showSerName val="0"/>
          <c:showPercent val="0"/>
          <c:showBubbleSize val="0"/>
        </c:dLbls>
        <c:gapWidth val="219"/>
        <c:overlap val="-27"/>
        <c:axId val="1750713039"/>
        <c:axId val="1750706799"/>
      </c:barChart>
      <c:catAx>
        <c:axId val="175071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706799"/>
        <c:crosses val="autoZero"/>
        <c:auto val="1"/>
        <c:lblAlgn val="ctr"/>
        <c:lblOffset val="100"/>
        <c:noMultiLvlLbl val="0"/>
      </c:catAx>
      <c:valAx>
        <c:axId val="1750706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Uso de suelo [Mha]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71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Cereales</a:t>
            </a:r>
            <a:r>
              <a:rPr lang="en-US" baseline="0"/>
              <a:t> y pseudocereales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'CC70-Tendencial'!$K$49:$BK$49</c:f>
              <c:numCache>
                <c:formatCode>General</c:formatCode>
                <c:ptCount val="53"/>
                <c:pt idx="0">
                  <c:v>1.1358975848035</c:v>
                </c:pt>
                <c:pt idx="1">
                  <c:v>1.1918002202970002</c:v>
                </c:pt>
                <c:pt idx="2">
                  <c:v>1.2854633564094</c:v>
                </c:pt>
                <c:pt idx="3">
                  <c:v>1.5159054211035998</c:v>
                </c:pt>
                <c:pt idx="4">
                  <c:v>1.7484062297790823</c:v>
                </c:pt>
                <c:pt idx="5">
                  <c:v>1.913717130026751</c:v>
                </c:pt>
                <c:pt idx="6">
                  <c:v>2.0764753521247767</c:v>
                </c:pt>
                <c:pt idx="7">
                  <c:v>2.238145839879992</c:v>
                </c:pt>
                <c:pt idx="8">
                  <c:v>2.4009415337439433</c:v>
                </c:pt>
                <c:pt idx="9">
                  <c:v>2.5630800519417014</c:v>
                </c:pt>
                <c:pt idx="10">
                  <c:v>2.7252389550295106</c:v>
                </c:pt>
                <c:pt idx="11">
                  <c:v>2.887340033679914</c:v>
                </c:pt>
                <c:pt idx="12">
                  <c:v>3.0495157513993352</c:v>
                </c:pt>
                <c:pt idx="13">
                  <c:v>3.2109066959694452</c:v>
                </c:pt>
                <c:pt idx="14">
                  <c:v>3.3729513868329053</c:v>
                </c:pt>
                <c:pt idx="15">
                  <c:v>3.535077848299971</c:v>
                </c:pt>
                <c:pt idx="16">
                  <c:v>3.6970743105487749</c:v>
                </c:pt>
                <c:pt idx="17">
                  <c:v>3.8590551401692093</c:v>
                </c:pt>
                <c:pt idx="18">
                  <c:v>3.8760835083455101</c:v>
                </c:pt>
                <c:pt idx="19">
                  <c:v>4.0003438895093462</c:v>
                </c:pt>
                <c:pt idx="20">
                  <c:v>4.1103638227096893</c:v>
                </c:pt>
                <c:pt idx="21">
                  <c:v>4.214363988599156</c:v>
                </c:pt>
                <c:pt idx="22">
                  <c:v>4.3008883546079888</c:v>
                </c:pt>
                <c:pt idx="23">
                  <c:v>4.3904479087790156</c:v>
                </c:pt>
                <c:pt idx="24">
                  <c:v>4.4964095728773952</c:v>
                </c:pt>
                <c:pt idx="25">
                  <c:v>4.5768145234195989</c:v>
                </c:pt>
                <c:pt idx="26">
                  <c:v>4.6753996434509437</c:v>
                </c:pt>
                <c:pt idx="27">
                  <c:v>4.7602044910278778</c:v>
                </c:pt>
                <c:pt idx="28">
                  <c:v>4.8684074444262206</c:v>
                </c:pt>
                <c:pt idx="29">
                  <c:v>4.959424147584615</c:v>
                </c:pt>
                <c:pt idx="30">
                  <c:v>5.0480334698708633</c:v>
                </c:pt>
                <c:pt idx="31">
                  <c:v>5.1394536844069316</c:v>
                </c:pt>
                <c:pt idx="32">
                  <c:v>5.2317596415377494</c:v>
                </c:pt>
                <c:pt idx="33">
                  <c:v>5.336914706368276</c:v>
                </c:pt>
                <c:pt idx="34">
                  <c:v>5.43282345188174</c:v>
                </c:pt>
                <c:pt idx="35">
                  <c:v>5.5284839674863564</c:v>
                </c:pt>
                <c:pt idx="36">
                  <c:v>5.6271926482537076</c:v>
                </c:pt>
                <c:pt idx="37">
                  <c:v>5.7268919528904307</c:v>
                </c:pt>
                <c:pt idx="38">
                  <c:v>5.8293809749376679</c:v>
                </c:pt>
                <c:pt idx="39">
                  <c:v>5.9286365342722354</c:v>
                </c:pt>
                <c:pt idx="40">
                  <c:v>6.0287933128846571</c:v>
                </c:pt>
                <c:pt idx="41">
                  <c:v>6.1298670293024626</c:v>
                </c:pt>
                <c:pt idx="42">
                  <c:v>6.2314031767958591</c:v>
                </c:pt>
                <c:pt idx="43">
                  <c:v>6.3329598726716068</c:v>
                </c:pt>
                <c:pt idx="44">
                  <c:v>6.4347913767807503</c:v>
                </c:pt>
                <c:pt idx="45">
                  <c:v>6.5370024592319442</c:v>
                </c:pt>
                <c:pt idx="46">
                  <c:v>6.6396171736519412</c:v>
                </c:pt>
                <c:pt idx="47">
                  <c:v>6.7423399397217398</c:v>
                </c:pt>
                <c:pt idx="48">
                  <c:v>6.8451411839863425</c:v>
                </c:pt>
                <c:pt idx="49">
                  <c:v>6.9478747472778233</c:v>
                </c:pt>
                <c:pt idx="50">
                  <c:v>7.0507395749808346</c:v>
                </c:pt>
                <c:pt idx="51">
                  <c:v>7.1536539722287893</c:v>
                </c:pt>
                <c:pt idx="52">
                  <c:v>7.2565383991932793</c:v>
                </c:pt>
              </c:numCache>
            </c:numRef>
          </c:yVal>
          <c:smooth val="1"/>
          <c:extLst>
            <c:ext xmlns:c16="http://schemas.microsoft.com/office/drawing/2014/chart" uri="{C3380CC4-5D6E-409C-BE32-E72D297353CC}">
              <c16:uniqueId val="{00000000-BF82-43A9-B0AA-21FA2F480DBE}"/>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'CC70-Tendencial'!$K$65:$BK$65</c:f>
              <c:numCache>
                <c:formatCode>General</c:formatCode>
                <c:ptCount val="53"/>
                <c:pt idx="0">
                  <c:v>1.1358975848035</c:v>
                </c:pt>
                <c:pt idx="1">
                  <c:v>1.1918002202970002</c:v>
                </c:pt>
                <c:pt idx="2">
                  <c:v>1.2854633564094</c:v>
                </c:pt>
                <c:pt idx="3">
                  <c:v>1.5159054211035998</c:v>
                </c:pt>
                <c:pt idx="4">
                  <c:v>1.7484062297790823</c:v>
                </c:pt>
                <c:pt idx="5" formatCode="0.00000">
                  <c:v>1.913714433990465</c:v>
                </c:pt>
                <c:pt idx="6" formatCode="0.00000">
                  <c:v>2.0736290904567616</c:v>
                </c:pt>
                <c:pt idx="7" formatCode="0.00000">
                  <c:v>2.2339014134157242</c:v>
                </c:pt>
                <c:pt idx="8" formatCode="0.00000">
                  <c:v>2.3939355007355374</c:v>
                </c:pt>
                <c:pt idx="9" formatCode="0.00000">
                  <c:v>2.5542181241280106</c:v>
                </c:pt>
                <c:pt idx="10" formatCode="0.00000">
                  <c:v>2.7145668361868283</c:v>
                </c:pt>
                <c:pt idx="11" formatCode="0.00000">
                  <c:v>2.8750076275840661</c:v>
                </c:pt>
                <c:pt idx="12" formatCode="0.00000">
                  <c:v>3.0354951769329728</c:v>
                </c:pt>
                <c:pt idx="13" formatCode="0.00000">
                  <c:v>3.1879590734487815</c:v>
                </c:pt>
                <c:pt idx="14" formatCode="0.00000">
                  <c:v>3.3401850617413307</c:v>
                </c:pt>
                <c:pt idx="15" formatCode="0.00000">
                  <c:v>3.4923817759124707</c:v>
                </c:pt>
                <c:pt idx="16" formatCode="0.00000">
                  <c:v>3.6446236909808514</c:v>
                </c:pt>
                <c:pt idx="17" formatCode="0.00000">
                  <c:v>3.7968714624931228</c:v>
                </c:pt>
                <c:pt idx="18" formatCode="0.00000">
                  <c:v>3.9491237823629159</c:v>
                </c:pt>
                <c:pt idx="19" formatCode="0.00000">
                  <c:v>4.1013930623261965</c:v>
                </c:pt>
                <c:pt idx="20" formatCode="0.00000">
                  <c:v>4.2536764989738991</c:v>
                </c:pt>
                <c:pt idx="21" formatCode="0.00000">
                  <c:v>4.4059201687005629</c:v>
                </c:pt>
                <c:pt idx="22" formatCode="0.00000">
                  <c:v>4.5581736186960651</c:v>
                </c:pt>
                <c:pt idx="23" formatCode="0.00000">
                  <c:v>4.7104341037584714</c:v>
                </c:pt>
                <c:pt idx="24" formatCode="0.00000">
                  <c:v>4.8626988146802042</c:v>
                </c:pt>
                <c:pt idx="25" formatCode="0.00000">
                  <c:v>5.0149796328821399</c:v>
                </c:pt>
                <c:pt idx="26" formatCode="0.00000">
                  <c:v>5.1672488513572281</c:v>
                </c:pt>
                <c:pt idx="27" formatCode="0.00000">
                  <c:v>5.3195275435583946</c:v>
                </c:pt>
                <c:pt idx="28" formatCode="0.00000">
                  <c:v>5.4717900445785137</c:v>
                </c:pt>
                <c:pt idx="29" formatCode="0.00000">
                  <c:v>5.6240683766597312</c:v>
                </c:pt>
                <c:pt idx="30" formatCode="0.00000">
                  <c:v>5.7763505133072686</c:v>
                </c:pt>
                <c:pt idx="31" formatCode="0.00000">
                  <c:v>5.9286328082041049</c:v>
                </c:pt>
                <c:pt idx="32" formatCode="0.00000">
                  <c:v>6.0809166268044725</c:v>
                </c:pt>
                <c:pt idx="33" formatCode="0.00000">
                  <c:v>6.2331939600329616</c:v>
                </c:pt>
                <c:pt idx="34" formatCode="0.00000">
                  <c:v>6.3854789861872492</c:v>
                </c:pt>
                <c:pt idx="35" formatCode="0.00000">
                  <c:v>6.5377656920126634</c:v>
                </c:pt>
                <c:pt idx="36" formatCode="0.00000">
                  <c:v>6.6900527075845311</c:v>
                </c:pt>
                <c:pt idx="37" formatCode="0.00000">
                  <c:v>6.8423412526633687</c:v>
                </c:pt>
                <c:pt idx="38" formatCode="0.00000">
                  <c:v>6.9946299406149262</c:v>
                </c:pt>
                <c:pt idx="39" formatCode="0.00000">
                  <c:v>7.1469226365408227</c:v>
                </c:pt>
                <c:pt idx="40" formatCode="0.00000">
                  <c:v>7.2992165918549006</c:v>
                </c:pt>
                <c:pt idx="41" formatCode="0.00000">
                  <c:v>7.4515118635434465</c:v>
                </c:pt>
                <c:pt idx="42" formatCode="0.00000">
                  <c:v>7.6038088106576387</c:v>
                </c:pt>
                <c:pt idx="43" formatCode="0.00000">
                  <c:v>7.7561077598957189</c:v>
                </c:pt>
                <c:pt idx="44" formatCode="0.00000">
                  <c:v>7.9084084858039283</c:v>
                </c:pt>
                <c:pt idx="45" formatCode="0.00000">
                  <c:v>8.0607108934475882</c:v>
                </c:pt>
                <c:pt idx="46" formatCode="0.00000">
                  <c:v>8.2130149707643003</c:v>
                </c:pt>
                <c:pt idx="47" formatCode="0.00000">
                  <c:v>8.365320919810511</c:v>
                </c:pt>
                <c:pt idx="48" formatCode="0.00000">
                  <c:v>8.5176287683294767</c:v>
                </c:pt>
                <c:pt idx="49" formatCode="0.00000">
                  <c:v>8.6699386195597103</c:v>
                </c:pt>
                <c:pt idx="50" formatCode="0.00000">
                  <c:v>8.8222503404294752</c:v>
                </c:pt>
                <c:pt idx="51" formatCode="0.00000">
                  <c:v>8.9745639768661949</c:v>
                </c:pt>
                <c:pt idx="52" formatCode="0.00000">
                  <c:v>9.1268795791867774</c:v>
                </c:pt>
              </c:numCache>
            </c:numRef>
          </c:yVal>
          <c:smooth val="1"/>
          <c:extLst>
            <c:ext xmlns:c16="http://schemas.microsoft.com/office/drawing/2014/chart" uri="{C3380CC4-5D6E-409C-BE32-E72D297353CC}">
              <c16:uniqueId val="{00000001-BF82-43A9-B0AA-21FA2F480DBE}"/>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Tubérculos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'CC70-Tendencial'!$K$50:$BK$50</c:f>
              <c:numCache>
                <c:formatCode>General</c:formatCode>
                <c:ptCount val="53"/>
                <c:pt idx="0">
                  <c:v>0.35613556000000002</c:v>
                </c:pt>
                <c:pt idx="1">
                  <c:v>0.35728204999999996</c:v>
                </c:pt>
                <c:pt idx="2">
                  <c:v>0.48066439999999999</c:v>
                </c:pt>
                <c:pt idx="3">
                  <c:v>0.35422895999999998</c:v>
                </c:pt>
                <c:pt idx="4">
                  <c:v>0.41322952625484877</c:v>
                </c:pt>
                <c:pt idx="5">
                  <c:v>0.44412708293298853</c:v>
                </c:pt>
                <c:pt idx="6">
                  <c:v>0.47203112628862354</c:v>
                </c:pt>
                <c:pt idx="7">
                  <c:v>0.47479879403821479</c:v>
                </c:pt>
                <c:pt idx="8">
                  <c:v>0.50399512527479207</c:v>
                </c:pt>
                <c:pt idx="9">
                  <c:v>0.51796926494501638</c:v>
                </c:pt>
                <c:pt idx="10">
                  <c:v>0.53250741234814836</c:v>
                </c:pt>
                <c:pt idx="11">
                  <c:v>0.5456998497344806</c:v>
                </c:pt>
                <c:pt idx="12">
                  <c:v>0.56080348010440018</c:v>
                </c:pt>
                <c:pt idx="13">
                  <c:v>0.55628521577569667</c:v>
                </c:pt>
                <c:pt idx="14">
                  <c:v>0.56812613075359542</c:v>
                </c:pt>
                <c:pt idx="15">
                  <c:v>0.58203311038632932</c:v>
                </c:pt>
                <c:pt idx="16">
                  <c:v>0.59276809514145057</c:v>
                </c:pt>
                <c:pt idx="17">
                  <c:v>0.60314498074506995</c:v>
                </c:pt>
                <c:pt idx="18">
                  <c:v>0.61191741345079542</c:v>
                </c:pt>
                <c:pt idx="19">
                  <c:v>0.62060851495456271</c:v>
                </c:pt>
                <c:pt idx="20">
                  <c:v>0.62829907862846013</c:v>
                </c:pt>
                <c:pt idx="21">
                  <c:v>0.63858135053602072</c:v>
                </c:pt>
                <c:pt idx="22">
                  <c:v>0.64808223129082732</c:v>
                </c:pt>
                <c:pt idx="23">
                  <c:v>0.65718544798074929</c:v>
                </c:pt>
                <c:pt idx="24">
                  <c:v>0.66620056307994446</c:v>
                </c:pt>
                <c:pt idx="25">
                  <c:v>0.67400380555601014</c:v>
                </c:pt>
                <c:pt idx="26">
                  <c:v>0.68272740546922828</c:v>
                </c:pt>
                <c:pt idx="27">
                  <c:v>0.69076452377741382</c:v>
                </c:pt>
                <c:pt idx="28">
                  <c:v>0.70002508675923092</c:v>
                </c:pt>
                <c:pt idx="29">
                  <c:v>0.70818141748610552</c:v>
                </c:pt>
                <c:pt idx="30">
                  <c:v>0.71610545213295917</c:v>
                </c:pt>
                <c:pt idx="31">
                  <c:v>0.72406319604313674</c:v>
                </c:pt>
                <c:pt idx="32">
                  <c:v>0.73195484085260132</c:v>
                </c:pt>
                <c:pt idx="33">
                  <c:v>0.74035195519772945</c:v>
                </c:pt>
                <c:pt idx="34">
                  <c:v>0.74822054508839619</c:v>
                </c:pt>
                <c:pt idx="35">
                  <c:v>0.75599248728266821</c:v>
                </c:pt>
                <c:pt idx="36">
                  <c:v>0.76377265355767654</c:v>
                </c:pt>
                <c:pt idx="37">
                  <c:v>0.7714689952578011</c:v>
                </c:pt>
                <c:pt idx="38">
                  <c:v>0.77917188012793204</c:v>
                </c:pt>
                <c:pt idx="39">
                  <c:v>0.78660858275756451</c:v>
                </c:pt>
                <c:pt idx="40">
                  <c:v>0.79396745743954733</c:v>
                </c:pt>
                <c:pt idx="41">
                  <c:v>0.80124226240861984</c:v>
                </c:pt>
                <c:pt idx="42">
                  <c:v>0.808406439521697</c:v>
                </c:pt>
                <c:pt idx="43">
                  <c:v>0.81543599871449957</c:v>
                </c:pt>
                <c:pt idx="44">
                  <c:v>0.8223429798869295</c:v>
                </c:pt>
                <c:pt idx="45">
                  <c:v>0.82913086918121859</c:v>
                </c:pt>
                <c:pt idx="46">
                  <c:v>0.83579800612843091</c:v>
                </c:pt>
                <c:pt idx="47">
                  <c:v>0.84232888512935211</c:v>
                </c:pt>
                <c:pt idx="48">
                  <c:v>0.84871969073704434</c:v>
                </c:pt>
                <c:pt idx="49">
                  <c:v>0.85496185121403201</c:v>
                </c:pt>
                <c:pt idx="50">
                  <c:v>0.86106194081905474</c:v>
                </c:pt>
                <c:pt idx="51">
                  <c:v>0.86701495352786451</c:v>
                </c:pt>
                <c:pt idx="52">
                  <c:v>0.87281582857450379</c:v>
                </c:pt>
              </c:numCache>
            </c:numRef>
          </c:yVal>
          <c:smooth val="1"/>
          <c:extLst>
            <c:ext xmlns:c16="http://schemas.microsoft.com/office/drawing/2014/chart" uri="{C3380CC4-5D6E-409C-BE32-E72D297353CC}">
              <c16:uniqueId val="{00000000-849F-46D1-BFD3-68EE2F0F69B6}"/>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'CC70-Tendencial'!$K$66:$BK$66</c:f>
              <c:numCache>
                <c:formatCode>General</c:formatCode>
                <c:ptCount val="53"/>
                <c:pt idx="0">
                  <c:v>0.35613556000000002</c:v>
                </c:pt>
                <c:pt idx="1">
                  <c:v>0.35728204999999996</c:v>
                </c:pt>
                <c:pt idx="2">
                  <c:v>0.48066439999999999</c:v>
                </c:pt>
                <c:pt idx="3">
                  <c:v>0.35422895999999998</c:v>
                </c:pt>
                <c:pt idx="4">
                  <c:v>0.41322952625484877</c:v>
                </c:pt>
                <c:pt idx="5" formatCode="0.00000">
                  <c:v>0.44412708293298853</c:v>
                </c:pt>
                <c:pt idx="6" formatCode="0.00000">
                  <c:v>0.47203112628862354</c:v>
                </c:pt>
                <c:pt idx="7" formatCode="0.00000">
                  <c:v>0.47479879403821479</c:v>
                </c:pt>
                <c:pt idx="8" formatCode="0.00000">
                  <c:v>0.50399512527479207</c:v>
                </c:pt>
                <c:pt idx="9" formatCode="0.00000">
                  <c:v>0.51796926494501638</c:v>
                </c:pt>
                <c:pt idx="10" formatCode="0.00000">
                  <c:v>0.53250741234814836</c:v>
                </c:pt>
                <c:pt idx="11" formatCode="0.00000">
                  <c:v>0.5456998497344806</c:v>
                </c:pt>
                <c:pt idx="12" formatCode="0.00000">
                  <c:v>0.56080348010440018</c:v>
                </c:pt>
                <c:pt idx="13" formatCode="0.00000">
                  <c:v>0.55628521577569667</c:v>
                </c:pt>
                <c:pt idx="14" formatCode="0.00000">
                  <c:v>0.56812613075359542</c:v>
                </c:pt>
                <c:pt idx="15" formatCode="0.00000">
                  <c:v>0.58203311038632932</c:v>
                </c:pt>
                <c:pt idx="16" formatCode="0.00000">
                  <c:v>0.59276809514145057</c:v>
                </c:pt>
                <c:pt idx="17" formatCode="0.00000">
                  <c:v>0.60314498074506995</c:v>
                </c:pt>
                <c:pt idx="18" formatCode="0.00000">
                  <c:v>0.61191741345079542</c:v>
                </c:pt>
                <c:pt idx="19" formatCode="0.00000">
                  <c:v>0.62060851495456271</c:v>
                </c:pt>
                <c:pt idx="20" formatCode="0.00000">
                  <c:v>0.62829907862846013</c:v>
                </c:pt>
                <c:pt idx="21" formatCode="0.00000">
                  <c:v>0.63858135053602072</c:v>
                </c:pt>
                <c:pt idx="22" formatCode="0.00000">
                  <c:v>0.64808223129082732</c:v>
                </c:pt>
                <c:pt idx="23" formatCode="0.00000">
                  <c:v>0.65718544798074929</c:v>
                </c:pt>
                <c:pt idx="24" formatCode="0.00000">
                  <c:v>0.66620056307994446</c:v>
                </c:pt>
                <c:pt idx="25" formatCode="0.00000">
                  <c:v>0.67400380555601014</c:v>
                </c:pt>
                <c:pt idx="26" formatCode="0.00000">
                  <c:v>0.68272740546922828</c:v>
                </c:pt>
                <c:pt idx="27" formatCode="0.00000">
                  <c:v>0.69076452377741382</c:v>
                </c:pt>
                <c:pt idx="28" formatCode="0.00000">
                  <c:v>0.70002508675923092</c:v>
                </c:pt>
                <c:pt idx="29" formatCode="0.00000">
                  <c:v>0.70818141748610552</c:v>
                </c:pt>
                <c:pt idx="30" formatCode="0.00000">
                  <c:v>0.71610545213295917</c:v>
                </c:pt>
                <c:pt idx="31" formatCode="0.00000">
                  <c:v>0.72406319604313674</c:v>
                </c:pt>
                <c:pt idx="32" formatCode="0.00000">
                  <c:v>0.73195484085260132</c:v>
                </c:pt>
                <c:pt idx="33" formatCode="0.00000">
                  <c:v>0.74035195519772945</c:v>
                </c:pt>
                <c:pt idx="34" formatCode="0.00000">
                  <c:v>0.74822054508839619</c:v>
                </c:pt>
                <c:pt idx="35" formatCode="0.00000">
                  <c:v>0.75599248728266821</c:v>
                </c:pt>
                <c:pt idx="36" formatCode="0.00000">
                  <c:v>0.76377265355767654</c:v>
                </c:pt>
                <c:pt idx="37" formatCode="0.00000">
                  <c:v>0.7714689952578011</c:v>
                </c:pt>
                <c:pt idx="38" formatCode="0.00000">
                  <c:v>0.77917188012793204</c:v>
                </c:pt>
                <c:pt idx="39" formatCode="0.00000">
                  <c:v>0.78660858275756451</c:v>
                </c:pt>
                <c:pt idx="40" formatCode="0.00000">
                  <c:v>0.79396745743954733</c:v>
                </c:pt>
                <c:pt idx="41" formatCode="0.00000">
                  <c:v>0.80124226240861984</c:v>
                </c:pt>
                <c:pt idx="42" formatCode="0.00000">
                  <c:v>0.808406439521697</c:v>
                </c:pt>
                <c:pt idx="43" formatCode="0.00000">
                  <c:v>0.81543599871449957</c:v>
                </c:pt>
                <c:pt idx="44" formatCode="0.00000">
                  <c:v>0.8223429798869295</c:v>
                </c:pt>
                <c:pt idx="45" formatCode="0.00000">
                  <c:v>0.82913086918121859</c:v>
                </c:pt>
                <c:pt idx="46" formatCode="0.00000">
                  <c:v>0.83579800612843091</c:v>
                </c:pt>
                <c:pt idx="47" formatCode="0.00000">
                  <c:v>0.84232888512935211</c:v>
                </c:pt>
                <c:pt idx="48" formatCode="0.00000">
                  <c:v>0.84871969073704434</c:v>
                </c:pt>
                <c:pt idx="49" formatCode="0.00000">
                  <c:v>0.85496185121403201</c:v>
                </c:pt>
                <c:pt idx="50" formatCode="0.00000">
                  <c:v>0.86106194081905474</c:v>
                </c:pt>
                <c:pt idx="51" formatCode="0.00000">
                  <c:v>0.86701495352786451</c:v>
                </c:pt>
                <c:pt idx="52" formatCode="0.00000">
                  <c:v>0.87281582857450379</c:v>
                </c:pt>
              </c:numCache>
            </c:numRef>
          </c:yVal>
          <c:smooth val="1"/>
          <c:extLst>
            <c:ext xmlns:c16="http://schemas.microsoft.com/office/drawing/2014/chart" uri="{C3380CC4-5D6E-409C-BE32-E72D297353CC}">
              <c16:uniqueId val="{00000001-849F-46D1-BFD3-68EE2F0F69B6}"/>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Fruta fresca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'CC70-Tendencial'!$K$51:$BK$51</c:f>
              <c:numCache>
                <c:formatCode>General</c:formatCode>
                <c:ptCount val="53"/>
                <c:pt idx="0">
                  <c:v>0.81041011424000009</c:v>
                </c:pt>
                <c:pt idx="1">
                  <c:v>0.94249586699999999</c:v>
                </c:pt>
                <c:pt idx="2">
                  <c:v>0.91618988825000036</c:v>
                </c:pt>
                <c:pt idx="3">
                  <c:v>0.94511519049370374</c:v>
                </c:pt>
                <c:pt idx="4">
                  <c:v>1.1656097110748405</c:v>
                </c:pt>
                <c:pt idx="5">
                  <c:v>0.86192715459303659</c:v>
                </c:pt>
                <c:pt idx="6">
                  <c:v>0.88747830617921841</c:v>
                </c:pt>
                <c:pt idx="7">
                  <c:v>0.90180141269646763</c:v>
                </c:pt>
                <c:pt idx="8">
                  <c:v>0.9247506545520503</c:v>
                </c:pt>
                <c:pt idx="9">
                  <c:v>0.94116948910550946</c:v>
                </c:pt>
                <c:pt idx="10">
                  <c:v>0.95720286734146809</c:v>
                </c:pt>
                <c:pt idx="11">
                  <c:v>0.97282000838682436</c:v>
                </c:pt>
                <c:pt idx="12">
                  <c:v>0.9879046986147979</c:v>
                </c:pt>
                <c:pt idx="13">
                  <c:v>1.0062337477853429</c:v>
                </c:pt>
                <c:pt idx="14">
                  <c:v>1.0219122555796616</c:v>
                </c:pt>
                <c:pt idx="15">
                  <c:v>1.0372390396153293</c:v>
                </c:pt>
                <c:pt idx="16">
                  <c:v>1.0525358185891112</c:v>
                </c:pt>
                <c:pt idx="17">
                  <c:v>1.0677309513605926</c:v>
                </c:pt>
                <c:pt idx="18">
                  <c:v>1.0820417918811371</c:v>
                </c:pt>
                <c:pt idx="19">
                  <c:v>1.0970089602931083</c:v>
                </c:pt>
                <c:pt idx="20">
                  <c:v>1.1119703747930458</c:v>
                </c:pt>
                <c:pt idx="21">
                  <c:v>1.1261682444055634</c:v>
                </c:pt>
                <c:pt idx="22">
                  <c:v>1.1402012764555063</c:v>
                </c:pt>
                <c:pt idx="23">
                  <c:v>1.154168916991662</c:v>
                </c:pt>
                <c:pt idx="24">
                  <c:v>1.1681045888330313</c:v>
                </c:pt>
                <c:pt idx="25">
                  <c:v>1.1820300875074561</c:v>
                </c:pt>
                <c:pt idx="26">
                  <c:v>1.1956162908257024</c:v>
                </c:pt>
                <c:pt idx="27">
                  <c:v>1.2091191207368581</c:v>
                </c:pt>
                <c:pt idx="28">
                  <c:v>1.2221586559057891</c:v>
                </c:pt>
                <c:pt idx="29">
                  <c:v>1.2352384073146787</c:v>
                </c:pt>
                <c:pt idx="30">
                  <c:v>1.2481655249542771</c:v>
                </c:pt>
                <c:pt idx="31">
                  <c:v>1.2608759947460517</c:v>
                </c:pt>
                <c:pt idx="32">
                  <c:v>1.2733917261247911</c:v>
                </c:pt>
                <c:pt idx="33">
                  <c:v>1.2855440580438739</c:v>
                </c:pt>
                <c:pt idx="34">
                  <c:v>1.2975916983042555</c:v>
                </c:pt>
                <c:pt idx="35">
                  <c:v>1.3094115270218851</c:v>
                </c:pt>
                <c:pt idx="36">
                  <c:v>1.3209700375436575</c:v>
                </c:pt>
                <c:pt idx="37">
                  <c:v>1.3322819761259788</c:v>
                </c:pt>
                <c:pt idx="38">
                  <c:v>1.3433023038026803</c:v>
                </c:pt>
                <c:pt idx="39">
                  <c:v>1.3541148276724551</c:v>
                </c:pt>
                <c:pt idx="40">
                  <c:v>1.3646443896115654</c:v>
                </c:pt>
                <c:pt idx="41">
                  <c:v>1.3748828763388281</c:v>
                </c:pt>
                <c:pt idx="42">
                  <c:v>1.38483079362488</c:v>
                </c:pt>
                <c:pt idx="43">
                  <c:v>1.3944888174475789</c:v>
                </c:pt>
                <c:pt idx="44">
                  <c:v>1.4038416052523779</c:v>
                </c:pt>
                <c:pt idx="45">
                  <c:v>1.4128773306323579</c:v>
                </c:pt>
                <c:pt idx="46">
                  <c:v>1.4215867458950027</c:v>
                </c:pt>
                <c:pt idx="47">
                  <c:v>1.4299675786758086</c:v>
                </c:pt>
                <c:pt idx="48">
                  <c:v>1.4380125419576659</c:v>
                </c:pt>
                <c:pt idx="49">
                  <c:v>1.4457170778918464</c:v>
                </c:pt>
                <c:pt idx="50">
                  <c:v>1.4530687441095878</c:v>
                </c:pt>
                <c:pt idx="51">
                  <c:v>1.4600610874115767</c:v>
                </c:pt>
                <c:pt idx="52">
                  <c:v>1.4666881175331843</c:v>
                </c:pt>
              </c:numCache>
            </c:numRef>
          </c:yVal>
          <c:smooth val="1"/>
          <c:extLst>
            <c:ext xmlns:c16="http://schemas.microsoft.com/office/drawing/2014/chart" uri="{C3380CC4-5D6E-409C-BE32-E72D297353CC}">
              <c16:uniqueId val="{00000000-B718-4EBE-8A4C-91E43382B412}"/>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'CC70-Tendencial'!$K$67:$BK$67</c:f>
              <c:numCache>
                <c:formatCode>General</c:formatCode>
                <c:ptCount val="53"/>
                <c:pt idx="0">
                  <c:v>0.81041011424000009</c:v>
                </c:pt>
                <c:pt idx="1">
                  <c:v>0.94249586699999999</c:v>
                </c:pt>
                <c:pt idx="2">
                  <c:v>0.91618988825000036</c:v>
                </c:pt>
                <c:pt idx="3">
                  <c:v>0.94511519049370374</c:v>
                </c:pt>
                <c:pt idx="4">
                  <c:v>1.1656097110748405</c:v>
                </c:pt>
                <c:pt idx="5" formatCode="0.00000">
                  <c:v>0.86192715459303659</c:v>
                </c:pt>
                <c:pt idx="6" formatCode="0.00000">
                  <c:v>0.88747830617921841</c:v>
                </c:pt>
                <c:pt idx="7" formatCode="0.00000">
                  <c:v>0.90180141269646763</c:v>
                </c:pt>
                <c:pt idx="8" formatCode="0.00000">
                  <c:v>0.9247506545520503</c:v>
                </c:pt>
                <c:pt idx="9" formatCode="0.00000">
                  <c:v>0.94116948910550946</c:v>
                </c:pt>
                <c:pt idx="10" formatCode="0.00000">
                  <c:v>0.95720286734146809</c:v>
                </c:pt>
                <c:pt idx="11" formatCode="0.00000">
                  <c:v>0.97282000838682436</c:v>
                </c:pt>
                <c:pt idx="12" formatCode="0.00000">
                  <c:v>0.9879046986147979</c:v>
                </c:pt>
                <c:pt idx="13" formatCode="0.00000">
                  <c:v>1.0062337477853429</c:v>
                </c:pt>
                <c:pt idx="14" formatCode="0.00000">
                  <c:v>1.0219122555796616</c:v>
                </c:pt>
                <c:pt idx="15" formatCode="0.00000">
                  <c:v>1.0372390396153293</c:v>
                </c:pt>
                <c:pt idx="16" formatCode="0.00000">
                  <c:v>1.0525358185891112</c:v>
                </c:pt>
                <c:pt idx="17" formatCode="0.00000">
                  <c:v>1.0677309513605926</c:v>
                </c:pt>
                <c:pt idx="18" formatCode="0.00000">
                  <c:v>1.0820417918811371</c:v>
                </c:pt>
                <c:pt idx="19" formatCode="0.00000">
                  <c:v>1.0970089602931083</c:v>
                </c:pt>
                <c:pt idx="20" formatCode="0.00000">
                  <c:v>1.1119703747930458</c:v>
                </c:pt>
                <c:pt idx="21" formatCode="0.00000">
                  <c:v>1.1261682444055634</c:v>
                </c:pt>
                <c:pt idx="22" formatCode="0.00000">
                  <c:v>1.1402012764555063</c:v>
                </c:pt>
                <c:pt idx="23" formatCode="0.00000">
                  <c:v>1.154168916991662</c:v>
                </c:pt>
                <c:pt idx="24" formatCode="0.00000">
                  <c:v>1.1681045888330313</c:v>
                </c:pt>
                <c:pt idx="25" formatCode="0.00000">
                  <c:v>1.1820300875074561</c:v>
                </c:pt>
                <c:pt idx="26" formatCode="0.00000">
                  <c:v>1.1956162908257024</c:v>
                </c:pt>
                <c:pt idx="27" formatCode="0.00000">
                  <c:v>1.2091191207368581</c:v>
                </c:pt>
                <c:pt idx="28" formatCode="0.00000">
                  <c:v>1.2221586559057891</c:v>
                </c:pt>
                <c:pt idx="29" formatCode="0.00000">
                  <c:v>1.2352384073146787</c:v>
                </c:pt>
                <c:pt idx="30" formatCode="0.00000">
                  <c:v>1.2481655249542771</c:v>
                </c:pt>
                <c:pt idx="31" formatCode="0.00000">
                  <c:v>1.2608759947460517</c:v>
                </c:pt>
                <c:pt idx="32" formatCode="0.00000">
                  <c:v>1.2733917261247911</c:v>
                </c:pt>
                <c:pt idx="33" formatCode="0.00000">
                  <c:v>1.2855440580438739</c:v>
                </c:pt>
                <c:pt idx="34" formatCode="0.00000">
                  <c:v>1.2975916983042555</c:v>
                </c:pt>
                <c:pt idx="35" formatCode="0.00000">
                  <c:v>1.3094115270218851</c:v>
                </c:pt>
                <c:pt idx="36" formatCode="0.00000">
                  <c:v>1.3209700375436575</c:v>
                </c:pt>
                <c:pt idx="37" formatCode="0.00000">
                  <c:v>1.3322819761259788</c:v>
                </c:pt>
                <c:pt idx="38" formatCode="0.00000">
                  <c:v>1.3433023038026803</c:v>
                </c:pt>
                <c:pt idx="39" formatCode="0.00000">
                  <c:v>1.3541148276724551</c:v>
                </c:pt>
                <c:pt idx="40" formatCode="0.00000">
                  <c:v>1.3646443896115654</c:v>
                </c:pt>
                <c:pt idx="41" formatCode="0.00000">
                  <c:v>1.3748828763388281</c:v>
                </c:pt>
                <c:pt idx="42" formatCode="0.00000">
                  <c:v>1.38483079362488</c:v>
                </c:pt>
                <c:pt idx="43" formatCode="0.00000">
                  <c:v>1.3944888174475789</c:v>
                </c:pt>
                <c:pt idx="44" formatCode="0.00000">
                  <c:v>1.4038416052523779</c:v>
                </c:pt>
                <c:pt idx="45" formatCode="0.00000">
                  <c:v>1.4128773306323579</c:v>
                </c:pt>
                <c:pt idx="46" formatCode="0.00000">
                  <c:v>1.4215867458950027</c:v>
                </c:pt>
                <c:pt idx="47" formatCode="0.00000">
                  <c:v>1.4299675786758086</c:v>
                </c:pt>
                <c:pt idx="48" formatCode="0.00000">
                  <c:v>1.4380125419576659</c:v>
                </c:pt>
                <c:pt idx="49" formatCode="0.00000">
                  <c:v>1.4457170778918464</c:v>
                </c:pt>
                <c:pt idx="50" formatCode="0.00000">
                  <c:v>1.4530687441095878</c:v>
                </c:pt>
                <c:pt idx="51" formatCode="0.00000">
                  <c:v>1.4600610874115767</c:v>
                </c:pt>
                <c:pt idx="52" formatCode="0.00000">
                  <c:v>1.4666881175331843</c:v>
                </c:pt>
              </c:numCache>
            </c:numRef>
          </c:yVal>
          <c:smooth val="1"/>
          <c:extLst>
            <c:ext xmlns:c16="http://schemas.microsoft.com/office/drawing/2014/chart" uri="{C3380CC4-5D6E-409C-BE32-E72D297353CC}">
              <c16:uniqueId val="{00000001-B718-4EBE-8A4C-91E43382B412}"/>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Verduras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'CC70-Tendencial'!$K$52:$BK$52</c:f>
              <c:numCache>
                <c:formatCode>General</c:formatCode>
                <c:ptCount val="53"/>
                <c:pt idx="0">
                  <c:v>0.18250613814913397</c:v>
                </c:pt>
                <c:pt idx="1">
                  <c:v>0.19112520351487278</c:v>
                </c:pt>
                <c:pt idx="2">
                  <c:v>0.15689085289981208</c:v>
                </c:pt>
                <c:pt idx="3">
                  <c:v>0.14502291746577867</c:v>
                </c:pt>
                <c:pt idx="4">
                  <c:v>0.15313606994131015</c:v>
                </c:pt>
                <c:pt idx="5">
                  <c:v>0.11202173983846433</c:v>
                </c:pt>
                <c:pt idx="6">
                  <c:v>0.11371868433315646</c:v>
                </c:pt>
                <c:pt idx="7">
                  <c:v>0.11622745983670546</c:v>
                </c:pt>
                <c:pt idx="8">
                  <c:v>0.11729428501429927</c:v>
                </c:pt>
                <c:pt idx="9">
                  <c:v>0.11890309804674101</c:v>
                </c:pt>
                <c:pt idx="10">
                  <c:v>0.12037798354925565</c:v>
                </c:pt>
                <c:pt idx="11">
                  <c:v>0.12193496769292118</c:v>
                </c:pt>
                <c:pt idx="12">
                  <c:v>0.12317415630071481</c:v>
                </c:pt>
                <c:pt idx="13">
                  <c:v>0.12730341200508116</c:v>
                </c:pt>
                <c:pt idx="14">
                  <c:v>0.12903934701898268</c:v>
                </c:pt>
                <c:pt idx="15">
                  <c:v>0.13047452343321606</c:v>
                </c:pt>
                <c:pt idx="16">
                  <c:v>0.13227436406080334</c:v>
                </c:pt>
                <c:pt idx="17">
                  <c:v>0.13410010493844776</c:v>
                </c:pt>
                <c:pt idx="18">
                  <c:v>0.13590579665513233</c:v>
                </c:pt>
                <c:pt idx="19">
                  <c:v>0.13787897421656115</c:v>
                </c:pt>
                <c:pt idx="20">
                  <c:v>0.13996523454488122</c:v>
                </c:pt>
                <c:pt idx="21">
                  <c:v>0.14161204179032272</c:v>
                </c:pt>
                <c:pt idx="22">
                  <c:v>0.1433162763388518</c:v>
                </c:pt>
                <c:pt idx="23">
                  <c:v>0.14505835138428827</c:v>
                </c:pt>
                <c:pt idx="24">
                  <c:v>0.1468128063944987</c:v>
                </c:pt>
                <c:pt idx="25">
                  <c:v>0.14870009951230811</c:v>
                </c:pt>
                <c:pt idx="26">
                  <c:v>0.15042714961913342</c:v>
                </c:pt>
                <c:pt idx="27">
                  <c:v>0.15221643147025027</c:v>
                </c:pt>
                <c:pt idx="28">
                  <c:v>0.15378950502892597</c:v>
                </c:pt>
                <c:pt idx="29">
                  <c:v>0.15549455102552148</c:v>
                </c:pt>
                <c:pt idx="30">
                  <c:v>0.15720010622772257</c:v>
                </c:pt>
                <c:pt idx="31">
                  <c:v>0.15886538103470982</c:v>
                </c:pt>
                <c:pt idx="32">
                  <c:v>0.16050529061795193</c:v>
                </c:pt>
                <c:pt idx="33">
                  <c:v>0.1620268311594204</c:v>
                </c:pt>
                <c:pt idx="34">
                  <c:v>0.1635894445912599</c:v>
                </c:pt>
                <c:pt idx="35">
                  <c:v>0.16512358506660332</c:v>
                </c:pt>
                <c:pt idx="36">
                  <c:v>0.16661201396723418</c:v>
                </c:pt>
                <c:pt idx="37">
                  <c:v>0.16806729431570375</c:v>
                </c:pt>
                <c:pt idx="38">
                  <c:v>0.1694712753786714</c:v>
                </c:pt>
                <c:pt idx="39">
                  <c:v>0.17086865316914374</c:v>
                </c:pt>
                <c:pt idx="40">
                  <c:v>0.17222522547968269</c:v>
                </c:pt>
                <c:pt idx="41">
                  <c:v>0.17354013528413328</c:v>
                </c:pt>
                <c:pt idx="42">
                  <c:v>0.17481628186647033</c:v>
                </c:pt>
                <c:pt idx="43">
                  <c:v>0.17605629728100303</c:v>
                </c:pt>
                <c:pt idx="44">
                  <c:v>0.17725596400632812</c:v>
                </c:pt>
                <c:pt idx="45">
                  <c:v>0.1784126412968183</c:v>
                </c:pt>
                <c:pt idx="46">
                  <c:v>0.17952472283337059</c:v>
                </c:pt>
                <c:pt idx="47">
                  <c:v>0.18059336070056217</c:v>
                </c:pt>
                <c:pt idx="48">
                  <c:v>0.18161753007890583</c:v>
                </c:pt>
                <c:pt idx="49">
                  <c:v>0.18259721014305763</c:v>
                </c:pt>
                <c:pt idx="50">
                  <c:v>0.18352931045336629</c:v>
                </c:pt>
                <c:pt idx="51">
                  <c:v>0.18441307117657948</c:v>
                </c:pt>
                <c:pt idx="52">
                  <c:v>0.18524782129553674</c:v>
                </c:pt>
              </c:numCache>
            </c:numRef>
          </c:yVal>
          <c:smooth val="1"/>
          <c:extLst>
            <c:ext xmlns:c16="http://schemas.microsoft.com/office/drawing/2014/chart" uri="{C3380CC4-5D6E-409C-BE32-E72D297353CC}">
              <c16:uniqueId val="{00000000-7373-464E-9F0D-D8C6F125943B}"/>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'CC70-Tendencial'!$K$68:$BK$68</c:f>
              <c:numCache>
                <c:formatCode>General</c:formatCode>
                <c:ptCount val="53"/>
                <c:pt idx="0">
                  <c:v>0.18250613814913397</c:v>
                </c:pt>
                <c:pt idx="1">
                  <c:v>0.19112520351487278</c:v>
                </c:pt>
                <c:pt idx="2">
                  <c:v>0.15689085289981208</c:v>
                </c:pt>
                <c:pt idx="3">
                  <c:v>0.14502291746577867</c:v>
                </c:pt>
                <c:pt idx="4">
                  <c:v>0.15313606994131015</c:v>
                </c:pt>
                <c:pt idx="5" formatCode="0.00000">
                  <c:v>0.11202173983846433</c:v>
                </c:pt>
                <c:pt idx="6" formatCode="0.00000">
                  <c:v>0.11371868433315646</c:v>
                </c:pt>
                <c:pt idx="7" formatCode="0.00000">
                  <c:v>0.11622745983670546</c:v>
                </c:pt>
                <c:pt idx="8" formatCode="0.00000">
                  <c:v>0.11729428501429927</c:v>
                </c:pt>
                <c:pt idx="9" formatCode="0.00000">
                  <c:v>0.11890309804674101</c:v>
                </c:pt>
                <c:pt idx="10" formatCode="0.00000">
                  <c:v>0.12037798354925565</c:v>
                </c:pt>
                <c:pt idx="11" formatCode="0.00000">
                  <c:v>0.12193496769292118</c:v>
                </c:pt>
                <c:pt idx="12" formatCode="0.00000">
                  <c:v>0.12317415630071481</c:v>
                </c:pt>
                <c:pt idx="13" formatCode="0.00000">
                  <c:v>0.12730341200508116</c:v>
                </c:pt>
                <c:pt idx="14" formatCode="0.00000">
                  <c:v>0.12903934701898268</c:v>
                </c:pt>
                <c:pt idx="15" formatCode="0.00000">
                  <c:v>0.13047452343321606</c:v>
                </c:pt>
                <c:pt idx="16" formatCode="0.00000">
                  <c:v>0.13227436406080334</c:v>
                </c:pt>
                <c:pt idx="17" formatCode="0.00000">
                  <c:v>0.13410010493844776</c:v>
                </c:pt>
                <c:pt idx="18" formatCode="0.00000">
                  <c:v>0.13590579665513233</c:v>
                </c:pt>
                <c:pt idx="19" formatCode="0.00000">
                  <c:v>0.13787897421656115</c:v>
                </c:pt>
                <c:pt idx="20" formatCode="0.00000">
                  <c:v>0.13996523454488122</c:v>
                </c:pt>
                <c:pt idx="21" formatCode="0.00000">
                  <c:v>0.14161204179032272</c:v>
                </c:pt>
                <c:pt idx="22" formatCode="0.00000">
                  <c:v>0.1433162763388518</c:v>
                </c:pt>
                <c:pt idx="23" formatCode="0.00000">
                  <c:v>0.14505835138428827</c:v>
                </c:pt>
                <c:pt idx="24" formatCode="0.00000">
                  <c:v>0.1468128063944987</c:v>
                </c:pt>
                <c:pt idx="25" formatCode="0.00000">
                  <c:v>0.14870009951230811</c:v>
                </c:pt>
                <c:pt idx="26" formatCode="0.00000">
                  <c:v>0.15042714961913342</c:v>
                </c:pt>
                <c:pt idx="27" formatCode="0.00000">
                  <c:v>0.15221643147025027</c:v>
                </c:pt>
                <c:pt idx="28" formatCode="0.00000">
                  <c:v>0.15378950502892597</c:v>
                </c:pt>
                <c:pt idx="29" formatCode="0.00000">
                  <c:v>0.15549455102552148</c:v>
                </c:pt>
                <c:pt idx="30" formatCode="0.00000">
                  <c:v>0.15720010622772257</c:v>
                </c:pt>
                <c:pt idx="31" formatCode="0.00000">
                  <c:v>0.15886538103470982</c:v>
                </c:pt>
                <c:pt idx="32" formatCode="0.00000">
                  <c:v>0.16050529061795193</c:v>
                </c:pt>
                <c:pt idx="33" formatCode="0.00000">
                  <c:v>0.1620268311594204</c:v>
                </c:pt>
                <c:pt idx="34" formatCode="0.00000">
                  <c:v>0.1635894445912599</c:v>
                </c:pt>
                <c:pt idx="35" formatCode="0.00000">
                  <c:v>0.16512358506660332</c:v>
                </c:pt>
                <c:pt idx="36" formatCode="0.00000">
                  <c:v>0.16661201396723418</c:v>
                </c:pt>
                <c:pt idx="37" formatCode="0.00000">
                  <c:v>0.16806729431570375</c:v>
                </c:pt>
                <c:pt idx="38" formatCode="0.00000">
                  <c:v>0.1694712753786714</c:v>
                </c:pt>
                <c:pt idx="39" formatCode="0.00000">
                  <c:v>0.17086865316914374</c:v>
                </c:pt>
                <c:pt idx="40" formatCode="0.00000">
                  <c:v>0.17222522547968269</c:v>
                </c:pt>
                <c:pt idx="41" formatCode="0.00000">
                  <c:v>0.17354013528413328</c:v>
                </c:pt>
                <c:pt idx="42" formatCode="0.00000">
                  <c:v>0.17481628186647033</c:v>
                </c:pt>
                <c:pt idx="43" formatCode="0.00000">
                  <c:v>0.17605629728100303</c:v>
                </c:pt>
                <c:pt idx="44" formatCode="0.00000">
                  <c:v>0.17725596400632812</c:v>
                </c:pt>
                <c:pt idx="45" formatCode="0.00000">
                  <c:v>0.1784126412968183</c:v>
                </c:pt>
                <c:pt idx="46" formatCode="0.00000">
                  <c:v>0.17952472283337059</c:v>
                </c:pt>
                <c:pt idx="47" formatCode="0.00000">
                  <c:v>0.18059336070056217</c:v>
                </c:pt>
                <c:pt idx="48" formatCode="0.00000">
                  <c:v>0.18161753007890583</c:v>
                </c:pt>
                <c:pt idx="49" formatCode="0.00000">
                  <c:v>0.18259721014305763</c:v>
                </c:pt>
                <c:pt idx="50" formatCode="0.00000">
                  <c:v>0.18352931045336629</c:v>
                </c:pt>
                <c:pt idx="51" formatCode="0.00000">
                  <c:v>0.18441307117657948</c:v>
                </c:pt>
                <c:pt idx="52" formatCode="0.00000">
                  <c:v>0.18524782129553674</c:v>
                </c:pt>
              </c:numCache>
            </c:numRef>
          </c:yVal>
          <c:smooth val="1"/>
          <c:extLst>
            <c:ext xmlns:c16="http://schemas.microsoft.com/office/drawing/2014/chart" uri="{C3380CC4-5D6E-409C-BE32-E72D297353CC}">
              <c16:uniqueId val="{00000001-7373-464E-9F0D-D8C6F125943B}"/>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Florícola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'CC70-Tendencial'!$K$53:$BK$53</c:f>
              <c:numCache>
                <c:formatCode>General</c:formatCode>
                <c:ptCount val="53"/>
                <c:pt idx="0">
                  <c:v>0.35244185919999993</c:v>
                </c:pt>
                <c:pt idx="1">
                  <c:v>0.3674134261</c:v>
                </c:pt>
                <c:pt idx="2">
                  <c:v>0.2407493235</c:v>
                </c:pt>
                <c:pt idx="3">
                  <c:v>0.27267457750000001</c:v>
                </c:pt>
                <c:pt idx="4">
                  <c:v>0.17626938160177008</c:v>
                </c:pt>
                <c:pt idx="5">
                  <c:v>0.25307560935042928</c:v>
                </c:pt>
                <c:pt idx="6">
                  <c:v>0.25243096921953534</c:v>
                </c:pt>
                <c:pt idx="7">
                  <c:v>0.25996063723550611</c:v>
                </c:pt>
                <c:pt idx="8">
                  <c:v>0.25707793487445219</c:v>
                </c:pt>
                <c:pt idx="9">
                  <c:v>0.25930255608510155</c:v>
                </c:pt>
                <c:pt idx="10">
                  <c:v>0.26099020533721673</c:v>
                </c:pt>
                <c:pt idx="11">
                  <c:v>0.2632422513720028</c:v>
                </c:pt>
                <c:pt idx="12">
                  <c:v>0.2640829649475927</c:v>
                </c:pt>
                <c:pt idx="13">
                  <c:v>0.27832917211462221</c:v>
                </c:pt>
                <c:pt idx="14">
                  <c:v>0.28145994720707318</c:v>
                </c:pt>
                <c:pt idx="15">
                  <c:v>0.28319938054564048</c:v>
                </c:pt>
                <c:pt idx="16">
                  <c:v>0.28679024207098774</c:v>
                </c:pt>
                <c:pt idx="17">
                  <c:v>0.29054838258011767</c:v>
                </c:pt>
                <c:pt idx="18">
                  <c:v>0.29441332223685091</c:v>
                </c:pt>
                <c:pt idx="19">
                  <c:v>0.29896887949501366</c:v>
                </c:pt>
                <c:pt idx="20">
                  <c:v>0.30408646477182244</c:v>
                </c:pt>
                <c:pt idx="21">
                  <c:v>0.30725741115988942</c:v>
                </c:pt>
                <c:pt idx="22">
                  <c:v>0.31076465494809741</c:v>
                </c:pt>
                <c:pt idx="23">
                  <c:v>0.31448921287267884</c:v>
                </c:pt>
                <c:pt idx="24">
                  <c:v>0.31830085324182045</c:v>
                </c:pt>
                <c:pt idx="25">
                  <c:v>0.32276752402674214</c:v>
                </c:pt>
                <c:pt idx="26">
                  <c:v>0.32656257792665117</c:v>
                </c:pt>
                <c:pt idx="27">
                  <c:v>0.33069197710215548</c:v>
                </c:pt>
                <c:pt idx="28">
                  <c:v>0.33391623089751638</c:v>
                </c:pt>
                <c:pt idx="29">
                  <c:v>0.33777972607068418</c:v>
                </c:pt>
                <c:pt idx="30">
                  <c:v>0.34170004047776487</c:v>
                </c:pt>
                <c:pt idx="31">
                  <c:v>0.34549850084330469</c:v>
                </c:pt>
                <c:pt idx="32">
                  <c:v>0.34924105727619309</c:v>
                </c:pt>
                <c:pt idx="33">
                  <c:v>0.35252851439699112</c:v>
                </c:pt>
                <c:pt idx="34">
                  <c:v>0.35605527364239942</c:v>
                </c:pt>
                <c:pt idx="35">
                  <c:v>0.35952180507300807</c:v>
                </c:pt>
                <c:pt idx="36">
                  <c:v>0.36285583813783695</c:v>
                </c:pt>
                <c:pt idx="37">
                  <c:v>0.36611396764040632</c:v>
                </c:pt>
                <c:pt idx="38">
                  <c:v>0.36922233946242111</c:v>
                </c:pt>
                <c:pt idx="39">
                  <c:v>0.37237171594012564</c:v>
                </c:pt>
                <c:pt idx="40">
                  <c:v>0.37541990772079226</c:v>
                </c:pt>
                <c:pt idx="41">
                  <c:v>0.37836562845696092</c:v>
                </c:pt>
                <c:pt idx="42">
                  <c:v>0.38122307174867115</c:v>
                </c:pt>
                <c:pt idx="43">
                  <c:v>0.38400502817769105</c:v>
                </c:pt>
                <c:pt idx="44">
                  <c:v>0.38669604407723079</c:v>
                </c:pt>
                <c:pt idx="45">
                  <c:v>0.38928723765973505</c:v>
                </c:pt>
                <c:pt idx="46">
                  <c:v>0.39177395282848143</c:v>
                </c:pt>
                <c:pt idx="47">
                  <c:v>0.3941626847732852</c:v>
                </c:pt>
                <c:pt idx="48">
                  <c:v>0.39645095862870994</c:v>
                </c:pt>
                <c:pt idx="49">
                  <c:v>0.39864028785211059</c:v>
                </c:pt>
                <c:pt idx="50">
                  <c:v>0.40071981087755715</c:v>
                </c:pt>
                <c:pt idx="51">
                  <c:v>0.40268804412043169</c:v>
                </c:pt>
                <c:pt idx="52">
                  <c:v>0.40454378447419481</c:v>
                </c:pt>
              </c:numCache>
            </c:numRef>
          </c:yVal>
          <c:smooth val="1"/>
          <c:extLst>
            <c:ext xmlns:c16="http://schemas.microsoft.com/office/drawing/2014/chart" uri="{C3380CC4-5D6E-409C-BE32-E72D297353CC}">
              <c16:uniqueId val="{00000000-E7FD-4916-AF1E-B57D013878E2}"/>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'CC70-Tendencial'!$K$69:$BK$69</c:f>
              <c:numCache>
                <c:formatCode>General</c:formatCode>
                <c:ptCount val="53"/>
                <c:pt idx="0">
                  <c:v>0.35244185919999993</c:v>
                </c:pt>
                <c:pt idx="1">
                  <c:v>0.3674134261</c:v>
                </c:pt>
                <c:pt idx="2">
                  <c:v>0.2407493235</c:v>
                </c:pt>
                <c:pt idx="3">
                  <c:v>0.27267457750000001</c:v>
                </c:pt>
                <c:pt idx="4">
                  <c:v>0.17626938160177008</c:v>
                </c:pt>
                <c:pt idx="5" formatCode="0.00000">
                  <c:v>0.25307560935042928</c:v>
                </c:pt>
                <c:pt idx="6" formatCode="0.00000">
                  <c:v>0.25243096921953534</c:v>
                </c:pt>
                <c:pt idx="7" formatCode="0.00000">
                  <c:v>0.25996063723550611</c:v>
                </c:pt>
                <c:pt idx="8" formatCode="0.00000">
                  <c:v>0.25707793487445219</c:v>
                </c:pt>
                <c:pt idx="9" formatCode="0.00000">
                  <c:v>0.25930255608510155</c:v>
                </c:pt>
                <c:pt idx="10" formatCode="0.00000">
                  <c:v>0.26099020533721673</c:v>
                </c:pt>
                <c:pt idx="11" formatCode="0.00000">
                  <c:v>0.2632422513720028</c:v>
                </c:pt>
                <c:pt idx="12" formatCode="0.00000">
                  <c:v>0.2640829649475927</c:v>
                </c:pt>
                <c:pt idx="13" formatCode="0.00000">
                  <c:v>0.27832917211462221</c:v>
                </c:pt>
                <c:pt idx="14" formatCode="0.00000">
                  <c:v>0.28145994720707318</c:v>
                </c:pt>
                <c:pt idx="15" formatCode="0.00000">
                  <c:v>0.28319938054564048</c:v>
                </c:pt>
                <c:pt idx="16" formatCode="0.00000">
                  <c:v>0.28679024207098774</c:v>
                </c:pt>
                <c:pt idx="17" formatCode="0.00000">
                  <c:v>0.29054838258011767</c:v>
                </c:pt>
                <c:pt idx="18" formatCode="0.00000">
                  <c:v>0.29441332223685091</c:v>
                </c:pt>
                <c:pt idx="19" formatCode="0.00000">
                  <c:v>0.29896887949501366</c:v>
                </c:pt>
                <c:pt idx="20" formatCode="0.00000">
                  <c:v>0.30408646477182244</c:v>
                </c:pt>
                <c:pt idx="21" formatCode="0.00000">
                  <c:v>0.30725741115988942</c:v>
                </c:pt>
                <c:pt idx="22" formatCode="0.00000">
                  <c:v>0.31076465494809741</c:v>
                </c:pt>
                <c:pt idx="23" formatCode="0.00000">
                  <c:v>0.31448921287267884</c:v>
                </c:pt>
                <c:pt idx="24" formatCode="0.00000">
                  <c:v>0.31830085324182045</c:v>
                </c:pt>
                <c:pt idx="25" formatCode="0.00000">
                  <c:v>0.32276752402674214</c:v>
                </c:pt>
                <c:pt idx="26" formatCode="0.00000">
                  <c:v>0.32656257792665117</c:v>
                </c:pt>
                <c:pt idx="27" formatCode="0.00000">
                  <c:v>0.33069197710215548</c:v>
                </c:pt>
                <c:pt idx="28" formatCode="0.00000">
                  <c:v>0.33391623089751638</c:v>
                </c:pt>
                <c:pt idx="29" formatCode="0.00000">
                  <c:v>0.33777972607068418</c:v>
                </c:pt>
                <c:pt idx="30" formatCode="0.00000">
                  <c:v>0.34170004047776487</c:v>
                </c:pt>
                <c:pt idx="31" formatCode="0.00000">
                  <c:v>0.34549850084330469</c:v>
                </c:pt>
                <c:pt idx="32" formatCode="0.00000">
                  <c:v>0.34924105727619309</c:v>
                </c:pt>
                <c:pt idx="33" formatCode="0.00000">
                  <c:v>0.35252851439699112</c:v>
                </c:pt>
                <c:pt idx="34" formatCode="0.00000">
                  <c:v>0.35605527364239942</c:v>
                </c:pt>
                <c:pt idx="35" formatCode="0.00000">
                  <c:v>0.35952180507300807</c:v>
                </c:pt>
                <c:pt idx="36" formatCode="0.00000">
                  <c:v>0.36285583813783695</c:v>
                </c:pt>
                <c:pt idx="37" formatCode="0.00000">
                  <c:v>0.36611396764040632</c:v>
                </c:pt>
                <c:pt idx="38" formatCode="0.00000">
                  <c:v>0.36922233946242111</c:v>
                </c:pt>
                <c:pt idx="39" formatCode="0.00000">
                  <c:v>0.37237171594012564</c:v>
                </c:pt>
                <c:pt idx="40" formatCode="0.00000">
                  <c:v>0.37541990772079226</c:v>
                </c:pt>
                <c:pt idx="41" formatCode="0.00000">
                  <c:v>0.37836562845696092</c:v>
                </c:pt>
                <c:pt idx="42" formatCode="0.00000">
                  <c:v>0.38122307174867115</c:v>
                </c:pt>
                <c:pt idx="43" formatCode="0.00000">
                  <c:v>0.38400502817769105</c:v>
                </c:pt>
                <c:pt idx="44" formatCode="0.00000">
                  <c:v>0.38669604407723079</c:v>
                </c:pt>
                <c:pt idx="45" formatCode="0.00000">
                  <c:v>0.38928723765973505</c:v>
                </c:pt>
                <c:pt idx="46" formatCode="0.00000">
                  <c:v>0.39177395282848143</c:v>
                </c:pt>
                <c:pt idx="47" formatCode="0.00000">
                  <c:v>0.3941626847732852</c:v>
                </c:pt>
                <c:pt idx="48" formatCode="0.00000">
                  <c:v>0.39645095862870994</c:v>
                </c:pt>
                <c:pt idx="49" formatCode="0.00000">
                  <c:v>0.39864028785211059</c:v>
                </c:pt>
                <c:pt idx="50" formatCode="0.00000">
                  <c:v>0.40071981087755715</c:v>
                </c:pt>
                <c:pt idx="51" formatCode="0.00000">
                  <c:v>0.40268804412043169</c:v>
                </c:pt>
                <c:pt idx="52" formatCode="0.00000">
                  <c:v>0.40454378447419481</c:v>
                </c:pt>
              </c:numCache>
            </c:numRef>
          </c:yVal>
          <c:smooth val="1"/>
          <c:extLst>
            <c:ext xmlns:c16="http://schemas.microsoft.com/office/drawing/2014/chart" uri="{C3380CC4-5D6E-409C-BE32-E72D297353CC}">
              <c16:uniqueId val="{00000001-E7FD-4916-AF1E-B57D013878E2}"/>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Arroz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'CC70-Tendencial'!$K$54:$BK$54</c:f>
              <c:numCache>
                <c:formatCode>General</c:formatCode>
                <c:ptCount val="53"/>
                <c:pt idx="0">
                  <c:v>1.31871490227</c:v>
                </c:pt>
                <c:pt idx="1">
                  <c:v>1.0708886317799999</c:v>
                </c:pt>
                <c:pt idx="2">
                  <c:v>1.293475982486</c:v>
                </c:pt>
                <c:pt idx="3">
                  <c:v>1.4857295651099998</c:v>
                </c:pt>
                <c:pt idx="4">
                  <c:v>1.5429257600703721</c:v>
                </c:pt>
                <c:pt idx="5">
                  <c:v>1.4375667486337971</c:v>
                </c:pt>
                <c:pt idx="6">
                  <c:v>1.5342759244259199</c:v>
                </c:pt>
                <c:pt idx="7">
                  <c:v>1.5489698821615043</c:v>
                </c:pt>
                <c:pt idx="8">
                  <c:v>1.6516688846693641</c:v>
                </c:pt>
                <c:pt idx="9">
                  <c:v>1.7046113531386069</c:v>
                </c:pt>
                <c:pt idx="10">
                  <c:v>1.760018966469187</c:v>
                </c:pt>
                <c:pt idx="11">
                  <c:v>1.8114928731581974</c:v>
                </c:pt>
                <c:pt idx="12">
                  <c:v>1.8700094682138875</c:v>
                </c:pt>
                <c:pt idx="13">
                  <c:v>1.8620245113329545</c:v>
                </c:pt>
                <c:pt idx="14">
                  <c:v>1.910201434163378</c:v>
                </c:pt>
                <c:pt idx="15">
                  <c:v>1.9660290822853121</c:v>
                </c:pt>
                <c:pt idx="16">
                  <c:v>2.0114162388684966</c:v>
                </c:pt>
                <c:pt idx="17">
                  <c:v>2.0560129060524481</c:v>
                </c:pt>
                <c:pt idx="18">
                  <c:v>2.1001340859949336</c:v>
                </c:pt>
                <c:pt idx="19">
                  <c:v>2.1409645586639292</c:v>
                </c:pt>
                <c:pt idx="20">
                  <c:v>2.1791170047896244</c:v>
                </c:pt>
                <c:pt idx="21">
                  <c:v>2.2271367832778228</c:v>
                </c:pt>
                <c:pt idx="22">
                  <c:v>2.2734202864633479</c:v>
                </c:pt>
                <c:pt idx="23">
                  <c:v>2.318642883107076</c:v>
                </c:pt>
                <c:pt idx="24">
                  <c:v>2.3634635600984115</c:v>
                </c:pt>
                <c:pt idx="25">
                  <c:v>2.405153075242203</c:v>
                </c:pt>
                <c:pt idx="26">
                  <c:v>2.4500461967688598</c:v>
                </c:pt>
                <c:pt idx="27">
                  <c:v>2.493312299476429</c:v>
                </c:pt>
                <c:pt idx="28">
                  <c:v>2.5407869355732347</c:v>
                </c:pt>
                <c:pt idx="29">
                  <c:v>2.585182051549566</c:v>
                </c:pt>
                <c:pt idx="30">
                  <c:v>2.6292243054450517</c:v>
                </c:pt>
                <c:pt idx="31">
                  <c:v>2.6737339419183206</c:v>
                </c:pt>
                <c:pt idx="32">
                  <c:v>2.7184001153920061</c:v>
                </c:pt>
                <c:pt idx="33">
                  <c:v>2.765002837096155</c:v>
                </c:pt>
                <c:pt idx="34">
                  <c:v>2.8103449070310829</c:v>
                </c:pt>
                <c:pt idx="35">
                  <c:v>2.8557624343411123</c:v>
                </c:pt>
                <c:pt idx="36">
                  <c:v>2.9015451111720698</c:v>
                </c:pt>
                <c:pt idx="37">
                  <c:v>2.9474050676612418</c:v>
                </c:pt>
                <c:pt idx="38">
                  <c:v>2.9936324276356987</c:v>
                </c:pt>
                <c:pt idx="39">
                  <c:v>3.0393579548645193</c:v>
                </c:pt>
                <c:pt idx="40">
                  <c:v>3.0851731348850966</c:v>
                </c:pt>
                <c:pt idx="41">
                  <c:v>3.1310485539864827</c:v>
                </c:pt>
                <c:pt idx="42">
                  <c:v>3.1768888192628904</c:v>
                </c:pt>
                <c:pt idx="43">
                  <c:v>3.2226062724682887</c:v>
                </c:pt>
                <c:pt idx="44">
                  <c:v>3.2682335393647075</c:v>
                </c:pt>
                <c:pt idx="45">
                  <c:v>3.3137742862158825</c:v>
                </c:pt>
                <c:pt idx="46">
                  <c:v>3.3592139187661161</c:v>
                </c:pt>
                <c:pt idx="47">
                  <c:v>3.4044916463087369</c:v>
                </c:pt>
                <c:pt idx="48">
                  <c:v>3.449584393155936</c:v>
                </c:pt>
                <c:pt idx="49">
                  <c:v>3.4944528982986292</c:v>
                </c:pt>
                <c:pt idx="50">
                  <c:v>3.5391083478194312</c:v>
                </c:pt>
                <c:pt idx="51">
                  <c:v>3.5835234790363106</c:v>
                </c:pt>
                <c:pt idx="52">
                  <c:v>3.6276701303437191</c:v>
                </c:pt>
              </c:numCache>
            </c:numRef>
          </c:yVal>
          <c:smooth val="1"/>
          <c:extLst>
            <c:ext xmlns:c16="http://schemas.microsoft.com/office/drawing/2014/chart" uri="{C3380CC4-5D6E-409C-BE32-E72D297353CC}">
              <c16:uniqueId val="{00000000-F3C1-45F1-95FF-58D328C4F79B}"/>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'CC70-Tendencial'!$K$70:$BK$70</c:f>
              <c:numCache>
                <c:formatCode>General</c:formatCode>
                <c:ptCount val="53"/>
                <c:pt idx="0">
                  <c:v>1.31871490227</c:v>
                </c:pt>
                <c:pt idx="1">
                  <c:v>1.0708886317799999</c:v>
                </c:pt>
                <c:pt idx="2">
                  <c:v>1.293475982486</c:v>
                </c:pt>
                <c:pt idx="3">
                  <c:v>1.4857295651099998</c:v>
                </c:pt>
                <c:pt idx="4">
                  <c:v>1.5429257600703721</c:v>
                </c:pt>
                <c:pt idx="5" formatCode="0.00000">
                  <c:v>1.4375667486337971</c:v>
                </c:pt>
                <c:pt idx="6" formatCode="0.00000">
                  <c:v>1.5342759244259199</c:v>
                </c:pt>
                <c:pt idx="7" formatCode="0.00000">
                  <c:v>1.5489698821615043</c:v>
                </c:pt>
                <c:pt idx="8" formatCode="0.00000">
                  <c:v>1.6516688846693641</c:v>
                </c:pt>
                <c:pt idx="9" formatCode="0.00000">
                  <c:v>1.7046113531386069</c:v>
                </c:pt>
                <c:pt idx="10" formatCode="0.00000">
                  <c:v>1.760018966469187</c:v>
                </c:pt>
                <c:pt idx="11" formatCode="0.00000">
                  <c:v>1.8114928731581974</c:v>
                </c:pt>
                <c:pt idx="12" formatCode="0.00000">
                  <c:v>1.8700094682138875</c:v>
                </c:pt>
                <c:pt idx="13" formatCode="0.00000">
                  <c:v>1.8620245113329545</c:v>
                </c:pt>
                <c:pt idx="14" formatCode="0.00000">
                  <c:v>1.910201434163378</c:v>
                </c:pt>
                <c:pt idx="15" formatCode="0.00000">
                  <c:v>1.9660290822853121</c:v>
                </c:pt>
                <c:pt idx="16" formatCode="0.00000">
                  <c:v>2.0114162388684966</c:v>
                </c:pt>
                <c:pt idx="17" formatCode="0.00000">
                  <c:v>2.0560129060524481</c:v>
                </c:pt>
                <c:pt idx="18" formatCode="0.00000">
                  <c:v>2.1001340859949336</c:v>
                </c:pt>
                <c:pt idx="19" formatCode="0.00000">
                  <c:v>2.1409645586639292</c:v>
                </c:pt>
                <c:pt idx="20" formatCode="0.00000">
                  <c:v>2.1791170047896244</c:v>
                </c:pt>
                <c:pt idx="21" formatCode="0.00000">
                  <c:v>2.2271367832778228</c:v>
                </c:pt>
                <c:pt idx="22" formatCode="0.00000">
                  <c:v>2.2734202864633479</c:v>
                </c:pt>
                <c:pt idx="23" formatCode="0.00000">
                  <c:v>2.318642883107076</c:v>
                </c:pt>
                <c:pt idx="24" formatCode="0.00000">
                  <c:v>2.3634635600984115</c:v>
                </c:pt>
                <c:pt idx="25" formatCode="0.00000">
                  <c:v>2.405153075242203</c:v>
                </c:pt>
                <c:pt idx="26" formatCode="0.00000">
                  <c:v>2.4500461967688598</c:v>
                </c:pt>
                <c:pt idx="27" formatCode="0.00000">
                  <c:v>2.493312299476429</c:v>
                </c:pt>
                <c:pt idx="28" formatCode="0.00000">
                  <c:v>2.5407869355732347</c:v>
                </c:pt>
                <c:pt idx="29" formatCode="0.00000">
                  <c:v>2.585182051549566</c:v>
                </c:pt>
                <c:pt idx="30" formatCode="0.00000">
                  <c:v>2.6292243054450517</c:v>
                </c:pt>
                <c:pt idx="31" formatCode="0.00000">
                  <c:v>2.6737339419183206</c:v>
                </c:pt>
                <c:pt idx="32" formatCode="0.00000">
                  <c:v>2.7184001153920061</c:v>
                </c:pt>
                <c:pt idx="33" formatCode="0.00000">
                  <c:v>2.765002837096155</c:v>
                </c:pt>
                <c:pt idx="34" formatCode="0.00000">
                  <c:v>2.8103449070310829</c:v>
                </c:pt>
                <c:pt idx="35" formatCode="0.00000">
                  <c:v>2.8557624343411123</c:v>
                </c:pt>
                <c:pt idx="36" formatCode="0.00000">
                  <c:v>2.9015451111720698</c:v>
                </c:pt>
                <c:pt idx="37" formatCode="0.00000">
                  <c:v>2.9474050676612418</c:v>
                </c:pt>
                <c:pt idx="38" formatCode="0.00000">
                  <c:v>2.9936324276356987</c:v>
                </c:pt>
                <c:pt idx="39" formatCode="0.00000">
                  <c:v>3.0393579548645193</c:v>
                </c:pt>
                <c:pt idx="40" formatCode="0.00000">
                  <c:v>3.0851731348850966</c:v>
                </c:pt>
                <c:pt idx="41" formatCode="0.00000">
                  <c:v>3.1310485539864827</c:v>
                </c:pt>
                <c:pt idx="42" formatCode="0.00000">
                  <c:v>3.1768888192628904</c:v>
                </c:pt>
                <c:pt idx="43" formatCode="0.00000">
                  <c:v>3.2226062724682887</c:v>
                </c:pt>
                <c:pt idx="44" formatCode="0.00000">
                  <c:v>3.2682335393647075</c:v>
                </c:pt>
                <c:pt idx="45" formatCode="0.00000">
                  <c:v>3.3137742862158825</c:v>
                </c:pt>
                <c:pt idx="46" formatCode="0.00000">
                  <c:v>3.3592139187661161</c:v>
                </c:pt>
                <c:pt idx="47" formatCode="0.00000">
                  <c:v>3.4044916463087369</c:v>
                </c:pt>
                <c:pt idx="48" formatCode="0.00000">
                  <c:v>3.449584393155936</c:v>
                </c:pt>
                <c:pt idx="49" formatCode="0.00000">
                  <c:v>3.4944528982986292</c:v>
                </c:pt>
                <c:pt idx="50" formatCode="0.00000">
                  <c:v>3.5391083478194312</c:v>
                </c:pt>
                <c:pt idx="51" formatCode="0.00000">
                  <c:v>3.5835234790363106</c:v>
                </c:pt>
                <c:pt idx="52" formatCode="0.00000">
                  <c:v>3.6276701303437191</c:v>
                </c:pt>
              </c:numCache>
            </c:numRef>
          </c:yVal>
          <c:smooth val="1"/>
          <c:extLst>
            <c:ext xmlns:c16="http://schemas.microsoft.com/office/drawing/2014/chart" uri="{C3380CC4-5D6E-409C-BE32-E72D297353CC}">
              <c16:uniqueId val="{00000001-F3C1-45F1-95FF-58D328C4F79B}"/>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1"/>
            <c:dispRSqr val="1"/>
            <c:dispEq val="1"/>
            <c:trendlineLbl>
              <c:layout>
                <c:manualLayout>
                  <c:x val="8.0985564304461938E-2"/>
                  <c:y val="0.28010535141440651"/>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'Rendimientos Tendencial'!$D$1:$P$1</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'Rendimientos Tendencial'!$D$13:$P$13</c:f>
              <c:numCache>
                <c:formatCode>_ * #,##0.00_ ;_ * \-#,##0.00_ ;_ * "-"??_ ;_ @_ </c:formatCode>
                <c:ptCount val="13"/>
                <c:pt idx="0">
                  <c:v>4.7410408126434112</c:v>
                </c:pt>
                <c:pt idx="1">
                  <c:v>4.8532368074667938</c:v>
                </c:pt>
                <c:pt idx="2">
                  <c:v>5.8565152380632375</c:v>
                </c:pt>
                <c:pt idx="3">
                  <c:v>4.6757077331285606</c:v>
                </c:pt>
                <c:pt idx="4">
                  <c:v>6.4872116979046277</c:v>
                </c:pt>
                <c:pt idx="5">
                  <c:v>7.34537978395816</c:v>
                </c:pt>
                <c:pt idx="6">
                  <c:v>5.8173798949099709</c:v>
                </c:pt>
                <c:pt idx="7">
                  <c:v>7.1572330766544541</c:v>
                </c:pt>
                <c:pt idx="8">
                  <c:v>5.8907862560616735</c:v>
                </c:pt>
                <c:pt idx="9">
                  <c:v>5.0618074550282515</c:v>
                </c:pt>
                <c:pt idx="10">
                  <c:v>5.5734874726479289</c:v>
                </c:pt>
                <c:pt idx="11">
                  <c:v>6.6674589016658894</c:v>
                </c:pt>
                <c:pt idx="12">
                  <c:v>9.8120761579853699</c:v>
                </c:pt>
              </c:numCache>
            </c:numRef>
          </c:yVal>
          <c:smooth val="1"/>
          <c:extLst>
            <c:ext xmlns:c16="http://schemas.microsoft.com/office/drawing/2014/chart" uri="{C3380CC4-5D6E-409C-BE32-E72D297353CC}">
              <c16:uniqueId val="{00000000-74F6-43F5-9743-1EE1258C9B37}"/>
            </c:ext>
          </c:extLst>
        </c:ser>
        <c:dLbls>
          <c:showLegendKey val="0"/>
          <c:showVal val="0"/>
          <c:showCatName val="0"/>
          <c:showSerName val="0"/>
          <c:showPercent val="0"/>
          <c:showBubbleSize val="0"/>
        </c:dLbls>
        <c:axId val="318458896"/>
        <c:axId val="301939840"/>
      </c:scatterChart>
      <c:valAx>
        <c:axId val="318458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39840"/>
        <c:crosses val="autoZero"/>
        <c:crossBetween val="midCat"/>
      </c:valAx>
      <c:valAx>
        <c:axId val="301939840"/>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58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Rendimiento ganado leche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'CC70-Tendencial'!$K$259:$S$259</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'CC70-Tendencial'!$K$261:$S$261</c:f>
              <c:numCache>
                <c:formatCode>General</c:formatCode>
                <c:ptCount val="9"/>
                <c:pt idx="0">
                  <c:v>2.1920000000000002</c:v>
                </c:pt>
                <c:pt idx="1">
                  <c:v>2.3321593319999998</c:v>
                </c:pt>
                <c:pt idx="2">
                  <c:v>2.4605273799999998</c:v>
                </c:pt>
                <c:pt idx="3">
                  <c:v>2.4759056761249996</c:v>
                </c:pt>
                <c:pt idx="4">
                  <c:v>2.5015361696666658</c:v>
                </c:pt>
                <c:pt idx="5">
                  <c:v>2.5579232554583315</c:v>
                </c:pt>
                <c:pt idx="6">
                  <c:v>2.6040581438333308</c:v>
                </c:pt>
                <c:pt idx="7">
                  <c:v>2.6553191309166633</c:v>
                </c:pt>
                <c:pt idx="8">
                  <c:v>2.7065801179999958</c:v>
                </c:pt>
              </c:numCache>
            </c:numRef>
          </c:yVal>
          <c:smooth val="1"/>
          <c:extLst>
            <c:ext xmlns:c16="http://schemas.microsoft.com/office/drawing/2014/chart" uri="{C3380CC4-5D6E-409C-BE32-E72D297353CC}">
              <c16:uniqueId val="{00000000-BAB2-4F3F-B568-627384EE1BA5}"/>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'CC70-Tendencial'!$K$259:$S$259</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'CC70-Tendencial'!$K$264:$S$264</c:f>
              <c:numCache>
                <c:formatCode>General</c:formatCode>
                <c:ptCount val="9"/>
                <c:pt idx="0">
                  <c:v>2.1920000000000002</c:v>
                </c:pt>
                <c:pt idx="1">
                  <c:v>2.3321593319999998</c:v>
                </c:pt>
                <c:pt idx="2">
                  <c:v>2.4605273799999998</c:v>
                </c:pt>
                <c:pt idx="3" formatCode="0.00000">
                  <c:v>2.4759056761249996</c:v>
                </c:pt>
                <c:pt idx="4" formatCode="0.00000">
                  <c:v>2.5015361696666658</c:v>
                </c:pt>
                <c:pt idx="5" formatCode="0.00000">
                  <c:v>2.7377473107565353</c:v>
                </c:pt>
                <c:pt idx="6" formatCode="0.00000">
                  <c:v>3.0541044925413261</c:v>
                </c:pt>
                <c:pt idx="7" formatCode="0.00000">
                  <c:v>3.1507352977674397</c:v>
                </c:pt>
                <c:pt idx="8" formatCode="0.00000">
                  <c:v>3.2487757801383443</c:v>
                </c:pt>
              </c:numCache>
            </c:numRef>
          </c:yVal>
          <c:smooth val="1"/>
          <c:extLst>
            <c:ext xmlns:c16="http://schemas.microsoft.com/office/drawing/2014/chart" uri="{C3380CC4-5D6E-409C-BE32-E72D297353CC}">
              <c16:uniqueId val="{00000001-BAB2-4F3F-B568-627384EE1BA5}"/>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Rendimiento [ton/cabeza]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Emisiones</a:t>
            </a:r>
            <a:r>
              <a:rPr lang="en-US" baseline="0"/>
              <a:t> de cultivos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'CC70-Tendencial'!$K$267:$S$267</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'CC70-Tendencial'!$K$332:$S$332</c:f>
              <c:numCache>
                <c:formatCode>General</c:formatCode>
                <c:ptCount val="9"/>
                <c:pt idx="0">
                  <c:v>4.0414416395978439</c:v>
                </c:pt>
                <c:pt idx="1">
                  <c:v>3.991049201860855</c:v>
                </c:pt>
                <c:pt idx="2">
                  <c:v>4.1897270315984407</c:v>
                </c:pt>
                <c:pt idx="3">
                  <c:v>4.7331785547309799</c:v>
                </c:pt>
                <c:pt idx="4">
                  <c:v>6.0014497210449491</c:v>
                </c:pt>
                <c:pt idx="5">
                  <c:v>7.8775787339009735</c:v>
                </c:pt>
                <c:pt idx="6">
                  <c:v>10.629365382717374</c:v>
                </c:pt>
                <c:pt idx="7">
                  <c:v>13.964972507813904</c:v>
                </c:pt>
                <c:pt idx="8">
                  <c:v>18.103516884873734</c:v>
                </c:pt>
              </c:numCache>
            </c:numRef>
          </c:yVal>
          <c:smooth val="1"/>
          <c:extLst>
            <c:ext xmlns:c16="http://schemas.microsoft.com/office/drawing/2014/chart" uri="{C3380CC4-5D6E-409C-BE32-E72D297353CC}">
              <c16:uniqueId val="{00000000-590C-4C8E-99EC-2DB235295A28}"/>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'CC70-Tendencial'!$K$267:$S$267</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'CC70-Tendencial'!$K$333:$S$333</c:f>
              <c:numCache>
                <c:formatCode>General</c:formatCode>
                <c:ptCount val="9"/>
                <c:pt idx="0">
                  <c:v>4.0414416395978439</c:v>
                </c:pt>
                <c:pt idx="1">
                  <c:v>3.991049201860855</c:v>
                </c:pt>
                <c:pt idx="2">
                  <c:v>4.1897270315984407</c:v>
                </c:pt>
                <c:pt idx="3">
                  <c:v>4.2218314736517373</c:v>
                </c:pt>
                <c:pt idx="4">
                  <c:v>4.9217620516980141</c:v>
                </c:pt>
                <c:pt idx="5">
                  <c:v>5.4937965145851688</c:v>
                </c:pt>
                <c:pt idx="6">
                  <c:v>6.6326229538496824</c:v>
                </c:pt>
                <c:pt idx="7">
                  <c:v>8.4386817199494075</c:v>
                </c:pt>
                <c:pt idx="8">
                  <c:v>10.613443620337684</c:v>
                </c:pt>
              </c:numCache>
            </c:numRef>
          </c:yVal>
          <c:smooth val="1"/>
          <c:extLst>
            <c:ext xmlns:c16="http://schemas.microsoft.com/office/drawing/2014/chart" uri="{C3380CC4-5D6E-409C-BE32-E72D297353CC}">
              <c16:uniqueId val="{00000001-590C-4C8E-99EC-2DB235295A28}"/>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Emisiones [Mton CO2e]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Emisiones</a:t>
            </a:r>
            <a:r>
              <a:rPr lang="en-US" baseline="0"/>
              <a:t> de  ganaderia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'CC70-Tendencial'!$K$267:$S$267</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'CC70-Tendencial'!$K$335:$S$335</c:f>
              <c:numCache>
                <c:formatCode>General</c:formatCode>
                <c:ptCount val="9"/>
                <c:pt idx="0">
                  <c:v>8.3907282497500013</c:v>
                </c:pt>
                <c:pt idx="1">
                  <c:v>9.1715130412499999</c:v>
                </c:pt>
                <c:pt idx="2">
                  <c:v>8.5591038011102132</c:v>
                </c:pt>
                <c:pt idx="3">
                  <c:v>8.8936802819649916</c:v>
                </c:pt>
                <c:pt idx="4">
                  <c:v>9.4273194636979465</c:v>
                </c:pt>
                <c:pt idx="5">
                  <c:v>10.375045260022517</c:v>
                </c:pt>
                <c:pt idx="6">
                  <c:v>11.12232766393296</c:v>
                </c:pt>
                <c:pt idx="7">
                  <c:v>11.642592640521352</c:v>
                </c:pt>
                <c:pt idx="8">
                  <c:v>11.905656446036925</c:v>
                </c:pt>
              </c:numCache>
            </c:numRef>
          </c:yVal>
          <c:smooth val="1"/>
          <c:extLst>
            <c:ext xmlns:c16="http://schemas.microsoft.com/office/drawing/2014/chart" uri="{C3380CC4-5D6E-409C-BE32-E72D297353CC}">
              <c16:uniqueId val="{00000000-811C-4C9F-B702-9F16AD1994E8}"/>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'CC70-Tendencial'!$K$267:$S$267</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'CC70-Tendencial'!$K$336:$S$336</c:f>
              <c:numCache>
                <c:formatCode>General</c:formatCode>
                <c:ptCount val="9"/>
                <c:pt idx="0">
                  <c:v>8.3907282497500013</c:v>
                </c:pt>
                <c:pt idx="1">
                  <c:v>9.1715130412499999</c:v>
                </c:pt>
                <c:pt idx="2" formatCode="0.0000000">
                  <c:v>8.5591038011102132</c:v>
                </c:pt>
                <c:pt idx="3" formatCode="0.0000000">
                  <c:v>9.216674178645949</c:v>
                </c:pt>
                <c:pt idx="4" formatCode="0.0000000">
                  <c:v>9.7696936611391028</c:v>
                </c:pt>
                <c:pt idx="5" formatCode="0.0000000">
                  <c:v>10.49151697393839</c:v>
                </c:pt>
                <c:pt idx="6" formatCode="0.0000000">
                  <c:v>10.581531631619205</c:v>
                </c:pt>
                <c:pt idx="7" formatCode="0.0000000">
                  <c:v>10.221650073584314</c:v>
                </c:pt>
                <c:pt idx="8" formatCode="0.0000000">
                  <c:v>9.2874288052321337</c:v>
                </c:pt>
              </c:numCache>
            </c:numRef>
          </c:yVal>
          <c:smooth val="1"/>
          <c:extLst>
            <c:ext xmlns:c16="http://schemas.microsoft.com/office/drawing/2014/chart" uri="{C3380CC4-5D6E-409C-BE32-E72D297353CC}">
              <c16:uniqueId val="{00000001-811C-4C9F-B702-9F16AD1994E8}"/>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Emisiones [Mton CO2e]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Fermentación entérica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'CC70-Tendencial'!$K$267:$S$267</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'CC70-Tendencial'!$K$340:$S$340</c:f>
              <c:numCache>
                <c:formatCode>General</c:formatCode>
                <c:ptCount val="9"/>
                <c:pt idx="0">
                  <c:v>85</c:v>
                </c:pt>
                <c:pt idx="1">
                  <c:v>85</c:v>
                </c:pt>
                <c:pt idx="2">
                  <c:v>85</c:v>
                </c:pt>
                <c:pt idx="3">
                  <c:v>85</c:v>
                </c:pt>
                <c:pt idx="4">
                  <c:v>85</c:v>
                </c:pt>
                <c:pt idx="5">
                  <c:v>85</c:v>
                </c:pt>
                <c:pt idx="6">
                  <c:v>85</c:v>
                </c:pt>
                <c:pt idx="7">
                  <c:v>85</c:v>
                </c:pt>
                <c:pt idx="8">
                  <c:v>85</c:v>
                </c:pt>
              </c:numCache>
            </c:numRef>
          </c:yVal>
          <c:smooth val="1"/>
          <c:extLst>
            <c:ext xmlns:c16="http://schemas.microsoft.com/office/drawing/2014/chart" uri="{C3380CC4-5D6E-409C-BE32-E72D297353CC}">
              <c16:uniqueId val="{00000000-12D5-4087-9D60-22B00CAEEAEA}"/>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'CC70-Tendencial'!$K$267:$S$267</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'CC70-Tendencial'!$K$341:$S$341</c:f>
              <c:numCache>
                <c:formatCode>General</c:formatCode>
                <c:ptCount val="9"/>
                <c:pt idx="0">
                  <c:v>85</c:v>
                </c:pt>
                <c:pt idx="1">
                  <c:v>85</c:v>
                </c:pt>
                <c:pt idx="2" formatCode="0.00">
                  <c:v>85</c:v>
                </c:pt>
                <c:pt idx="3" formatCode="0.00">
                  <c:v>85</c:v>
                </c:pt>
                <c:pt idx="4" formatCode="0.00">
                  <c:v>85</c:v>
                </c:pt>
                <c:pt idx="5" formatCode="0.00">
                  <c:v>80.954000000000008</c:v>
                </c:pt>
                <c:pt idx="6" formatCode="0.00">
                  <c:v>72.4846</c:v>
                </c:pt>
                <c:pt idx="7" formatCode="0.00">
                  <c:v>67.690600000000003</c:v>
                </c:pt>
                <c:pt idx="8" formatCode="0.00">
                  <c:v>62.896600000000007</c:v>
                </c:pt>
              </c:numCache>
            </c:numRef>
          </c:yVal>
          <c:smooth val="1"/>
          <c:extLst>
            <c:ext xmlns:c16="http://schemas.microsoft.com/office/drawing/2014/chart" uri="{C3380CC4-5D6E-409C-BE32-E72D297353CC}">
              <c16:uniqueId val="{00000001-12D5-4087-9D60-22B00CAEEAEA}"/>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Factor</a:t>
                </a:r>
                <a:r>
                  <a:rPr lang="en-US" baseline="0"/>
                  <a:t> de emisión [Gg CH4/año]</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Manejo de estiércol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'CC70-Tendencial'!$K$267:$S$267</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'CC70-Tendencial'!$K$343:$S$343</c:f>
              <c:numCache>
                <c:formatCode>General</c:formatCode>
                <c:ptCount val="9"/>
                <c:pt idx="0">
                  <c:v>1.0825</c:v>
                </c:pt>
                <c:pt idx="1">
                  <c:v>1.0825</c:v>
                </c:pt>
                <c:pt idx="2">
                  <c:v>1.0825</c:v>
                </c:pt>
                <c:pt idx="3">
                  <c:v>1.0825</c:v>
                </c:pt>
                <c:pt idx="4">
                  <c:v>1.0825</c:v>
                </c:pt>
                <c:pt idx="5">
                  <c:v>1.0825</c:v>
                </c:pt>
                <c:pt idx="6">
                  <c:v>1.0825</c:v>
                </c:pt>
                <c:pt idx="7">
                  <c:v>1.0825</c:v>
                </c:pt>
                <c:pt idx="8">
                  <c:v>1.0825</c:v>
                </c:pt>
              </c:numCache>
            </c:numRef>
          </c:yVal>
          <c:smooth val="1"/>
          <c:extLst>
            <c:ext xmlns:c16="http://schemas.microsoft.com/office/drawing/2014/chart" uri="{C3380CC4-5D6E-409C-BE32-E72D297353CC}">
              <c16:uniqueId val="{00000000-B66E-4FCA-954D-9BE690809CFD}"/>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'CC70-Tendencial'!$K$267:$S$267</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'CC70-Tendencial'!$K$344:$S$344</c:f>
              <c:numCache>
                <c:formatCode>General</c:formatCode>
                <c:ptCount val="9"/>
                <c:pt idx="0">
                  <c:v>1.0825</c:v>
                </c:pt>
                <c:pt idx="1">
                  <c:v>1.0825</c:v>
                </c:pt>
                <c:pt idx="2" formatCode="0.00">
                  <c:v>1.0825</c:v>
                </c:pt>
                <c:pt idx="3" formatCode="0.00">
                  <c:v>1.0825</c:v>
                </c:pt>
                <c:pt idx="4" formatCode="0.00">
                  <c:v>1.0825</c:v>
                </c:pt>
                <c:pt idx="5" formatCode="0.00">
                  <c:v>1.0309730000000001</c:v>
                </c:pt>
                <c:pt idx="6" formatCode="0.00">
                  <c:v>0.92311270000000012</c:v>
                </c:pt>
                <c:pt idx="7" formatCode="0.00">
                  <c:v>0.8620597000000001</c:v>
                </c:pt>
                <c:pt idx="8" formatCode="0.00">
                  <c:v>0.80100670000000007</c:v>
                </c:pt>
              </c:numCache>
            </c:numRef>
          </c:yVal>
          <c:smooth val="1"/>
          <c:extLst>
            <c:ext xmlns:c16="http://schemas.microsoft.com/office/drawing/2014/chart" uri="{C3380CC4-5D6E-409C-BE32-E72D297353CC}">
              <c16:uniqueId val="{00000001-B66E-4FCA-954D-9BE690809CFD}"/>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Factor</a:t>
                </a:r>
                <a:r>
                  <a:rPr lang="en-US" baseline="0"/>
                  <a:t> de emisión [</a:t>
                </a:r>
                <a:r>
                  <a:rPr lang="en-US" sz="1000" b="0" i="0" u="none" strike="noStrike" baseline="0">
                    <a:effectLst/>
                  </a:rPr>
                  <a:t>Gg CH4/año]</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Carga animal</a:t>
            </a:r>
            <a:r>
              <a:rPr lang="en-US" baseline="0"/>
              <a:t> ganadería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'CC70-Tendencial'!$K$267:$S$267</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'CC70-Tendencial'!$K$306:$S$306</c:f>
              <c:numCache>
                <c:formatCode>General</c:formatCode>
                <c:ptCount val="9"/>
                <c:pt idx="0">
                  <c:v>1.3110481641332572</c:v>
                </c:pt>
                <c:pt idx="1">
                  <c:v>1.4904615321154371</c:v>
                </c:pt>
                <c:pt idx="2">
                  <c:v>1.3454671170381349</c:v>
                </c:pt>
                <c:pt idx="3">
                  <c:v>1.3454671170381349</c:v>
                </c:pt>
                <c:pt idx="4">
                  <c:v>1.3454671170381349</c:v>
                </c:pt>
                <c:pt idx="5">
                  <c:v>1.3454671170381349</c:v>
                </c:pt>
                <c:pt idx="6">
                  <c:v>1.3454671170381349</c:v>
                </c:pt>
                <c:pt idx="7">
                  <c:v>1.3454671170381349</c:v>
                </c:pt>
                <c:pt idx="8">
                  <c:v>1.3454671170381349</c:v>
                </c:pt>
              </c:numCache>
            </c:numRef>
          </c:yVal>
          <c:smooth val="1"/>
          <c:extLst>
            <c:ext xmlns:c16="http://schemas.microsoft.com/office/drawing/2014/chart" uri="{C3380CC4-5D6E-409C-BE32-E72D297353CC}">
              <c16:uniqueId val="{00000000-234D-48D9-8586-80B7DC087E36}"/>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'CC70-Tendencial'!$K$267:$S$267</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'CC70-Tendencial'!$K$307:$S$307</c:f>
              <c:numCache>
                <c:formatCode>General</c:formatCode>
                <c:ptCount val="9"/>
                <c:pt idx="0">
                  <c:v>1.3110481641332572</c:v>
                </c:pt>
                <c:pt idx="1">
                  <c:v>1.4904615321154371</c:v>
                </c:pt>
                <c:pt idx="2">
                  <c:v>1.3454671170381349</c:v>
                </c:pt>
                <c:pt idx="3" formatCode="0.0000000">
                  <c:v>1.3863754222232514</c:v>
                </c:pt>
                <c:pt idx="4" formatCode="0.0000000">
                  <c:v>1.4545559308651121</c:v>
                </c:pt>
                <c:pt idx="5" formatCode="0.0000000">
                  <c:v>1.5772808464204615</c:v>
                </c:pt>
                <c:pt idx="6" formatCode="0.0000000">
                  <c:v>1.7272779654325552</c:v>
                </c:pt>
                <c:pt idx="7" formatCode="0.0000000">
                  <c:v>1.8636389827162767</c:v>
                </c:pt>
                <c:pt idx="8" formatCode="0.0000000">
                  <c:v>1.9999999999999982</c:v>
                </c:pt>
              </c:numCache>
            </c:numRef>
          </c:yVal>
          <c:smooth val="1"/>
          <c:extLst>
            <c:ext xmlns:c16="http://schemas.microsoft.com/office/drawing/2014/chart" uri="{C3380CC4-5D6E-409C-BE32-E72D297353CC}">
              <c16:uniqueId val="{00000001-234D-48D9-8586-80B7DC087E36}"/>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Carga</a:t>
                </a:r>
                <a:r>
                  <a:rPr lang="en-US" baseline="0"/>
                  <a:t> animal [cabeza/ha</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'CC70-Tendencial'!$AY$365:$CY$365</c:f>
              <c:numCache>
                <c:formatCode>General</c:formatCode>
                <c:ptCount val="53"/>
                <c:pt idx="0">
                  <c:v>1.8666670000000001</c:v>
                </c:pt>
                <c:pt idx="1">
                  <c:v>1.851925</c:v>
                </c:pt>
                <c:pt idx="2">
                  <c:v>1.7874890000000001</c:v>
                </c:pt>
                <c:pt idx="3">
                  <c:v>2.3061861528766912</c:v>
                </c:pt>
                <c:pt idx="4">
                  <c:v>2.337188808775291</c:v>
                </c:pt>
                <c:pt idx="5">
                  <c:v>2.3679270843241786</c:v>
                </c:pt>
                <c:pt idx="6">
                  <c:v>2.4035965366285965</c:v>
                </c:pt>
                <c:pt idx="7">
                  <c:v>2.4391202126586458</c:v>
                </c:pt>
                <c:pt idx="8">
                  <c:v>2.4744626812188253</c:v>
                </c:pt>
                <c:pt idx="9">
                  <c:v>2.5096108802184429</c:v>
                </c:pt>
                <c:pt idx="10">
                  <c:v>2.5445416590735346</c:v>
                </c:pt>
                <c:pt idx="11">
                  <c:v>2.5792489150741833</c:v>
                </c:pt>
                <c:pt idx="12">
                  <c:v>2.6136978762727248</c:v>
                </c:pt>
                <c:pt idx="13">
                  <c:v>2.6478709255924282</c:v>
                </c:pt>
                <c:pt idx="14">
                  <c:v>2.6817457971144161</c:v>
                </c:pt>
                <c:pt idx="15">
                  <c:v>2.7152968540360312</c:v>
                </c:pt>
                <c:pt idx="16">
                  <c:v>2.7485100885287781</c:v>
                </c:pt>
                <c:pt idx="17">
                  <c:v>2.7813628472906271</c:v>
                </c:pt>
                <c:pt idx="18">
                  <c:v>2.8138405763930758</c:v>
                </c:pt>
                <c:pt idx="19">
                  <c:v>2.8459177587921367</c:v>
                </c:pt>
                <c:pt idx="20">
                  <c:v>2.8775823577279471</c:v>
                </c:pt>
                <c:pt idx="21">
                  <c:v>2.9088144428290148</c:v>
                </c:pt>
                <c:pt idx="22">
                  <c:v>2.939599045858583</c:v>
                </c:pt>
                <c:pt idx="23">
                  <c:v>2.9699297280263974</c:v>
                </c:pt>
                <c:pt idx="24">
                  <c:v>2.999794863676573</c:v>
                </c:pt>
                <c:pt idx="25">
                  <c:v>3.0291764986966001</c:v>
                </c:pt>
                <c:pt idx="26">
                  <c:v>3.0580680953914685</c:v>
                </c:pt>
                <c:pt idx="27">
                  <c:v>3.0864514908023453</c:v>
                </c:pt>
                <c:pt idx="28">
                  <c:v>3.1143193046825091</c:v>
                </c:pt>
                <c:pt idx="29">
                  <c:v>3.1416712252273222</c:v>
                </c:pt>
                <c:pt idx="30">
                  <c:v>3.1684858302870853</c:v>
                </c:pt>
                <c:pt idx="31">
                  <c:v>3.1947646208880962</c:v>
                </c:pt>
                <c:pt idx="32">
                  <c:v>3.2205105050156591</c:v>
                </c:pt>
                <c:pt idx="33">
                  <c:v>3.2457069608682159</c:v>
                </c:pt>
                <c:pt idx="34">
                  <c:v>3.2703377170079255</c:v>
                </c:pt>
                <c:pt idx="35">
                  <c:v>3.2943867697340856</c:v>
                </c:pt>
                <c:pt idx="36">
                  <c:v>3.3178384002859906</c:v>
                </c:pt>
                <c:pt idx="37">
                  <c:v>3.3406771918496037</c:v>
                </c:pt>
                <c:pt idx="38">
                  <c:v>3.3628880463424391</c:v>
                </c:pt>
                <c:pt idx="39">
                  <c:v>3.3844562009512797</c:v>
                </c:pt>
                <c:pt idx="40">
                  <c:v>3.4053672443975094</c:v>
                </c:pt>
                <c:pt idx="41">
                  <c:v>3.4256071329051392</c:v>
                </c:pt>
                <c:pt idx="42">
                  <c:v>3.4451622058468798</c:v>
                </c:pt>
                <c:pt idx="43">
                  <c:v>3.4640192010439894</c:v>
                </c:pt>
                <c:pt idx="44">
                  <c:v>3.482165269696019</c:v>
                </c:pt>
                <c:pt idx="45">
                  <c:v>3.49958799091702</c:v>
                </c:pt>
                <c:pt idx="46">
                  <c:v>3.5162753858552906</c:v>
                </c:pt>
                <c:pt idx="47">
                  <c:v>3.5322159313742802</c:v>
                </c:pt>
                <c:pt idx="48">
                  <c:v>3.5473985732728384</c:v>
                </c:pt>
                <c:pt idx="49">
                  <c:v>3.5618127390236616</c:v>
                </c:pt>
                <c:pt idx="50">
                  <c:v>3.5754483500094425</c:v>
                </c:pt>
                <c:pt idx="51">
                  <c:v>3.5882958332369408</c:v>
                </c:pt>
                <c:pt idx="52">
                  <c:v>3.600346132510003</c:v>
                </c:pt>
              </c:numCache>
            </c:numRef>
          </c:val>
          <c:smooth val="0"/>
          <c:extLst>
            <c:ext xmlns:c16="http://schemas.microsoft.com/office/drawing/2014/chart" uri="{C3380CC4-5D6E-409C-BE32-E72D297353CC}">
              <c16:uniqueId val="{00000000-17B8-48D9-901A-D735B0421CDA}"/>
            </c:ext>
          </c:extLst>
        </c:ser>
        <c:ser>
          <c:idx val="1"/>
          <c:order val="1"/>
          <c:spPr>
            <a:ln w="28575" cap="rnd">
              <a:solidFill>
                <a:schemeClr val="accent2"/>
              </a:solidFill>
              <a:round/>
            </a:ln>
            <a:effectLst/>
          </c:spPr>
          <c:marker>
            <c:symbol val="none"/>
          </c:marker>
          <c:val>
            <c:numRef>
              <c:f>'CC70-Tendencial'!$AY$366:$CY$366</c:f>
              <c:numCache>
                <c:formatCode>General</c:formatCode>
                <c:ptCount val="53"/>
                <c:pt idx="0">
                  <c:v>1.8666670000000001</c:v>
                </c:pt>
                <c:pt idx="1">
                  <c:v>1.851925</c:v>
                </c:pt>
                <c:pt idx="2">
                  <c:v>1.7874890000000001</c:v>
                </c:pt>
                <c:pt idx="3">
                  <c:v>2.3061861528766912</c:v>
                </c:pt>
                <c:pt idx="4">
                  <c:v>1.6838930363946238</c:v>
                </c:pt>
                <c:pt idx="5">
                  <c:v>1.7060392866047955</c:v>
                </c:pt>
                <c:pt idx="6">
                  <c:v>1.7317383410080616</c:v>
                </c:pt>
                <c:pt idx="7">
                  <c:v>1.7573323668178478</c:v>
                </c:pt>
                <c:pt idx="8">
                  <c:v>1.7827958366385284</c:v>
                </c:pt>
                <c:pt idx="9">
                  <c:v>1.8081193395215851</c:v>
                </c:pt>
                <c:pt idx="10">
                  <c:v>1.833286195981398</c:v>
                </c:pt>
                <c:pt idx="11">
                  <c:v>1.8582920091499466</c:v>
                </c:pt>
                <c:pt idx="12">
                  <c:v>1.8831117266051443</c:v>
                </c:pt>
                <c:pt idx="13">
                  <c:v>1.9077326556314014</c:v>
                </c:pt>
                <c:pt idx="14">
                  <c:v>1.9321387541248003</c:v>
                </c:pt>
                <c:pt idx="15">
                  <c:v>1.956311551333936</c:v>
                </c:pt>
                <c:pt idx="16">
                  <c:v>1.9802409549270434</c:v>
                </c:pt>
                <c:pt idx="17">
                  <c:v>2.0352782243218233</c:v>
                </c:pt>
                <c:pt idx="18">
                  <c:v>2.0731549230082544</c:v>
                </c:pt>
                <c:pt idx="19">
                  <c:v>2.1110274358860419</c:v>
                </c:pt>
                <c:pt idx="20">
                  <c:v>2.1488796528234602</c:v>
                </c:pt>
                <c:pt idx="21">
                  <c:v>2.1866893176186255</c:v>
                </c:pt>
                <c:pt idx="22">
                  <c:v>2.2244375614124836</c:v>
                </c:pt>
                <c:pt idx="23">
                  <c:v>2.2621117450983959</c:v>
                </c:pt>
                <c:pt idx="24">
                  <c:v>2.2996951568020076</c:v>
                </c:pt>
                <c:pt idx="25">
                  <c:v>2.3371660038635818</c:v>
                </c:pt>
                <c:pt idx="26">
                  <c:v>2.3745110368528448</c:v>
                </c:pt>
                <c:pt idx="27">
                  <c:v>2.4117078275423771</c:v>
                </c:pt>
                <c:pt idx="28">
                  <c:v>2.4487421039203197</c:v>
                </c:pt>
                <c:pt idx="29">
                  <c:v>2.4856050771853329</c:v>
                </c:pt>
                <c:pt idx="30">
                  <c:v>2.5222711832375557</c:v>
                </c:pt>
                <c:pt idx="31">
                  <c:v>2.5587328362874229</c:v>
                </c:pt>
                <c:pt idx="32">
                  <c:v>2.5809810615670226</c:v>
                </c:pt>
                <c:pt idx="33">
                  <c:v>2.6028135463850739</c:v>
                </c:pt>
                <c:pt idx="34">
                  <c:v>2.6242163742061901</c:v>
                </c:pt>
                <c:pt idx="35">
                  <c:v>2.6451758118271473</c:v>
                </c:pt>
                <c:pt idx="36">
                  <c:v>2.6656783239317194</c:v>
                </c:pt>
                <c:pt idx="37">
                  <c:v>2.6857105875383334</c:v>
                </c:pt>
                <c:pt idx="38">
                  <c:v>2.705259506319118</c:v>
                </c:pt>
                <c:pt idx="39">
                  <c:v>2.7243122247690366</c:v>
                </c:pt>
                <c:pt idx="40">
                  <c:v>2.7428561422037641</c:v>
                </c:pt>
                <c:pt idx="41">
                  <c:v>2.7608789265651597</c:v>
                </c:pt>
                <c:pt idx="42">
                  <c:v>2.7783685280132895</c:v>
                </c:pt>
                <c:pt idx="43">
                  <c:v>2.7953131922841514</c:v>
                </c:pt>
                <c:pt idx="44">
                  <c:v>2.8117014737924935</c:v>
                </c:pt>
                <c:pt idx="45">
                  <c:v>2.8275222484593905</c:v>
                </c:pt>
                <c:pt idx="46">
                  <c:v>2.8427647262445301</c:v>
                </c:pt>
                <c:pt idx="47">
                  <c:v>2.8574184633635609</c:v>
                </c:pt>
                <c:pt idx="48">
                  <c:v>2.8714733741711842</c:v>
                </c:pt>
                <c:pt idx="49">
                  <c:v>2.8849197426911566</c:v>
                </c:pt>
                <c:pt idx="50">
                  <c:v>2.8977482337748044</c:v>
                </c:pt>
                <c:pt idx="51">
                  <c:v>2.9099499038701819</c:v>
                </c:pt>
                <c:pt idx="52">
                  <c:v>2.9215162113845157</c:v>
                </c:pt>
              </c:numCache>
            </c:numRef>
          </c:val>
          <c:smooth val="0"/>
          <c:extLst>
            <c:ext xmlns:c16="http://schemas.microsoft.com/office/drawing/2014/chart" uri="{C3380CC4-5D6E-409C-BE32-E72D297353CC}">
              <c16:uniqueId val="{00000001-17B8-48D9-901A-D735B0421CDA}"/>
            </c:ext>
          </c:extLst>
        </c:ser>
        <c:dLbls>
          <c:showLegendKey val="0"/>
          <c:showVal val="0"/>
          <c:showCatName val="0"/>
          <c:showSerName val="0"/>
          <c:showPercent val="0"/>
          <c:showBubbleSize val="0"/>
        </c:dLbls>
        <c:smooth val="0"/>
        <c:axId val="693905263"/>
        <c:axId val="693881551"/>
      </c:lineChart>
      <c:catAx>
        <c:axId val="69390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881551"/>
        <c:crosses val="autoZero"/>
        <c:auto val="1"/>
        <c:lblAlgn val="ctr"/>
        <c:lblOffset val="100"/>
        <c:noMultiLvlLbl val="0"/>
      </c:catAx>
      <c:valAx>
        <c:axId val="69388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905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Banano</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'CC70-Tendencial'!$K$221:$BK$221</c:f>
              <c:numCache>
                <c:formatCode>General</c:formatCode>
                <c:ptCount val="53"/>
                <c:pt idx="0">
                  <c:v>0.173706</c:v>
                </c:pt>
                <c:pt idx="1">
                  <c:v>0.19038099999999999</c:v>
                </c:pt>
                <c:pt idx="2">
                  <c:v>0.16508</c:v>
                </c:pt>
                <c:pt idx="3">
                  <c:v>0.16789299999999999</c:v>
                </c:pt>
                <c:pt idx="4">
                  <c:v>0.172653</c:v>
                </c:pt>
                <c:pt idx="5">
                  <c:v>0.17179775920311113</c:v>
                </c:pt>
                <c:pt idx="6">
                  <c:v>0.18226621689268246</c:v>
                </c:pt>
                <c:pt idx="7">
                  <c:v>0.18258087677570864</c:v>
                </c:pt>
                <c:pt idx="8">
                  <c:v>0.19353914044253984</c:v>
                </c:pt>
                <c:pt idx="9">
                  <c:v>0.19835125439036647</c:v>
                </c:pt>
                <c:pt idx="10">
                  <c:v>0.19934301066231827</c:v>
                </c:pt>
                <c:pt idx="11">
                  <c:v>0.20033972571562983</c:v>
                </c:pt>
                <c:pt idx="12">
                  <c:v>0.20134142434420796</c:v>
                </c:pt>
                <c:pt idx="13">
                  <c:v>0.20234813146592898</c:v>
                </c:pt>
                <c:pt idx="14">
                  <c:v>0.20335987212325859</c:v>
                </c:pt>
                <c:pt idx="15">
                  <c:v>0.20437667148387487</c:v>
                </c:pt>
                <c:pt idx="16">
                  <c:v>0.20539855484129421</c:v>
                </c:pt>
                <c:pt idx="17">
                  <c:v>0.20642554761550067</c:v>
                </c:pt>
                <c:pt idx="18">
                  <c:v>0.20745767535357815</c:v>
                </c:pt>
                <c:pt idx="19">
                  <c:v>0.20849496373034601</c:v>
                </c:pt>
                <c:pt idx="20">
                  <c:v>0.20953743854899773</c:v>
                </c:pt>
                <c:pt idx="21">
                  <c:v>0.21058512574174271</c:v>
                </c:pt>
                <c:pt idx="22">
                  <c:v>0.21163805137045139</c:v>
                </c:pt>
                <c:pt idx="23">
                  <c:v>0.21269624162730361</c:v>
                </c:pt>
                <c:pt idx="24">
                  <c:v>0.21375972283544009</c:v>
                </c:pt>
                <c:pt idx="25">
                  <c:v>0.21482852144961728</c:v>
                </c:pt>
                <c:pt idx="26">
                  <c:v>0.21590266405686534</c:v>
                </c:pt>
                <c:pt idx="27">
                  <c:v>0.21698217737714964</c:v>
                </c:pt>
                <c:pt idx="28">
                  <c:v>0.21806708826403537</c:v>
                </c:pt>
                <c:pt idx="29">
                  <c:v>0.21915742370535551</c:v>
                </c:pt>
                <c:pt idx="30">
                  <c:v>0.22025321082388227</c:v>
                </c:pt>
                <c:pt idx="31">
                  <c:v>0.22135447687800167</c:v>
                </c:pt>
                <c:pt idx="32">
                  <c:v>0.22246124926239166</c:v>
                </c:pt>
                <c:pt idx="33">
                  <c:v>0.22357355550870359</c:v>
                </c:pt>
                <c:pt idx="34">
                  <c:v>0.22469142328624708</c:v>
                </c:pt>
                <c:pt idx="35">
                  <c:v>0.2258148804026783</c:v>
                </c:pt>
                <c:pt idx="36">
                  <c:v>0.22694395480469168</c:v>
                </c:pt>
                <c:pt idx="37">
                  <c:v>0.22807867457871511</c:v>
                </c:pt>
                <c:pt idx="38">
                  <c:v>0.22921906795160865</c:v>
                </c:pt>
                <c:pt idx="39">
                  <c:v>0.23036516329136666</c:v>
                </c:pt>
                <c:pt idx="40">
                  <c:v>0.23151698910782348</c:v>
                </c:pt>
                <c:pt idx="41">
                  <c:v>0.23267457405336256</c:v>
                </c:pt>
                <c:pt idx="42">
                  <c:v>0.23383794692362936</c:v>
                </c:pt>
                <c:pt idx="43">
                  <c:v>0.23500713665824749</c:v>
                </c:pt>
                <c:pt idx="44">
                  <c:v>0.23618217234153871</c:v>
                </c:pt>
                <c:pt idx="45">
                  <c:v>0.23736308320324637</c:v>
                </c:pt>
                <c:pt idx="46">
                  <c:v>0.23854989861926257</c:v>
                </c:pt>
                <c:pt idx="47">
                  <c:v>0.23974264811235885</c:v>
                </c:pt>
                <c:pt idx="48">
                  <c:v>0.2409413613529206</c:v>
                </c:pt>
                <c:pt idx="49">
                  <c:v>0.24214606815968517</c:v>
                </c:pt>
                <c:pt idx="50">
                  <c:v>0.24335679850048358</c:v>
                </c:pt>
                <c:pt idx="51">
                  <c:v>0.24457358249298597</c:v>
                </c:pt>
                <c:pt idx="52">
                  <c:v>0.24579645040545087</c:v>
                </c:pt>
              </c:numCache>
            </c:numRef>
          </c:yVal>
          <c:smooth val="1"/>
          <c:extLst>
            <c:ext xmlns:c16="http://schemas.microsoft.com/office/drawing/2014/chart" uri="{C3380CC4-5D6E-409C-BE32-E72D297353CC}">
              <c16:uniqueId val="{00000000-B8A1-4891-9DD2-6D7115F11295}"/>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'CC70-Tendencial'!$K$237:$BK$237</c:f>
              <c:numCache>
                <c:formatCode>General</c:formatCode>
                <c:ptCount val="53"/>
                <c:pt idx="0">
                  <c:v>0.173706</c:v>
                </c:pt>
                <c:pt idx="1">
                  <c:v>0.19038099999999999</c:v>
                </c:pt>
                <c:pt idx="2">
                  <c:v>0.16508</c:v>
                </c:pt>
                <c:pt idx="3">
                  <c:v>0.16789299999999999</c:v>
                </c:pt>
                <c:pt idx="4">
                  <c:v>0.172653</c:v>
                </c:pt>
                <c:pt idx="5" formatCode="0.000000">
                  <c:v>0.16671406675775141</c:v>
                </c:pt>
                <c:pt idx="6" formatCode="0.000000">
                  <c:v>0.17589786440909769</c:v>
                </c:pt>
                <c:pt idx="7" formatCode="0.000000">
                  <c:v>0.17523566701048318</c:v>
                </c:pt>
                <c:pt idx="8" formatCode="0.000000">
                  <c:v>0.17515173675821874</c:v>
                </c:pt>
                <c:pt idx="9" formatCode="0.000000">
                  <c:v>0.17507305005286689</c:v>
                </c:pt>
                <c:pt idx="10" formatCode="0.000000">
                  <c:v>0.17499954361077416</c:v>
                </c:pt>
                <c:pt idx="11" formatCode="0.000000">
                  <c:v>0.17493115561326614</c:v>
                </c:pt>
                <c:pt idx="12" formatCode="0.000000">
                  <c:v>0.17486782566809911</c:v>
                </c:pt>
                <c:pt idx="13" formatCode="0.000000">
                  <c:v>0.17480949477214261</c:v>
                </c:pt>
                <c:pt idx="14" formatCode="0.000000">
                  <c:v>0.17475610527524621</c:v>
                </c:pt>
                <c:pt idx="15" formatCode="0.000000">
                  <c:v>0.17470760084524742</c:v>
                </c:pt>
                <c:pt idx="16" formatCode="0.000000">
                  <c:v>0.1746639264340793</c:v>
                </c:pt>
                <c:pt idx="17" formatCode="0.000000">
                  <c:v>0.17462502824493711</c:v>
                </c:pt>
                <c:pt idx="18" formatCode="0.000000">
                  <c:v>0.1745908537004664</c:v>
                </c:pt>
                <c:pt idx="19" formatCode="0.000000">
                  <c:v>0.17456135141193521</c:v>
                </c:pt>
                <c:pt idx="20" formatCode="0.000000">
                  <c:v>0.17453647114935564</c:v>
                </c:pt>
                <c:pt idx="21" formatCode="0.000000">
                  <c:v>0.17540915350510239</c:v>
                </c:pt>
                <c:pt idx="22" formatCode="0.000000">
                  <c:v>0.17628619927262787</c:v>
                </c:pt>
                <c:pt idx="23" formatCode="0.000000">
                  <c:v>0.17716763026899096</c:v>
                </c:pt>
                <c:pt idx="24" formatCode="0.000000">
                  <c:v>0.1780534684203359</c:v>
                </c:pt>
                <c:pt idx="25" formatCode="0.000000">
                  <c:v>0.17894373576243755</c:v>
                </c:pt>
                <c:pt idx="26" formatCode="0.000000">
                  <c:v>0.17983845444124974</c:v>
                </c:pt>
                <c:pt idx="27" formatCode="0.000000">
                  <c:v>0.18073764671345599</c:v>
                </c:pt>
                <c:pt idx="28" formatCode="0.000000">
                  <c:v>0.18164133494702325</c:v>
                </c:pt>
                <c:pt idx="29" formatCode="0.000000">
                  <c:v>0.18254954162175835</c:v>
                </c:pt>
                <c:pt idx="30" formatCode="0.000000">
                  <c:v>0.18346228932986711</c:v>
                </c:pt>
                <c:pt idx="31" formatCode="0.000000">
                  <c:v>0.18437960077651644</c:v>
                </c:pt>
                <c:pt idx="32" formatCode="0.000000">
                  <c:v>0.185301498780399</c:v>
                </c:pt>
                <c:pt idx="33" formatCode="0.000000">
                  <c:v>0.18622800627430097</c:v>
                </c:pt>
                <c:pt idx="34" formatCode="0.000000">
                  <c:v>0.18715914630567246</c:v>
                </c:pt>
                <c:pt idx="35" formatCode="0.000000">
                  <c:v>0.18809494203720081</c:v>
                </c:pt>
                <c:pt idx="36" formatCode="0.000000">
                  <c:v>0.1890354167473868</c:v>
                </c:pt>
                <c:pt idx="37" formatCode="0.000000">
                  <c:v>0.18998059383112373</c:v>
                </c:pt>
                <c:pt idx="38" formatCode="0.000000">
                  <c:v>0.19093049680027929</c:v>
                </c:pt>
                <c:pt idx="39" formatCode="0.000000">
                  <c:v>0.19188514928428063</c:v>
                </c:pt>
                <c:pt idx="40" formatCode="0.000000">
                  <c:v>0.19284457503070207</c:v>
                </c:pt>
                <c:pt idx="41" formatCode="0.000000">
                  <c:v>0.19380879790585556</c:v>
                </c:pt>
                <c:pt idx="42" formatCode="0.000000">
                  <c:v>0.19477784189538483</c:v>
                </c:pt>
                <c:pt idx="43" formatCode="0.000000">
                  <c:v>0.19575173110486174</c:v>
                </c:pt>
                <c:pt idx="44" formatCode="0.000000">
                  <c:v>0.19673048976038598</c:v>
                </c:pt>
                <c:pt idx="45" formatCode="0.000000">
                  <c:v>0.1977141422091879</c:v>
                </c:pt>
                <c:pt idx="46" formatCode="0.000000">
                  <c:v>0.19870271292023384</c:v>
                </c:pt>
                <c:pt idx="47" formatCode="0.000000">
                  <c:v>0.19969622648483498</c:v>
                </c:pt>
                <c:pt idx="48" formatCode="0.000000">
                  <c:v>0.20069470761725913</c:v>
                </c:pt>
                <c:pt idx="49" formatCode="0.000000">
                  <c:v>0.20169818115534535</c:v>
                </c:pt>
                <c:pt idx="50" formatCode="0.000000">
                  <c:v>0.20270667206112211</c:v>
                </c:pt>
                <c:pt idx="51" formatCode="0.000000">
                  <c:v>0.20372020542142769</c:v>
                </c:pt>
                <c:pt idx="52" formatCode="0.000000">
                  <c:v>0.20473880644853479</c:v>
                </c:pt>
              </c:numCache>
            </c:numRef>
          </c:yVal>
          <c:smooth val="1"/>
          <c:extLst>
            <c:ext xmlns:c16="http://schemas.microsoft.com/office/drawing/2014/chart" uri="{C3380CC4-5D6E-409C-BE32-E72D297353CC}">
              <c16:uniqueId val="{00000001-B8A1-4891-9DD2-6D7115F11295}"/>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0.1500000000000000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Uso suelo [Mha]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Cacao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'CC70-Tendencial'!$C$4:$BK$4</c:f>
              <c:numCache>
                <c:formatCode>General</c:formatCode>
                <c:ptCount val="61"/>
                <c:pt idx="0">
                  <c:v>0.36691896396083606</c:v>
                </c:pt>
                <c:pt idx="1">
                  <c:v>0.5611552393564424</c:v>
                </c:pt>
                <c:pt idx="2">
                  <c:v>0.34169964323792335</c:v>
                </c:pt>
                <c:pt idx="3">
                  <c:v>0.31917283330931284</c:v>
                </c:pt>
                <c:pt idx="4">
                  <c:v>0.41921763002600387</c:v>
                </c:pt>
                <c:pt idx="5">
                  <c:v>0.4170203705675154</c:v>
                </c:pt>
                <c:pt idx="6">
                  <c:v>0.3908602399082457</c:v>
                </c:pt>
                <c:pt idx="7">
                  <c:v>0.44070854027265705</c:v>
                </c:pt>
                <c:pt idx="8">
                  <c:v>0.46853670684331106</c:v>
                </c:pt>
                <c:pt idx="9">
                  <c:v>0.53989551514459444</c:v>
                </c:pt>
                <c:pt idx="10">
                  <c:v>0.62179741233002173</c:v>
                </c:pt>
                <c:pt idx="11">
                  <c:v>0.55578266460858028</c:v>
                </c:pt>
                <c:pt idx="12">
                  <c:v>0.66214372409628941</c:v>
                </c:pt>
                <c:pt idx="13">
                  <c:v>0.70830000000000126</c:v>
                </c:pt>
                <c:pt idx="14">
                  <c:v>0.70977562500000135</c:v>
                </c:pt>
                <c:pt idx="15">
                  <c:v>0.71125432421875145</c:v>
                </c:pt>
                <c:pt idx="16">
                  <c:v>0.71273610406087395</c:v>
                </c:pt>
                <c:pt idx="17">
                  <c:v>0.71422097094433423</c:v>
                </c:pt>
                <c:pt idx="18">
                  <c:v>0.71570893130046831</c:v>
                </c:pt>
                <c:pt idx="19">
                  <c:v>0.71719999157401104</c:v>
                </c:pt>
                <c:pt idx="20">
                  <c:v>0.71869415822312366</c:v>
                </c:pt>
                <c:pt idx="21">
                  <c:v>0.72019143771942196</c:v>
                </c:pt>
                <c:pt idx="22">
                  <c:v>0.72169183654800417</c:v>
                </c:pt>
                <c:pt idx="23">
                  <c:v>0.72319536120747929</c:v>
                </c:pt>
                <c:pt idx="24">
                  <c:v>0.72470201820999491</c:v>
                </c:pt>
                <c:pt idx="25">
                  <c:v>0.72621181408126578</c:v>
                </c:pt>
                <c:pt idx="26">
                  <c:v>0.72772475536060188</c:v>
                </c:pt>
                <c:pt idx="27">
                  <c:v>0.72924084860093652</c:v>
                </c:pt>
                <c:pt idx="28">
                  <c:v>0.73076010036885519</c:v>
                </c:pt>
                <c:pt idx="29">
                  <c:v>0.73228251724462368</c:v>
                </c:pt>
                <c:pt idx="30">
                  <c:v>0.73380810582221667</c:v>
                </c:pt>
                <c:pt idx="31">
                  <c:v>0.73533687270934633</c:v>
                </c:pt>
                <c:pt idx="32">
                  <c:v>0.73686882452749092</c:v>
                </c:pt>
                <c:pt idx="33">
                  <c:v>0.73840396791192331</c:v>
                </c:pt>
                <c:pt idx="34">
                  <c:v>0.73994230951173989</c:v>
                </c:pt>
                <c:pt idx="35">
                  <c:v>0.74148385598988942</c:v>
                </c:pt>
                <c:pt idx="36">
                  <c:v>0.74302861402320175</c:v>
                </c:pt>
                <c:pt idx="37">
                  <c:v>0.74457659030241685</c:v>
                </c:pt>
                <c:pt idx="38">
                  <c:v>0.74612779153221365</c:v>
                </c:pt>
                <c:pt idx="39">
                  <c:v>0.74768222443123922</c:v>
                </c:pt>
                <c:pt idx="40">
                  <c:v>0.74923989573213767</c:v>
                </c:pt>
                <c:pt idx="41">
                  <c:v>0.75080081218157968</c:v>
                </c:pt>
                <c:pt idx="42">
                  <c:v>0.75236498054029133</c:v>
                </c:pt>
                <c:pt idx="43">
                  <c:v>0.75393240758308366</c:v>
                </c:pt>
                <c:pt idx="44">
                  <c:v>0.75550310009888189</c:v>
                </c:pt>
                <c:pt idx="45">
                  <c:v>0.75707706489075466</c:v>
                </c:pt>
                <c:pt idx="46">
                  <c:v>0.75865430877594386</c:v>
                </c:pt>
                <c:pt idx="47">
                  <c:v>0.7602348385858938</c:v>
                </c:pt>
                <c:pt idx="48">
                  <c:v>0.76181866116628116</c:v>
                </c:pt>
                <c:pt idx="49">
                  <c:v>0.76340578337704434</c:v>
                </c:pt>
                <c:pt idx="50">
                  <c:v>0.76499621209241331</c:v>
                </c:pt>
                <c:pt idx="51">
                  <c:v>0.76658995420093923</c:v>
                </c:pt>
                <c:pt idx="52">
                  <c:v>0.76818701660552458</c:v>
                </c:pt>
                <c:pt idx="53">
                  <c:v>0.76978740622345287</c:v>
                </c:pt>
                <c:pt idx="54">
                  <c:v>0.77139112998641846</c:v>
                </c:pt>
                <c:pt idx="55">
                  <c:v>0.77299819484055687</c:v>
                </c:pt>
                <c:pt idx="56">
                  <c:v>0.77460860774647478</c:v>
                </c:pt>
                <c:pt idx="57">
                  <c:v>0.77622237567927999</c:v>
                </c:pt>
                <c:pt idx="58">
                  <c:v>0.77783950562861193</c:v>
                </c:pt>
                <c:pt idx="59">
                  <c:v>0.7794600045986716</c:v>
                </c:pt>
                <c:pt idx="60">
                  <c:v>0.78108387960825221</c:v>
                </c:pt>
              </c:numCache>
            </c:numRef>
          </c:yVal>
          <c:smooth val="1"/>
          <c:extLst>
            <c:ext xmlns:c16="http://schemas.microsoft.com/office/drawing/2014/chart" uri="{C3380CC4-5D6E-409C-BE32-E72D297353CC}">
              <c16:uniqueId val="{00000000-E4A0-4D0D-A4E4-CBCD5CE30C62}"/>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'CC70-Tendencial'!$C$20:$BK$20</c:f>
              <c:numCache>
                <c:formatCode>General</c:formatCode>
                <c:ptCount val="61"/>
                <c:pt idx="0">
                  <c:v>0.36691896396083606</c:v>
                </c:pt>
                <c:pt idx="1">
                  <c:v>0.5611552393564424</c:v>
                </c:pt>
                <c:pt idx="2">
                  <c:v>0.34169964323792335</c:v>
                </c:pt>
                <c:pt idx="3">
                  <c:v>0.31917283330931284</c:v>
                </c:pt>
                <c:pt idx="4">
                  <c:v>0.41921763002600387</c:v>
                </c:pt>
                <c:pt idx="5">
                  <c:v>0.4170203705675154</c:v>
                </c:pt>
                <c:pt idx="6">
                  <c:v>0.3908602399082457</c:v>
                </c:pt>
                <c:pt idx="7">
                  <c:v>0.44070854027265705</c:v>
                </c:pt>
                <c:pt idx="8">
                  <c:v>0.46853670684331106</c:v>
                </c:pt>
                <c:pt idx="9">
                  <c:v>0.53989551514459444</c:v>
                </c:pt>
                <c:pt idx="10">
                  <c:v>0.62179741233002173</c:v>
                </c:pt>
                <c:pt idx="11">
                  <c:v>0.55578266460858028</c:v>
                </c:pt>
                <c:pt idx="12">
                  <c:v>0.66214372409628941</c:v>
                </c:pt>
                <c:pt idx="13">
                  <c:v>0.70830000000000126</c:v>
                </c:pt>
                <c:pt idx="14" formatCode="0.00000">
                  <c:v>0.70830000000000126</c:v>
                </c:pt>
                <c:pt idx="15" formatCode="0.00000">
                  <c:v>0.72280000000000122</c:v>
                </c:pt>
                <c:pt idx="16" formatCode="0.00000">
                  <c:v>0.73730000000000118</c:v>
                </c:pt>
                <c:pt idx="17" formatCode="0.00000">
                  <c:v>0.75180000000000113</c:v>
                </c:pt>
                <c:pt idx="18" formatCode="0.00000">
                  <c:v>0.76630000000000109</c:v>
                </c:pt>
                <c:pt idx="19" formatCode="0.00000">
                  <c:v>0.78080000000000105</c:v>
                </c:pt>
                <c:pt idx="20" formatCode="0.00000">
                  <c:v>0.79530000000000101</c:v>
                </c:pt>
                <c:pt idx="21" formatCode="0.00000">
                  <c:v>0.80980000000000096</c:v>
                </c:pt>
                <c:pt idx="22" formatCode="0.00000">
                  <c:v>0.82430000000000092</c:v>
                </c:pt>
                <c:pt idx="23" formatCode="0.00000">
                  <c:v>0.83880000000000088</c:v>
                </c:pt>
                <c:pt idx="24" formatCode="0.00000">
                  <c:v>0.85330000000000084</c:v>
                </c:pt>
                <c:pt idx="25" formatCode="0.00000">
                  <c:v>0.86780000000000079</c:v>
                </c:pt>
                <c:pt idx="26" formatCode="0.00000">
                  <c:v>0.88230000000000075</c:v>
                </c:pt>
                <c:pt idx="27" formatCode="0.00000">
                  <c:v>0.89680000000000071</c:v>
                </c:pt>
                <c:pt idx="28" formatCode="0.00000">
                  <c:v>0.91130000000000067</c:v>
                </c:pt>
                <c:pt idx="29" formatCode="0.00000">
                  <c:v>0.92580000000000062</c:v>
                </c:pt>
                <c:pt idx="30" formatCode="0.00000">
                  <c:v>0.94030000000000058</c:v>
                </c:pt>
                <c:pt idx="31" formatCode="0.00000">
                  <c:v>0.95480000000000054</c:v>
                </c:pt>
                <c:pt idx="32" formatCode="0.00000">
                  <c:v>0.96930000000000049</c:v>
                </c:pt>
                <c:pt idx="33" formatCode="0.00000">
                  <c:v>0.98380000000000045</c:v>
                </c:pt>
                <c:pt idx="34" formatCode="0.00000">
                  <c:v>0.99830000000000041</c:v>
                </c:pt>
                <c:pt idx="35" formatCode="0.00000">
                  <c:v>0.99830000000000041</c:v>
                </c:pt>
                <c:pt idx="36" formatCode="0.00000">
                  <c:v>0.99830000000000041</c:v>
                </c:pt>
                <c:pt idx="37" formatCode="0.00000">
                  <c:v>0.99830000000000041</c:v>
                </c:pt>
                <c:pt idx="38" formatCode="0.00000">
                  <c:v>0.99830000000000041</c:v>
                </c:pt>
                <c:pt idx="39" formatCode="0.00000">
                  <c:v>0.99830000000000041</c:v>
                </c:pt>
                <c:pt idx="40" formatCode="0.00000">
                  <c:v>0.99830000000000041</c:v>
                </c:pt>
                <c:pt idx="41" formatCode="0.00000">
                  <c:v>0.99830000000000041</c:v>
                </c:pt>
                <c:pt idx="42" formatCode="0.00000">
                  <c:v>0.99830000000000041</c:v>
                </c:pt>
                <c:pt idx="43" formatCode="0.00000">
                  <c:v>0.99830000000000041</c:v>
                </c:pt>
                <c:pt idx="44" formatCode="0.00000">
                  <c:v>0.99830000000000041</c:v>
                </c:pt>
                <c:pt idx="45" formatCode="0.00000">
                  <c:v>0.99830000000000041</c:v>
                </c:pt>
                <c:pt idx="46" formatCode="0.00000">
                  <c:v>0.99830000000000041</c:v>
                </c:pt>
                <c:pt idx="47" formatCode="0.00000">
                  <c:v>0.99830000000000041</c:v>
                </c:pt>
                <c:pt idx="48" formatCode="0.00000">
                  <c:v>0.99830000000000041</c:v>
                </c:pt>
                <c:pt idx="49" formatCode="0.00000">
                  <c:v>0.99830000000000041</c:v>
                </c:pt>
                <c:pt idx="50" formatCode="0.00000">
                  <c:v>0.99830000000000041</c:v>
                </c:pt>
                <c:pt idx="51" formatCode="0.00000">
                  <c:v>0.99830000000000041</c:v>
                </c:pt>
                <c:pt idx="52" formatCode="0.00000">
                  <c:v>0.99830000000000041</c:v>
                </c:pt>
                <c:pt idx="53" formatCode="0.00000">
                  <c:v>0.99830000000000041</c:v>
                </c:pt>
                <c:pt idx="54" formatCode="0.00000">
                  <c:v>0.99830000000000041</c:v>
                </c:pt>
                <c:pt idx="55" formatCode="0.00000">
                  <c:v>0.99830000000000041</c:v>
                </c:pt>
                <c:pt idx="56" formatCode="0.00000">
                  <c:v>0.99830000000000041</c:v>
                </c:pt>
                <c:pt idx="57" formatCode="0.00000">
                  <c:v>0.99830000000000041</c:v>
                </c:pt>
                <c:pt idx="58" formatCode="0.00000">
                  <c:v>0.99830000000000041</c:v>
                </c:pt>
                <c:pt idx="59" formatCode="0.00000">
                  <c:v>0.99830000000000041</c:v>
                </c:pt>
                <c:pt idx="60" formatCode="0.00000">
                  <c:v>0.99830000000000041</c:v>
                </c:pt>
              </c:numCache>
            </c:numRef>
          </c:yVal>
          <c:smooth val="1"/>
          <c:extLst>
            <c:ext xmlns:c16="http://schemas.microsoft.com/office/drawing/2014/chart" uri="{C3380CC4-5D6E-409C-BE32-E72D297353CC}">
              <c16:uniqueId val="{00000001-E4A0-4D0D-A4E4-CBCD5CE30C62}"/>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0.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Rendimiento</a:t>
                </a:r>
                <a:r>
                  <a:rPr lang="en-US" baseline="0"/>
                  <a:t> [Ton/ha]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Rendimiento ganado carne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'CC70-Tendencial'!$K$259:$S$259</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'CC70-Tendencial'!$K$260:$S$260</c:f>
              <c:numCache>
                <c:formatCode>General</c:formatCode>
                <c:ptCount val="9"/>
                <c:pt idx="0">
                  <c:v>0.21360000000000001</c:v>
                </c:pt>
                <c:pt idx="1">
                  <c:v>0.215</c:v>
                </c:pt>
                <c:pt idx="2">
                  <c:v>0.217</c:v>
                </c:pt>
                <c:pt idx="3">
                  <c:v>0.21709041666666665</c:v>
                </c:pt>
                <c:pt idx="4">
                  <c:v>0.21731645833333327</c:v>
                </c:pt>
                <c:pt idx="5">
                  <c:v>0.21781374999999983</c:v>
                </c:pt>
                <c:pt idx="6">
                  <c:v>0.21822062499999975</c:v>
                </c:pt>
                <c:pt idx="7">
                  <c:v>0.21867270833333299</c:v>
                </c:pt>
                <c:pt idx="8">
                  <c:v>0.21912479166666624</c:v>
                </c:pt>
              </c:numCache>
            </c:numRef>
          </c:yVal>
          <c:smooth val="1"/>
          <c:extLst>
            <c:ext xmlns:c16="http://schemas.microsoft.com/office/drawing/2014/chart" uri="{C3380CC4-5D6E-409C-BE32-E72D297353CC}">
              <c16:uniqueId val="{00000000-A5B1-45BA-881E-8F01CF066656}"/>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'CC70-Tendencial'!$K$259:$S$259</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'CC70-Tendencial'!$K$263:$S$263</c:f>
              <c:numCache>
                <c:formatCode>General</c:formatCode>
                <c:ptCount val="9"/>
                <c:pt idx="0">
                  <c:v>0.21360000000000001</c:v>
                </c:pt>
                <c:pt idx="1">
                  <c:v>0.215</c:v>
                </c:pt>
                <c:pt idx="2">
                  <c:v>0.217</c:v>
                </c:pt>
                <c:pt idx="3" formatCode="0.00000">
                  <c:v>0.21709041666666665</c:v>
                </c:pt>
                <c:pt idx="4" formatCode="0.00000">
                  <c:v>0.21731645833333327</c:v>
                </c:pt>
                <c:pt idx="5" formatCode="0.00000">
                  <c:v>0.21776854166666651</c:v>
                </c:pt>
                <c:pt idx="6" formatCode="0.00000">
                  <c:v>0.21822062499999975</c:v>
                </c:pt>
                <c:pt idx="7" formatCode="0.00000">
                  <c:v>0.21867270833333299</c:v>
                </c:pt>
                <c:pt idx="8" formatCode="0.00000">
                  <c:v>0.21912479166666624</c:v>
                </c:pt>
              </c:numCache>
            </c:numRef>
          </c:yVal>
          <c:smooth val="1"/>
          <c:extLst>
            <c:ext xmlns:c16="http://schemas.microsoft.com/office/drawing/2014/chart" uri="{C3380CC4-5D6E-409C-BE32-E72D297353CC}">
              <c16:uniqueId val="{00000001-A5B1-45BA-881E-8F01CF066656}"/>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Rendimiento [ton/cabeza]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Café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'CC70-Tendencial'!$C$5:$BK$5</c:f>
              <c:numCache>
                <c:formatCode>General</c:formatCode>
                <c:ptCount val="61"/>
                <c:pt idx="0">
                  <c:v>0.21628913068977651</c:v>
                </c:pt>
                <c:pt idx="1">
                  <c:v>0.24229513864174809</c:v>
                </c:pt>
                <c:pt idx="2">
                  <c:v>9.3253716173294365E-2</c:v>
                </c:pt>
                <c:pt idx="3">
                  <c:v>0.12590260762328201</c:v>
                </c:pt>
                <c:pt idx="4">
                  <c:v>0.11907110447256432</c:v>
                </c:pt>
                <c:pt idx="5">
                  <c:v>0.12031253548958594</c:v>
                </c:pt>
                <c:pt idx="6">
                  <c:v>0.13072442420996253</c:v>
                </c:pt>
                <c:pt idx="7">
                  <c:v>0.20300590445517983</c:v>
                </c:pt>
                <c:pt idx="8">
                  <c:v>0.15865806289938603</c:v>
                </c:pt>
                <c:pt idx="9">
                  <c:v>0.22584403695175742</c:v>
                </c:pt>
                <c:pt idx="10">
                  <c:v>0.19621687911107807</c:v>
                </c:pt>
                <c:pt idx="11">
                  <c:v>0.16678538719853467</c:v>
                </c:pt>
                <c:pt idx="12">
                  <c:v>0.26640852754761069</c:v>
                </c:pt>
                <c:pt idx="13">
                  <c:v>0.25030000000000108</c:v>
                </c:pt>
                <c:pt idx="14">
                  <c:v>0.25082145833333441</c:v>
                </c:pt>
                <c:pt idx="15">
                  <c:v>0.25134400303819554</c:v>
                </c:pt>
                <c:pt idx="16">
                  <c:v>0.25186763637785847</c:v>
                </c:pt>
                <c:pt idx="17">
                  <c:v>0.25239236062031239</c:v>
                </c:pt>
                <c:pt idx="18">
                  <c:v>0.25291817803827138</c:v>
                </c:pt>
                <c:pt idx="19">
                  <c:v>0.25344509090918449</c:v>
                </c:pt>
                <c:pt idx="20">
                  <c:v>0.25397310151524533</c:v>
                </c:pt>
                <c:pt idx="21">
                  <c:v>0.25450221214340213</c:v>
                </c:pt>
                <c:pt idx="22">
                  <c:v>0.25503242508536755</c:v>
                </c:pt>
                <c:pt idx="23">
                  <c:v>0.25556374263762877</c:v>
                </c:pt>
                <c:pt idx="24">
                  <c:v>0.25609616710145716</c:v>
                </c:pt>
                <c:pt idx="25">
                  <c:v>0.25662970078291858</c:v>
                </c:pt>
                <c:pt idx="26">
                  <c:v>0.25716434599288301</c:v>
                </c:pt>
                <c:pt idx="27">
                  <c:v>0.25770010504703489</c:v>
                </c:pt>
                <c:pt idx="28">
                  <c:v>0.25823698026588293</c:v>
                </c:pt>
                <c:pt idx="29">
                  <c:v>0.25877497397477023</c:v>
                </c:pt>
                <c:pt idx="30">
                  <c:v>0.25931408850388438</c:v>
                </c:pt>
                <c:pt idx="31">
                  <c:v>0.25985432618826748</c:v>
                </c:pt>
                <c:pt idx="32">
                  <c:v>0.26039568936782642</c:v>
                </c:pt>
                <c:pt idx="33">
                  <c:v>0.26093818038734273</c:v>
                </c:pt>
                <c:pt idx="34">
                  <c:v>0.26148180159648304</c:v>
                </c:pt>
                <c:pt idx="35">
                  <c:v>0.26202655534980906</c:v>
                </c:pt>
                <c:pt idx="36">
                  <c:v>0.26257244400678786</c:v>
                </c:pt>
                <c:pt idx="37">
                  <c:v>0.26311946993180202</c:v>
                </c:pt>
                <c:pt idx="38">
                  <c:v>0.26366763549415995</c:v>
                </c:pt>
                <c:pt idx="39">
                  <c:v>0.26421694306810611</c:v>
                </c:pt>
                <c:pt idx="40">
                  <c:v>0.26476739503283137</c:v>
                </c:pt>
                <c:pt idx="41">
                  <c:v>0.26531899377248314</c:v>
                </c:pt>
                <c:pt idx="42">
                  <c:v>0.26587174167617583</c:v>
                </c:pt>
                <c:pt idx="43">
                  <c:v>0.26642564113800121</c:v>
                </c:pt>
                <c:pt idx="44">
                  <c:v>0.26698069455703877</c:v>
                </c:pt>
                <c:pt idx="45">
                  <c:v>0.26753690433736593</c:v>
                </c:pt>
                <c:pt idx="46">
                  <c:v>0.26809427288806881</c:v>
                </c:pt>
                <c:pt idx="47">
                  <c:v>0.26865280262325231</c:v>
                </c:pt>
                <c:pt idx="48">
                  <c:v>0.26921249596205077</c:v>
                </c:pt>
                <c:pt idx="49">
                  <c:v>0.26977335532863839</c:v>
                </c:pt>
                <c:pt idx="50">
                  <c:v>0.27033538315223976</c:v>
                </c:pt>
                <c:pt idx="51">
                  <c:v>0.27089858186714028</c:v>
                </c:pt>
                <c:pt idx="52">
                  <c:v>0.27146295391269687</c:v>
                </c:pt>
                <c:pt idx="53">
                  <c:v>0.27202850173334836</c:v>
                </c:pt>
                <c:pt idx="54">
                  <c:v>0.27259522777862621</c:v>
                </c:pt>
                <c:pt idx="55">
                  <c:v>0.27316313450316504</c:v>
                </c:pt>
                <c:pt idx="56">
                  <c:v>0.27373222436671335</c:v>
                </c:pt>
                <c:pt idx="57">
                  <c:v>0.27430249983414401</c:v>
                </c:pt>
                <c:pt idx="58">
                  <c:v>0.27487396337546516</c:v>
                </c:pt>
                <c:pt idx="59">
                  <c:v>0.27544661746583071</c:v>
                </c:pt>
                <c:pt idx="60">
                  <c:v>0.27602046458555124</c:v>
                </c:pt>
              </c:numCache>
            </c:numRef>
          </c:yVal>
          <c:smooth val="1"/>
          <c:extLst>
            <c:ext xmlns:c16="http://schemas.microsoft.com/office/drawing/2014/chart" uri="{C3380CC4-5D6E-409C-BE32-E72D297353CC}">
              <c16:uniqueId val="{00000000-7281-454D-A6DE-23C852D44EE4}"/>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'CC70-Tendencial'!$C$21:$BK$21</c:f>
              <c:numCache>
                <c:formatCode>General</c:formatCode>
                <c:ptCount val="61"/>
                <c:pt idx="0">
                  <c:v>0.21628913068977651</c:v>
                </c:pt>
                <c:pt idx="1">
                  <c:v>0.24229513864174809</c:v>
                </c:pt>
                <c:pt idx="2">
                  <c:v>9.3253716173294365E-2</c:v>
                </c:pt>
                <c:pt idx="3">
                  <c:v>0.12590260762328201</c:v>
                </c:pt>
                <c:pt idx="4">
                  <c:v>0.11907110447256432</c:v>
                </c:pt>
                <c:pt idx="5">
                  <c:v>0.12031253548958594</c:v>
                </c:pt>
                <c:pt idx="6">
                  <c:v>0.13072442420996253</c:v>
                </c:pt>
                <c:pt idx="7">
                  <c:v>0.20300590445517983</c:v>
                </c:pt>
                <c:pt idx="8">
                  <c:v>0.15865806289938603</c:v>
                </c:pt>
                <c:pt idx="9">
                  <c:v>0.22584403695175742</c:v>
                </c:pt>
                <c:pt idx="10">
                  <c:v>0.19621687911107807</c:v>
                </c:pt>
                <c:pt idx="11">
                  <c:v>0.16678538719853467</c:v>
                </c:pt>
                <c:pt idx="12">
                  <c:v>0.26640852754761069</c:v>
                </c:pt>
                <c:pt idx="13">
                  <c:v>0.25030000000000108</c:v>
                </c:pt>
                <c:pt idx="14" formatCode="0.00000">
                  <c:v>0.25030000000000108</c:v>
                </c:pt>
                <c:pt idx="15" formatCode="0.00000">
                  <c:v>0.25348510638297977</c:v>
                </c:pt>
                <c:pt idx="16" formatCode="0.00000">
                  <c:v>0.25667021276595847</c:v>
                </c:pt>
                <c:pt idx="17" formatCode="0.00000">
                  <c:v>0.25985531914893717</c:v>
                </c:pt>
                <c:pt idx="18" formatCode="0.00000">
                  <c:v>0.26304042553191587</c:v>
                </c:pt>
                <c:pt idx="19" formatCode="0.00000">
                  <c:v>0.26622553191489456</c:v>
                </c:pt>
                <c:pt idx="20" formatCode="0.00000">
                  <c:v>0.26941063829787326</c:v>
                </c:pt>
                <c:pt idx="21" formatCode="0.00000">
                  <c:v>0.27259574468085201</c:v>
                </c:pt>
                <c:pt idx="22" formatCode="0.00000">
                  <c:v>0.27578085106383066</c:v>
                </c:pt>
                <c:pt idx="23" formatCode="0.00000">
                  <c:v>0.27896595744680941</c:v>
                </c:pt>
                <c:pt idx="24" formatCode="0.00000">
                  <c:v>0.28215106382978811</c:v>
                </c:pt>
                <c:pt idx="25" formatCode="0.00000">
                  <c:v>0.2853361702127668</c:v>
                </c:pt>
                <c:pt idx="26" formatCode="0.00000">
                  <c:v>0.2885212765957455</c:v>
                </c:pt>
                <c:pt idx="27" formatCode="0.00000">
                  <c:v>0.2917063829787242</c:v>
                </c:pt>
                <c:pt idx="28" formatCode="0.00000">
                  <c:v>0.2948914893617029</c:v>
                </c:pt>
                <c:pt idx="29" formatCode="0.00000">
                  <c:v>0.29807659574468159</c:v>
                </c:pt>
                <c:pt idx="30" formatCode="0.00000">
                  <c:v>0.30126170212766029</c:v>
                </c:pt>
                <c:pt idx="31" formatCode="0.00000">
                  <c:v>0.30444680851063899</c:v>
                </c:pt>
                <c:pt idx="32" formatCode="0.00000">
                  <c:v>0.30763191489361769</c:v>
                </c:pt>
                <c:pt idx="33" formatCode="0.00000">
                  <c:v>0.31081702127659638</c:v>
                </c:pt>
                <c:pt idx="34" formatCode="0.00000">
                  <c:v>0.31400212765957508</c:v>
                </c:pt>
                <c:pt idx="35" formatCode="0.00000">
                  <c:v>0.31718723404255378</c:v>
                </c:pt>
                <c:pt idx="36" formatCode="0.00000">
                  <c:v>0.32037234042553253</c:v>
                </c:pt>
                <c:pt idx="37" formatCode="0.00000">
                  <c:v>0.32355744680851117</c:v>
                </c:pt>
                <c:pt idx="38" formatCode="0.00000">
                  <c:v>0.32674255319148993</c:v>
                </c:pt>
                <c:pt idx="39" formatCode="0.00000">
                  <c:v>0.32992765957446857</c:v>
                </c:pt>
                <c:pt idx="40" formatCode="0.00000">
                  <c:v>0.33311276595744732</c:v>
                </c:pt>
                <c:pt idx="41" formatCode="0.00000">
                  <c:v>0.33629787234042602</c:v>
                </c:pt>
                <c:pt idx="42" formatCode="0.00000">
                  <c:v>0.33948297872340472</c:v>
                </c:pt>
                <c:pt idx="43" formatCode="0.00000">
                  <c:v>0.34266808510638341</c:v>
                </c:pt>
                <c:pt idx="44" formatCode="0.00000">
                  <c:v>0.34585319148936211</c:v>
                </c:pt>
                <c:pt idx="45" formatCode="0.00000">
                  <c:v>0.34903829787234081</c:v>
                </c:pt>
                <c:pt idx="46" formatCode="0.00000">
                  <c:v>0.35222340425531951</c:v>
                </c:pt>
                <c:pt idx="47" formatCode="0.00000">
                  <c:v>0.3554085106382982</c:v>
                </c:pt>
                <c:pt idx="48" formatCode="0.00000">
                  <c:v>0.3585936170212769</c:v>
                </c:pt>
                <c:pt idx="49" formatCode="0.00000">
                  <c:v>0.3617787234042556</c:v>
                </c:pt>
                <c:pt idx="50" formatCode="0.00000">
                  <c:v>0.3649638297872343</c:v>
                </c:pt>
                <c:pt idx="51" formatCode="0.00000">
                  <c:v>0.36814893617021299</c:v>
                </c:pt>
                <c:pt idx="52" formatCode="0.00000">
                  <c:v>0.37133404255319169</c:v>
                </c:pt>
                <c:pt idx="53" formatCode="0.00000">
                  <c:v>0.37451914893617039</c:v>
                </c:pt>
                <c:pt idx="54" formatCode="0.00000">
                  <c:v>0.37770425531914908</c:v>
                </c:pt>
                <c:pt idx="55" formatCode="0.00000">
                  <c:v>0.38088936170212784</c:v>
                </c:pt>
                <c:pt idx="56" formatCode="0.00000">
                  <c:v>0.38407446808510648</c:v>
                </c:pt>
                <c:pt idx="57" formatCode="0.00000">
                  <c:v>0.38725957446808523</c:v>
                </c:pt>
                <c:pt idx="58" formatCode="0.00000">
                  <c:v>0.39044468085106393</c:v>
                </c:pt>
                <c:pt idx="59" formatCode="0.00000">
                  <c:v>0.39362978723404263</c:v>
                </c:pt>
                <c:pt idx="60" formatCode="0.00000">
                  <c:v>0.39681489361702132</c:v>
                </c:pt>
              </c:numCache>
            </c:numRef>
          </c:yVal>
          <c:smooth val="1"/>
          <c:extLst>
            <c:ext xmlns:c16="http://schemas.microsoft.com/office/drawing/2014/chart" uri="{C3380CC4-5D6E-409C-BE32-E72D297353CC}">
              <c16:uniqueId val="{00000001-7281-454D-A6DE-23C852D44EE4}"/>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5.000000000000001E-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Rendimiento</a:t>
                </a:r>
                <a:r>
                  <a:rPr lang="en-US" baseline="0"/>
                  <a:t> [Ton/ha]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Caña de azúcar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'CC70-Tendencial'!$C$6:$BK$6</c:f>
              <c:numCache>
                <c:formatCode>General</c:formatCode>
                <c:ptCount val="61"/>
                <c:pt idx="0">
                  <c:v>78.063575490049388</c:v>
                </c:pt>
                <c:pt idx="1">
                  <c:v>94.0584003238679</c:v>
                </c:pt>
                <c:pt idx="2">
                  <c:v>77.477944959522887</c:v>
                </c:pt>
                <c:pt idx="3">
                  <c:v>70.827627490946512</c:v>
                </c:pt>
                <c:pt idx="4">
                  <c:v>85.159827436733678</c:v>
                </c:pt>
                <c:pt idx="5">
                  <c:v>98.484690496608707</c:v>
                </c:pt>
                <c:pt idx="6">
                  <c:v>82.758706681571937</c:v>
                </c:pt>
                <c:pt idx="7">
                  <c:v>73.53564262163502</c:v>
                </c:pt>
                <c:pt idx="8">
                  <c:v>67.989654963102979</c:v>
                </c:pt>
                <c:pt idx="9">
                  <c:v>73.460684302118153</c:v>
                </c:pt>
                <c:pt idx="10">
                  <c:v>74.345460716546896</c:v>
                </c:pt>
                <c:pt idx="11">
                  <c:v>77.713414431150085</c:v>
                </c:pt>
                <c:pt idx="12">
                  <c:v>59.810931153196861</c:v>
                </c:pt>
                <c:pt idx="13">
                  <c:v>68.154000000000451</c:v>
                </c:pt>
                <c:pt idx="14">
                  <c:v>68.359171937500449</c:v>
                </c:pt>
                <c:pt idx="15">
                  <c:v>68.564961528020632</c:v>
                </c:pt>
                <c:pt idx="16">
                  <c:v>68.771370630953939</c:v>
                </c:pt>
                <c:pt idx="17">
                  <c:v>68.978401111290879</c:v>
                </c:pt>
                <c:pt idx="18">
                  <c:v>69.186054839636327</c:v>
                </c:pt>
                <c:pt idx="19">
                  <c:v>69.394333692226482</c:v>
                </c:pt>
                <c:pt idx="20">
                  <c:v>69.603239550945787</c:v>
                </c:pt>
                <c:pt idx="21">
                  <c:v>69.812774303343943</c:v>
                </c:pt>
                <c:pt idx="22">
                  <c:v>70.022939842652974</c:v>
                </c:pt>
                <c:pt idx="23">
                  <c:v>70.233738067804296</c:v>
                </c:pt>
                <c:pt idx="24">
                  <c:v>70.445170883445911</c:v>
                </c:pt>
                <c:pt idx="25">
                  <c:v>70.657240199959617</c:v>
                </c:pt>
                <c:pt idx="26">
                  <c:v>70.869947933478244</c:v>
                </c:pt>
                <c:pt idx="27">
                  <c:v>71.08329600590298</c:v>
                </c:pt>
                <c:pt idx="28">
                  <c:v>71.297286344920749</c:v>
                </c:pt>
                <c:pt idx="29">
                  <c:v>71.511920884021606</c:v>
                </c:pt>
                <c:pt idx="30">
                  <c:v>71.727201562516214</c:v>
                </c:pt>
                <c:pt idx="31">
                  <c:v>71.943130325553369</c:v>
                </c:pt>
                <c:pt idx="32">
                  <c:v>72.159709124137592</c:v>
                </c:pt>
                <c:pt idx="33">
                  <c:v>72.376939915146721</c:v>
                </c:pt>
                <c:pt idx="34">
                  <c:v>72.594824661349605</c:v>
                </c:pt>
                <c:pt idx="35">
                  <c:v>72.813365331423881</c:v>
                </c:pt>
                <c:pt idx="36">
                  <c:v>73.032563899973695</c:v>
                </c:pt>
                <c:pt idx="37">
                  <c:v>73.252422347547579</c:v>
                </c:pt>
                <c:pt idx="38">
                  <c:v>73.472942660656344</c:v>
                </c:pt>
                <c:pt idx="39">
                  <c:v>73.694126831791024</c:v>
                </c:pt>
                <c:pt idx="40">
                  <c:v>73.915976859440903</c:v>
                </c:pt>
                <c:pt idx="41">
                  <c:v>74.138494748111512</c:v>
                </c:pt>
                <c:pt idx="42">
                  <c:v>74.36168250834281</c:v>
                </c:pt>
                <c:pt idx="43">
                  <c:v>74.5855421567273</c:v>
                </c:pt>
                <c:pt idx="44">
                  <c:v>74.810075715928278</c:v>
                </c:pt>
                <c:pt idx="45">
                  <c:v>75.035285214698106</c:v>
                </c:pt>
                <c:pt idx="46">
                  <c:v>75.261172687896519</c:v>
                </c:pt>
                <c:pt idx="47">
                  <c:v>75.487740176509035</c:v>
                </c:pt>
                <c:pt idx="48">
                  <c:v>75.714989727665397</c:v>
                </c:pt>
                <c:pt idx="49">
                  <c:v>75.942923394658052</c:v>
                </c:pt>
                <c:pt idx="50">
                  <c:v>76.171543236960716</c:v>
                </c:pt>
                <c:pt idx="51">
                  <c:v>76.400851320246986</c:v>
                </c:pt>
                <c:pt idx="52">
                  <c:v>76.630849716408974</c:v>
                </c:pt>
                <c:pt idx="53">
                  <c:v>76.86154050357608</c:v>
                </c:pt>
                <c:pt idx="54">
                  <c:v>77.092925766133718</c:v>
                </c:pt>
                <c:pt idx="55">
                  <c:v>77.325007594742189</c:v>
                </c:pt>
                <c:pt idx="56">
                  <c:v>77.557788086355529</c:v>
                </c:pt>
                <c:pt idx="57">
                  <c:v>77.79126934424049</c:v>
                </c:pt>
                <c:pt idx="58">
                  <c:v>78.025453477995555</c:v>
                </c:pt>
                <c:pt idx="59">
                  <c:v>78.260342603569939</c:v>
                </c:pt>
                <c:pt idx="60">
                  <c:v>78.495938843282772</c:v>
                </c:pt>
              </c:numCache>
            </c:numRef>
          </c:yVal>
          <c:smooth val="1"/>
          <c:extLst>
            <c:ext xmlns:c16="http://schemas.microsoft.com/office/drawing/2014/chart" uri="{C3380CC4-5D6E-409C-BE32-E72D297353CC}">
              <c16:uniqueId val="{00000000-5224-445D-BAB4-73964B9E8224}"/>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'CC70-Tendencial'!$C$22:$BK$22</c:f>
              <c:numCache>
                <c:formatCode>General</c:formatCode>
                <c:ptCount val="61"/>
                <c:pt idx="0">
                  <c:v>78.063575490049388</c:v>
                </c:pt>
                <c:pt idx="1">
                  <c:v>94.0584003238679</c:v>
                </c:pt>
                <c:pt idx="2">
                  <c:v>77.477944959522887</c:v>
                </c:pt>
                <c:pt idx="3">
                  <c:v>70.827627490946512</c:v>
                </c:pt>
                <c:pt idx="4">
                  <c:v>85.159827436733678</c:v>
                </c:pt>
                <c:pt idx="5">
                  <c:v>98.484690496608707</c:v>
                </c:pt>
                <c:pt idx="6">
                  <c:v>82.758706681571937</c:v>
                </c:pt>
                <c:pt idx="7">
                  <c:v>73.53564262163502</c:v>
                </c:pt>
                <c:pt idx="8">
                  <c:v>67.989654963102979</c:v>
                </c:pt>
                <c:pt idx="9">
                  <c:v>73.460684302118153</c:v>
                </c:pt>
                <c:pt idx="10">
                  <c:v>74.345460716546896</c:v>
                </c:pt>
                <c:pt idx="11">
                  <c:v>77.713414431150085</c:v>
                </c:pt>
                <c:pt idx="12">
                  <c:v>59.810931153196861</c:v>
                </c:pt>
                <c:pt idx="13">
                  <c:v>68.154000000000451</c:v>
                </c:pt>
                <c:pt idx="14" formatCode="0.00000">
                  <c:v>68.154000000000451</c:v>
                </c:pt>
                <c:pt idx="15" formatCode="0.00000">
                  <c:v>68.406042553191938</c:v>
                </c:pt>
                <c:pt idx="16" formatCode="0.00000">
                  <c:v>68.65808510638341</c:v>
                </c:pt>
                <c:pt idx="17" formatCode="0.00000">
                  <c:v>68.910127659574897</c:v>
                </c:pt>
                <c:pt idx="18" formatCode="0.00000">
                  <c:v>69.16217021276637</c:v>
                </c:pt>
                <c:pt idx="19" formatCode="0.00000">
                  <c:v>69.414212765957856</c:v>
                </c:pt>
                <c:pt idx="20" formatCode="0.00000">
                  <c:v>69.666255319149329</c:v>
                </c:pt>
                <c:pt idx="21" formatCode="0.00000">
                  <c:v>69.918297872340816</c:v>
                </c:pt>
                <c:pt idx="22" formatCode="0.00000">
                  <c:v>70.170340425532288</c:v>
                </c:pt>
                <c:pt idx="23" formatCode="0.00000">
                  <c:v>70.422382978723775</c:v>
                </c:pt>
                <c:pt idx="24" formatCode="0.00000">
                  <c:v>70.674425531915247</c:v>
                </c:pt>
                <c:pt idx="25" formatCode="0.00000">
                  <c:v>70.926468085106734</c:v>
                </c:pt>
                <c:pt idx="26" formatCode="0.00000">
                  <c:v>71.178510638298206</c:v>
                </c:pt>
                <c:pt idx="27" formatCode="0.00000">
                  <c:v>71.430553191489693</c:v>
                </c:pt>
                <c:pt idx="28" formatCode="0.00000">
                  <c:v>71.682595744681166</c:v>
                </c:pt>
                <c:pt idx="29" formatCode="0.00000">
                  <c:v>71.934638297872652</c:v>
                </c:pt>
                <c:pt idx="30" formatCode="0.00000">
                  <c:v>72.186680851064125</c:v>
                </c:pt>
                <c:pt idx="31" formatCode="0.00000">
                  <c:v>72.438723404255612</c:v>
                </c:pt>
                <c:pt idx="32" formatCode="0.00000">
                  <c:v>72.690765957447084</c:v>
                </c:pt>
                <c:pt idx="33" formatCode="0.00000">
                  <c:v>72.942808510638571</c:v>
                </c:pt>
                <c:pt idx="34" formatCode="0.00000">
                  <c:v>73.194851063830043</c:v>
                </c:pt>
                <c:pt idx="35" formatCode="0.00000">
                  <c:v>73.44689361702153</c:v>
                </c:pt>
                <c:pt idx="36" formatCode="0.00000">
                  <c:v>73.698936170213003</c:v>
                </c:pt>
                <c:pt idx="37" formatCode="0.00000">
                  <c:v>73.950978723404489</c:v>
                </c:pt>
                <c:pt idx="38" formatCode="0.00000">
                  <c:v>74.203021276595962</c:v>
                </c:pt>
                <c:pt idx="39" formatCode="0.00000">
                  <c:v>74.455063829787449</c:v>
                </c:pt>
                <c:pt idx="40" formatCode="0.00000">
                  <c:v>74.707106382978921</c:v>
                </c:pt>
                <c:pt idx="41" formatCode="0.00000">
                  <c:v>74.959148936170408</c:v>
                </c:pt>
                <c:pt idx="42" formatCode="0.00000">
                  <c:v>75.21119148936188</c:v>
                </c:pt>
                <c:pt idx="43" formatCode="0.00000">
                  <c:v>75.463234042553367</c:v>
                </c:pt>
                <c:pt idx="44" formatCode="0.00000">
                  <c:v>75.715276595744839</c:v>
                </c:pt>
                <c:pt idx="45" formatCode="0.00000">
                  <c:v>75.967319148936326</c:v>
                </c:pt>
                <c:pt idx="46" formatCode="0.00000">
                  <c:v>76.219361702127799</c:v>
                </c:pt>
                <c:pt idx="47" formatCode="0.00000">
                  <c:v>76.471404255319285</c:v>
                </c:pt>
                <c:pt idx="48" formatCode="0.00000">
                  <c:v>76.723446808510758</c:v>
                </c:pt>
                <c:pt idx="49" formatCode="0.00000">
                  <c:v>76.975489361702245</c:v>
                </c:pt>
                <c:pt idx="50" formatCode="0.00000">
                  <c:v>77.227531914893717</c:v>
                </c:pt>
                <c:pt idx="51" formatCode="0.00000">
                  <c:v>77.479574468085204</c:v>
                </c:pt>
                <c:pt idx="52" formatCode="0.00000">
                  <c:v>77.731617021276676</c:v>
                </c:pt>
                <c:pt idx="53" formatCode="0.00000">
                  <c:v>77.983659574468163</c:v>
                </c:pt>
                <c:pt idx="54" formatCode="0.00000">
                  <c:v>78.235702127659636</c:v>
                </c:pt>
                <c:pt idx="55" formatCode="0.00000">
                  <c:v>78.487744680851122</c:v>
                </c:pt>
                <c:pt idx="56" formatCode="0.00000">
                  <c:v>78.739787234042609</c:v>
                </c:pt>
                <c:pt idx="57" formatCode="0.00000">
                  <c:v>78.991829787234082</c:v>
                </c:pt>
                <c:pt idx="58" formatCode="0.00000">
                  <c:v>79.243872340425554</c:v>
                </c:pt>
                <c:pt idx="59" formatCode="0.00000">
                  <c:v>79.495914893617041</c:v>
                </c:pt>
                <c:pt idx="60" formatCode="0.00000">
                  <c:v>79.747957446808527</c:v>
                </c:pt>
              </c:numCache>
            </c:numRef>
          </c:yVal>
          <c:smooth val="1"/>
          <c:extLst>
            <c:ext xmlns:c16="http://schemas.microsoft.com/office/drawing/2014/chart" uri="{C3380CC4-5D6E-409C-BE32-E72D297353CC}">
              <c16:uniqueId val="{00000001-5224-445D-BAB4-73964B9E8224}"/>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Rendimiento</a:t>
                </a:r>
                <a:r>
                  <a:rPr lang="en-US" baseline="0"/>
                  <a:t> [Ton/ha]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Maiz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'CC70-Tendencial'!$C$7:$BK$7</c:f>
              <c:numCache>
                <c:formatCode>General</c:formatCode>
                <c:ptCount val="61"/>
                <c:pt idx="0">
                  <c:v>2.234824433513646</c:v>
                </c:pt>
                <c:pt idx="1">
                  <c:v>1.6671662766708666</c:v>
                </c:pt>
                <c:pt idx="2">
                  <c:v>2.7324016605696904</c:v>
                </c:pt>
                <c:pt idx="3">
                  <c:v>2.3702330807084238</c:v>
                </c:pt>
                <c:pt idx="4">
                  <c:v>3.4336375016471208</c:v>
                </c:pt>
                <c:pt idx="5">
                  <c:v>3.7832567646121245</c:v>
                </c:pt>
                <c:pt idx="6">
                  <c:v>3.1693472715979225</c:v>
                </c:pt>
                <c:pt idx="7">
                  <c:v>3.5362070788060898</c:v>
                </c:pt>
                <c:pt idx="8">
                  <c:v>3.3286540144375976</c:v>
                </c:pt>
                <c:pt idx="9">
                  <c:v>4.1881683374567302</c:v>
                </c:pt>
                <c:pt idx="10">
                  <c:v>3.5239779883680322</c:v>
                </c:pt>
                <c:pt idx="11">
                  <c:v>4.2089326354119247</c:v>
                </c:pt>
                <c:pt idx="12">
                  <c:v>4.1731183803542979</c:v>
                </c:pt>
                <c:pt idx="13">
                  <c:v>4.547800000000052</c:v>
                </c:pt>
                <c:pt idx="14">
                  <c:v>4.5693073041667187</c:v>
                </c:pt>
                <c:pt idx="15">
                  <c:v>4.5909163199593408</c:v>
                </c:pt>
                <c:pt idx="16">
                  <c:v>4.6126275283891482</c:v>
                </c:pt>
                <c:pt idx="17">
                  <c:v>4.6344414127421549</c:v>
                </c:pt>
                <c:pt idx="18">
                  <c:v>4.6563584585899145</c:v>
                </c:pt>
                <c:pt idx="19">
                  <c:v>4.6783791538003294</c:v>
                </c:pt>
                <c:pt idx="20">
                  <c:v>4.70050398854851</c:v>
                </c:pt>
                <c:pt idx="21">
                  <c:v>4.7227334553276874</c:v>
                </c:pt>
                <c:pt idx="22">
                  <c:v>4.7450680489601744</c:v>
                </c:pt>
                <c:pt idx="23">
                  <c:v>4.7675082666083819</c:v>
                </c:pt>
                <c:pt idx="24">
                  <c:v>4.7900546077858843</c:v>
                </c:pt>
                <c:pt idx="25">
                  <c:v>4.8127075743685381</c:v>
                </c:pt>
                <c:pt idx="26">
                  <c:v>4.8354676706056559</c:v>
                </c:pt>
                <c:pt idx="27">
                  <c:v>4.8583354031312282</c:v>
                </c:pt>
                <c:pt idx="28">
                  <c:v>4.8813112809752033</c:v>
                </c:pt>
                <c:pt idx="29">
                  <c:v>4.9043958155748149</c:v>
                </c:pt>
                <c:pt idx="30">
                  <c:v>4.927589520785971</c:v>
                </c:pt>
                <c:pt idx="31">
                  <c:v>4.9508929128946884</c:v>
                </c:pt>
                <c:pt idx="32">
                  <c:v>4.974306510628586</c:v>
                </c:pt>
                <c:pt idx="33">
                  <c:v>4.9978308351684335</c:v>
                </c:pt>
                <c:pt idx="34">
                  <c:v>5.0214664101597508</c:v>
                </c:pt>
                <c:pt idx="35">
                  <c:v>5.0452137617244643</c:v>
                </c:pt>
                <c:pt idx="36">
                  <c:v>5.0690734184726196</c:v>
                </c:pt>
                <c:pt idx="37">
                  <c:v>5.093045911514146</c:v>
                </c:pt>
                <c:pt idx="38">
                  <c:v>5.1171317744706819</c:v>
                </c:pt>
                <c:pt idx="39">
                  <c:v>5.1413315434874498</c:v>
                </c:pt>
                <c:pt idx="40">
                  <c:v>5.1656457572451924</c:v>
                </c:pt>
                <c:pt idx="41">
                  <c:v>5.1900749569721647</c:v>
                </c:pt>
                <c:pt idx="42">
                  <c:v>5.2146196864561789</c:v>
                </c:pt>
                <c:pt idx="43">
                  <c:v>5.2392804920567109</c:v>
                </c:pt>
                <c:pt idx="44">
                  <c:v>5.2640579227170621</c:v>
                </c:pt>
                <c:pt idx="45">
                  <c:v>5.2889525299765783</c:v>
                </c:pt>
                <c:pt idx="46">
                  <c:v>5.3139648679829259</c:v>
                </c:pt>
                <c:pt idx="47">
                  <c:v>5.3390954935044288</c:v>
                </c:pt>
                <c:pt idx="48">
                  <c:v>5.3643449659424602</c:v>
                </c:pt>
                <c:pt idx="49">
                  <c:v>5.3897138473438968</c:v>
                </c:pt>
                <c:pt idx="50">
                  <c:v>5.4152027024136276</c:v>
                </c:pt>
                <c:pt idx="51">
                  <c:v>5.4408120985271253</c:v>
                </c:pt>
                <c:pt idx="52">
                  <c:v>5.4665426057430766</c:v>
                </c:pt>
                <c:pt idx="53">
                  <c:v>5.49239479681607</c:v>
                </c:pt>
                <c:pt idx="54">
                  <c:v>5.5183692472093462</c:v>
                </c:pt>
                <c:pt idx="55">
                  <c:v>5.544466535107607</c:v>
                </c:pt>
                <c:pt idx="56">
                  <c:v>5.5706872414298871</c:v>
                </c:pt>
                <c:pt idx="57">
                  <c:v>5.5970319498424823</c:v>
                </c:pt>
                <c:pt idx="58">
                  <c:v>5.6235012467719461</c:v>
                </c:pt>
                <c:pt idx="59">
                  <c:v>5.6500957214181389</c:v>
                </c:pt>
                <c:pt idx="60">
                  <c:v>5.6768159657673456</c:v>
                </c:pt>
              </c:numCache>
            </c:numRef>
          </c:yVal>
          <c:smooth val="1"/>
          <c:extLst>
            <c:ext xmlns:c16="http://schemas.microsoft.com/office/drawing/2014/chart" uri="{C3380CC4-5D6E-409C-BE32-E72D297353CC}">
              <c16:uniqueId val="{00000000-CDE5-4F96-8967-830483F7F4F5}"/>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'CC70-Tendencial'!$C$23:$BK$23</c:f>
              <c:numCache>
                <c:formatCode>General</c:formatCode>
                <c:ptCount val="61"/>
                <c:pt idx="0">
                  <c:v>2.234824433513646</c:v>
                </c:pt>
                <c:pt idx="1">
                  <c:v>1.6671662766708666</c:v>
                </c:pt>
                <c:pt idx="2">
                  <c:v>2.7324016605696904</c:v>
                </c:pt>
                <c:pt idx="3">
                  <c:v>2.3702330807084238</c:v>
                </c:pt>
                <c:pt idx="4">
                  <c:v>3.4336375016471208</c:v>
                </c:pt>
                <c:pt idx="5">
                  <c:v>3.7832567646121245</c:v>
                </c:pt>
                <c:pt idx="6">
                  <c:v>3.1693472715979225</c:v>
                </c:pt>
                <c:pt idx="7">
                  <c:v>3.5362070788060898</c:v>
                </c:pt>
                <c:pt idx="8">
                  <c:v>3.3286540144375976</c:v>
                </c:pt>
                <c:pt idx="9">
                  <c:v>4.1881683374567302</c:v>
                </c:pt>
                <c:pt idx="10">
                  <c:v>3.5239779883680322</c:v>
                </c:pt>
                <c:pt idx="11">
                  <c:v>4.2089326354119247</c:v>
                </c:pt>
                <c:pt idx="12">
                  <c:v>4.1731183803542979</c:v>
                </c:pt>
                <c:pt idx="13">
                  <c:v>4.547800000000052</c:v>
                </c:pt>
                <c:pt idx="14" formatCode="0.00000">
                  <c:v>4.547800000000052</c:v>
                </c:pt>
                <c:pt idx="15" formatCode="0.00000">
                  <c:v>4.5934425531915402</c:v>
                </c:pt>
                <c:pt idx="16" formatCode="0.00000">
                  <c:v>4.6390851063830283</c:v>
                </c:pt>
                <c:pt idx="17" formatCode="0.00000">
                  <c:v>4.6847276595745164</c:v>
                </c:pt>
                <c:pt idx="18" formatCode="0.00000">
                  <c:v>4.7303702127660046</c:v>
                </c:pt>
                <c:pt idx="19" formatCode="0.00000">
                  <c:v>4.7760127659574936</c:v>
                </c:pt>
                <c:pt idx="20" formatCode="0.00000">
                  <c:v>4.8216553191489817</c:v>
                </c:pt>
                <c:pt idx="21" formatCode="0.00000">
                  <c:v>4.8672978723404698</c:v>
                </c:pt>
                <c:pt idx="22" formatCode="0.00000">
                  <c:v>4.912940425531958</c:v>
                </c:pt>
                <c:pt idx="23" formatCode="0.00000">
                  <c:v>4.9585829787234461</c:v>
                </c:pt>
                <c:pt idx="24" formatCode="0.00000">
                  <c:v>5.0042255319149342</c:v>
                </c:pt>
                <c:pt idx="25" formatCode="0.00000">
                  <c:v>5.0498680851064233</c:v>
                </c:pt>
                <c:pt idx="26" formatCode="0.00000">
                  <c:v>5.0955106382979114</c:v>
                </c:pt>
                <c:pt idx="27" formatCode="0.00000">
                  <c:v>5.1411531914893995</c:v>
                </c:pt>
                <c:pt idx="28" formatCode="0.00000">
                  <c:v>5.1867957446808877</c:v>
                </c:pt>
                <c:pt idx="29" formatCode="0.00000">
                  <c:v>5.2324382978723758</c:v>
                </c:pt>
                <c:pt idx="30" formatCode="0.00000">
                  <c:v>5.2780808510638639</c:v>
                </c:pt>
                <c:pt idx="31" formatCode="0.00000">
                  <c:v>5.3237234042553521</c:v>
                </c:pt>
                <c:pt idx="32" formatCode="0.00000">
                  <c:v>5.3693659574468402</c:v>
                </c:pt>
                <c:pt idx="33" formatCode="0.00000">
                  <c:v>5.4150085106383283</c:v>
                </c:pt>
                <c:pt idx="34" formatCode="0.00000">
                  <c:v>5.4606510638298165</c:v>
                </c:pt>
                <c:pt idx="35" formatCode="0.00000">
                  <c:v>5.5062936170213055</c:v>
                </c:pt>
                <c:pt idx="36" formatCode="0.00000">
                  <c:v>5.5519361702127936</c:v>
                </c:pt>
                <c:pt idx="37" formatCode="0.00000">
                  <c:v>5.5975787234042818</c:v>
                </c:pt>
                <c:pt idx="38" formatCode="0.00000">
                  <c:v>5.6432212765957699</c:v>
                </c:pt>
                <c:pt idx="39" formatCode="0.00000">
                  <c:v>5.688863829787258</c:v>
                </c:pt>
                <c:pt idx="40" formatCode="0.00000">
                  <c:v>5.7345063829787462</c:v>
                </c:pt>
                <c:pt idx="41" formatCode="0.00000">
                  <c:v>5.7801489361702352</c:v>
                </c:pt>
                <c:pt idx="42" formatCode="0.00000">
                  <c:v>5.8257914893617233</c:v>
                </c:pt>
                <c:pt idx="43" formatCode="0.00000">
                  <c:v>5.8714340425532114</c:v>
                </c:pt>
                <c:pt idx="44" formatCode="0.00000">
                  <c:v>5.9170765957446996</c:v>
                </c:pt>
                <c:pt idx="45" formatCode="0.00000">
                  <c:v>5.9627191489361877</c:v>
                </c:pt>
                <c:pt idx="46" formatCode="0.00000">
                  <c:v>6.0083617021276758</c:v>
                </c:pt>
                <c:pt idx="47" formatCode="0.00000">
                  <c:v>6.054004255319164</c:v>
                </c:pt>
                <c:pt idx="48" formatCode="0.00000">
                  <c:v>6.0996468085106521</c:v>
                </c:pt>
                <c:pt idx="49" formatCode="0.00000">
                  <c:v>6.1452893617021402</c:v>
                </c:pt>
                <c:pt idx="50" formatCode="0.00000">
                  <c:v>6.1909319148936284</c:v>
                </c:pt>
                <c:pt idx="51" formatCode="0.00000">
                  <c:v>6.2365744680851174</c:v>
                </c:pt>
                <c:pt idx="52" formatCode="0.00000">
                  <c:v>6.2822170212766055</c:v>
                </c:pt>
                <c:pt idx="53" formatCode="0.00000">
                  <c:v>6.3278595744680937</c:v>
                </c:pt>
                <c:pt idx="54" formatCode="0.00000">
                  <c:v>6.3735021276595818</c:v>
                </c:pt>
                <c:pt idx="55" formatCode="0.00000">
                  <c:v>6.4191446808510699</c:v>
                </c:pt>
                <c:pt idx="56" formatCode="0.00000">
                  <c:v>6.4647872340425581</c:v>
                </c:pt>
                <c:pt idx="57" formatCode="0.00000">
                  <c:v>6.5104297872340462</c:v>
                </c:pt>
                <c:pt idx="58" formatCode="0.00000">
                  <c:v>6.5560723404255352</c:v>
                </c:pt>
                <c:pt idx="59" formatCode="0.00000">
                  <c:v>6.6017148936170233</c:v>
                </c:pt>
                <c:pt idx="60" formatCode="0.00000">
                  <c:v>6.6473574468085115</c:v>
                </c:pt>
              </c:numCache>
            </c:numRef>
          </c:yVal>
          <c:smooth val="1"/>
          <c:extLst>
            <c:ext xmlns:c16="http://schemas.microsoft.com/office/drawing/2014/chart" uri="{C3380CC4-5D6E-409C-BE32-E72D297353CC}">
              <c16:uniqueId val="{00000001-CDE5-4F96-8967-830483F7F4F5}"/>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Rendimiento</a:t>
                </a:r>
                <a:r>
                  <a:rPr lang="en-US" baseline="0"/>
                  <a:t> [Ton/ha]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Palma africana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'CC70-Tendencial'!$C$8:$BK$8</c:f>
              <c:numCache>
                <c:formatCode>General</c:formatCode>
                <c:ptCount val="61"/>
                <c:pt idx="0">
                  <c:v>14.73093301361226</c:v>
                </c:pt>
                <c:pt idx="1">
                  <c:v>10.349596103646171</c:v>
                </c:pt>
                <c:pt idx="2">
                  <c:v>13.340103133277603</c:v>
                </c:pt>
                <c:pt idx="3">
                  <c:v>10.587242326340178</c:v>
                </c:pt>
                <c:pt idx="4">
                  <c:v>12.7513593200275</c:v>
                </c:pt>
                <c:pt idx="5">
                  <c:v>14.381813923531821</c:v>
                </c:pt>
                <c:pt idx="6">
                  <c:v>11.84081580054503</c:v>
                </c:pt>
                <c:pt idx="7">
                  <c:v>12.585838212469072</c:v>
                </c:pt>
                <c:pt idx="8">
                  <c:v>12.438520820496334</c:v>
                </c:pt>
                <c:pt idx="9">
                  <c:v>11.328309474983575</c:v>
                </c:pt>
                <c:pt idx="10">
                  <c:v>12.979917121648652</c:v>
                </c:pt>
                <c:pt idx="11">
                  <c:v>15.85832858013886</c:v>
                </c:pt>
                <c:pt idx="12">
                  <c:v>16.242640757806406</c:v>
                </c:pt>
                <c:pt idx="13">
                  <c:v>14.440600000000018</c:v>
                </c:pt>
                <c:pt idx="14">
                  <c:v>14.481214187500019</c:v>
                </c:pt>
                <c:pt idx="15">
                  <c:v>14.521942602402364</c:v>
                </c:pt>
                <c:pt idx="16">
                  <c:v>14.562785565971621</c:v>
                </c:pt>
                <c:pt idx="17">
                  <c:v>14.603743400375919</c:v>
                </c:pt>
                <c:pt idx="18">
                  <c:v>14.644816428689477</c:v>
                </c:pt>
                <c:pt idx="19">
                  <c:v>14.686004974895168</c:v>
                </c:pt>
                <c:pt idx="20">
                  <c:v>14.727309363887063</c:v>
                </c:pt>
                <c:pt idx="21">
                  <c:v>14.768729921472996</c:v>
                </c:pt>
                <c:pt idx="22">
                  <c:v>14.810266974377141</c:v>
                </c:pt>
                <c:pt idx="23">
                  <c:v>14.851920850242578</c:v>
                </c:pt>
                <c:pt idx="24">
                  <c:v>14.893691877633888</c:v>
                </c:pt>
                <c:pt idx="25">
                  <c:v>14.935580386039735</c:v>
                </c:pt>
                <c:pt idx="26">
                  <c:v>14.977586705875474</c:v>
                </c:pt>
                <c:pt idx="27">
                  <c:v>15.019711168485751</c:v>
                </c:pt>
                <c:pt idx="28">
                  <c:v>15.061954106147118</c:v>
                </c:pt>
                <c:pt idx="29">
                  <c:v>15.104315852070659</c:v>
                </c:pt>
                <c:pt idx="30">
                  <c:v>15.146796740404609</c:v>
                </c:pt>
                <c:pt idx="31">
                  <c:v>15.189397106236999</c:v>
                </c:pt>
                <c:pt idx="32">
                  <c:v>15.232117285598292</c:v>
                </c:pt>
                <c:pt idx="33">
                  <c:v>15.274957615464039</c:v>
                </c:pt>
                <c:pt idx="34">
                  <c:v>15.317918433757534</c:v>
                </c:pt>
                <c:pt idx="35">
                  <c:v>15.361000079352479</c:v>
                </c:pt>
                <c:pt idx="36">
                  <c:v>15.404202892075659</c:v>
                </c:pt>
                <c:pt idx="37">
                  <c:v>15.447527212709623</c:v>
                </c:pt>
                <c:pt idx="38">
                  <c:v>15.490973382995371</c:v>
                </c:pt>
                <c:pt idx="39">
                  <c:v>15.534541745635048</c:v>
                </c:pt>
                <c:pt idx="40">
                  <c:v>15.578232644294648</c:v>
                </c:pt>
                <c:pt idx="41">
                  <c:v>15.622046423606728</c:v>
                </c:pt>
                <c:pt idx="42">
                  <c:v>15.665983429173123</c:v>
                </c:pt>
                <c:pt idx="43">
                  <c:v>15.710044007567674</c:v>
                </c:pt>
                <c:pt idx="44">
                  <c:v>15.75422850633896</c:v>
                </c:pt>
                <c:pt idx="45">
                  <c:v>15.798537274013039</c:v>
                </c:pt>
                <c:pt idx="46">
                  <c:v>15.842970660096203</c:v>
                </c:pt>
                <c:pt idx="47">
                  <c:v>15.887529015077725</c:v>
                </c:pt>
                <c:pt idx="48">
                  <c:v>15.932212690432632</c:v>
                </c:pt>
                <c:pt idx="49">
                  <c:v>15.977022038624476</c:v>
                </c:pt>
                <c:pt idx="50">
                  <c:v>16.021957413108108</c:v>
                </c:pt>
                <c:pt idx="51">
                  <c:v>16.067019168332475</c:v>
                </c:pt>
                <c:pt idx="52">
                  <c:v>16.112207659743412</c:v>
                </c:pt>
                <c:pt idx="53">
                  <c:v>16.157523243786443</c:v>
                </c:pt>
                <c:pt idx="54">
                  <c:v>16.202966277909592</c:v>
                </c:pt>
                <c:pt idx="55">
                  <c:v>16.248537120566215</c:v>
                </c:pt>
                <c:pt idx="56">
                  <c:v>16.294236131217811</c:v>
                </c:pt>
                <c:pt idx="57">
                  <c:v>16.340063670336864</c:v>
                </c:pt>
                <c:pt idx="58">
                  <c:v>16.386020099409688</c:v>
                </c:pt>
                <c:pt idx="59">
                  <c:v>16.432105780939278</c:v>
                </c:pt>
                <c:pt idx="60">
                  <c:v>16.478321078448172</c:v>
                </c:pt>
              </c:numCache>
            </c:numRef>
          </c:yVal>
          <c:smooth val="1"/>
          <c:extLst>
            <c:ext xmlns:c16="http://schemas.microsoft.com/office/drawing/2014/chart" uri="{C3380CC4-5D6E-409C-BE32-E72D297353CC}">
              <c16:uniqueId val="{00000000-4E0E-45A0-A7DE-1FAA01422C41}"/>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'CC70-Tendencial'!$C$24:$BK$24</c:f>
              <c:numCache>
                <c:formatCode>General</c:formatCode>
                <c:ptCount val="61"/>
                <c:pt idx="0">
                  <c:v>14.73093301361226</c:v>
                </c:pt>
                <c:pt idx="1">
                  <c:v>10.349596103646171</c:v>
                </c:pt>
                <c:pt idx="2">
                  <c:v>13.340103133277603</c:v>
                </c:pt>
                <c:pt idx="3">
                  <c:v>10.587242326340178</c:v>
                </c:pt>
                <c:pt idx="4">
                  <c:v>12.7513593200275</c:v>
                </c:pt>
                <c:pt idx="5">
                  <c:v>14.381813923531821</c:v>
                </c:pt>
                <c:pt idx="6">
                  <c:v>11.84081580054503</c:v>
                </c:pt>
                <c:pt idx="7">
                  <c:v>12.585838212469072</c:v>
                </c:pt>
                <c:pt idx="8">
                  <c:v>12.438520820496334</c:v>
                </c:pt>
                <c:pt idx="9">
                  <c:v>11.328309474983575</c:v>
                </c:pt>
                <c:pt idx="10">
                  <c:v>12.979917121648652</c:v>
                </c:pt>
                <c:pt idx="11">
                  <c:v>15.85832858013886</c:v>
                </c:pt>
                <c:pt idx="12">
                  <c:v>16.242640757806406</c:v>
                </c:pt>
                <c:pt idx="13">
                  <c:v>14.440600000000018</c:v>
                </c:pt>
                <c:pt idx="14" formatCode="0.00000">
                  <c:v>14.440600000000018</c:v>
                </c:pt>
                <c:pt idx="15" formatCode="0.00000">
                  <c:v>14.5452680851064</c:v>
                </c:pt>
                <c:pt idx="16" formatCode="0.00000">
                  <c:v>14.649936170212783</c:v>
                </c:pt>
                <c:pt idx="17" formatCode="0.00000">
                  <c:v>14.754604255319165</c:v>
                </c:pt>
                <c:pt idx="18" formatCode="0.00000">
                  <c:v>14.859272340425548</c:v>
                </c:pt>
                <c:pt idx="19" formatCode="0.00000">
                  <c:v>14.963940425531931</c:v>
                </c:pt>
                <c:pt idx="20" formatCode="0.00000">
                  <c:v>15.068608510638313</c:v>
                </c:pt>
                <c:pt idx="21" formatCode="0.00000">
                  <c:v>15.173276595744696</c:v>
                </c:pt>
                <c:pt idx="22" formatCode="0.00000">
                  <c:v>15.277944680851078</c:v>
                </c:pt>
                <c:pt idx="23" formatCode="0.00000">
                  <c:v>15.382612765957461</c:v>
                </c:pt>
                <c:pt idx="24" formatCode="0.00000">
                  <c:v>15.487280851063844</c:v>
                </c:pt>
                <c:pt idx="25" formatCode="0.00000">
                  <c:v>15.591948936170226</c:v>
                </c:pt>
                <c:pt idx="26" formatCode="0.00000">
                  <c:v>15.696617021276609</c:v>
                </c:pt>
                <c:pt idx="27" formatCode="0.00000">
                  <c:v>15.801285106382991</c:v>
                </c:pt>
                <c:pt idx="28" formatCode="0.00000">
                  <c:v>15.905953191489374</c:v>
                </c:pt>
                <c:pt idx="29" formatCode="0.00000">
                  <c:v>16.010621276595757</c:v>
                </c:pt>
                <c:pt idx="30" formatCode="0.00000">
                  <c:v>16.115289361702139</c:v>
                </c:pt>
                <c:pt idx="31" formatCode="0.00000">
                  <c:v>16.219957446808522</c:v>
                </c:pt>
                <c:pt idx="32" formatCode="0.00000">
                  <c:v>16.324625531914904</c:v>
                </c:pt>
                <c:pt idx="33" formatCode="0.00000">
                  <c:v>16.429293617021287</c:v>
                </c:pt>
                <c:pt idx="34" formatCode="0.00000">
                  <c:v>16.533961702127669</c:v>
                </c:pt>
                <c:pt idx="35" formatCode="0.00000">
                  <c:v>16.638629787234052</c:v>
                </c:pt>
                <c:pt idx="36" formatCode="0.00000">
                  <c:v>16.743297872340435</c:v>
                </c:pt>
                <c:pt idx="37" formatCode="0.00000">
                  <c:v>16.847965957446817</c:v>
                </c:pt>
                <c:pt idx="38" formatCode="0.00000">
                  <c:v>16.9526340425532</c:v>
                </c:pt>
                <c:pt idx="39" formatCode="0.00000">
                  <c:v>17.057302127659582</c:v>
                </c:pt>
                <c:pt idx="40" formatCode="0.00000">
                  <c:v>17.161970212765965</c:v>
                </c:pt>
                <c:pt idx="41" formatCode="0.00000">
                  <c:v>17.266638297872348</c:v>
                </c:pt>
                <c:pt idx="42" formatCode="0.00000">
                  <c:v>17.37130638297873</c:v>
                </c:pt>
                <c:pt idx="43" formatCode="0.00000">
                  <c:v>17.475974468085113</c:v>
                </c:pt>
                <c:pt idx="44" formatCode="0.00000">
                  <c:v>17.580642553191495</c:v>
                </c:pt>
                <c:pt idx="45" formatCode="0.00000">
                  <c:v>17.685310638297878</c:v>
                </c:pt>
                <c:pt idx="46" formatCode="0.00000">
                  <c:v>17.789978723404261</c:v>
                </c:pt>
                <c:pt idx="47" formatCode="0.00000">
                  <c:v>17.894646808510643</c:v>
                </c:pt>
                <c:pt idx="48" formatCode="0.00000">
                  <c:v>17.999314893617026</c:v>
                </c:pt>
                <c:pt idx="49" formatCode="0.00000">
                  <c:v>18.103982978723408</c:v>
                </c:pt>
                <c:pt idx="50" formatCode="0.00000">
                  <c:v>18.208651063829791</c:v>
                </c:pt>
                <c:pt idx="51" formatCode="0.00000">
                  <c:v>18.313319148936174</c:v>
                </c:pt>
                <c:pt idx="52" formatCode="0.00000">
                  <c:v>18.417987234042556</c:v>
                </c:pt>
                <c:pt idx="53" formatCode="0.00000">
                  <c:v>18.522655319148939</c:v>
                </c:pt>
                <c:pt idx="54" formatCode="0.00000">
                  <c:v>18.627323404255321</c:v>
                </c:pt>
                <c:pt idx="55" formatCode="0.00000">
                  <c:v>18.731991489361704</c:v>
                </c:pt>
                <c:pt idx="56" formatCode="0.00000">
                  <c:v>18.836659574468086</c:v>
                </c:pt>
                <c:pt idx="57" formatCode="0.00000">
                  <c:v>18.941327659574469</c:v>
                </c:pt>
                <c:pt idx="58" formatCode="0.00000">
                  <c:v>19.045995744680852</c:v>
                </c:pt>
                <c:pt idx="59" formatCode="0.00000">
                  <c:v>19.150663829787234</c:v>
                </c:pt>
                <c:pt idx="60" formatCode="0.00000">
                  <c:v>19.255331914893617</c:v>
                </c:pt>
              </c:numCache>
            </c:numRef>
          </c:yVal>
          <c:smooth val="1"/>
          <c:extLst>
            <c:ext xmlns:c16="http://schemas.microsoft.com/office/drawing/2014/chart" uri="{C3380CC4-5D6E-409C-BE32-E72D297353CC}">
              <c16:uniqueId val="{00000001-4E0E-45A0-A7DE-1FAA01422C41}"/>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Rendimiento</a:t>
                </a:r>
                <a:r>
                  <a:rPr lang="en-US" baseline="0"/>
                  <a:t> [Ton/ha]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Soya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'CC70-Tendencial'!$G$2:$BK$2</c:f>
              <c:numCache>
                <c:formatCode>General</c:formatCode>
                <c:ptCount val="5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pt idx="37">
                  <c:v>2051</c:v>
                </c:pt>
                <c:pt idx="38">
                  <c:v>2052</c:v>
                </c:pt>
                <c:pt idx="39">
                  <c:v>2053</c:v>
                </c:pt>
                <c:pt idx="40">
                  <c:v>2054</c:v>
                </c:pt>
                <c:pt idx="41">
                  <c:v>2055</c:v>
                </c:pt>
                <c:pt idx="42">
                  <c:v>2056</c:v>
                </c:pt>
                <c:pt idx="43">
                  <c:v>2057</c:v>
                </c:pt>
                <c:pt idx="44">
                  <c:v>2058</c:v>
                </c:pt>
                <c:pt idx="45">
                  <c:v>2059</c:v>
                </c:pt>
                <c:pt idx="46">
                  <c:v>2060</c:v>
                </c:pt>
                <c:pt idx="47">
                  <c:v>2061</c:v>
                </c:pt>
                <c:pt idx="48">
                  <c:v>2062</c:v>
                </c:pt>
                <c:pt idx="49">
                  <c:v>2063</c:v>
                </c:pt>
                <c:pt idx="50">
                  <c:v>2064</c:v>
                </c:pt>
                <c:pt idx="51">
                  <c:v>2065</c:v>
                </c:pt>
                <c:pt idx="52">
                  <c:v>2066</c:v>
                </c:pt>
                <c:pt idx="53">
                  <c:v>2067</c:v>
                </c:pt>
                <c:pt idx="54">
                  <c:v>2068</c:v>
                </c:pt>
                <c:pt idx="55">
                  <c:v>2069</c:v>
                </c:pt>
                <c:pt idx="56">
                  <c:v>2070</c:v>
                </c:pt>
              </c:numCache>
            </c:numRef>
          </c:xVal>
          <c:yVal>
            <c:numRef>
              <c:f>'CC70-Tendencial'!$G$9:$BK$9</c:f>
              <c:numCache>
                <c:formatCode>General</c:formatCode>
                <c:ptCount val="57"/>
                <c:pt idx="0">
                  <c:v>1.2324546517328507</c:v>
                </c:pt>
                <c:pt idx="1">
                  <c:v>1.4536522473658471</c:v>
                </c:pt>
                <c:pt idx="2">
                  <c:v>1.5901065449010654</c:v>
                </c:pt>
                <c:pt idx="3">
                  <c:v>1.249277327718497</c:v>
                </c:pt>
                <c:pt idx="4">
                  <c:v>1.1024466153713151</c:v>
                </c:pt>
                <c:pt idx="5">
                  <c:v>1.4624352331606219</c:v>
                </c:pt>
                <c:pt idx="6">
                  <c:v>1.3839040747891473</c:v>
                </c:pt>
                <c:pt idx="7">
                  <c:v>1.0675280480672091</c:v>
                </c:pt>
                <c:pt idx="8">
                  <c:v>1.3319627503096654</c:v>
                </c:pt>
                <c:pt idx="9">
                  <c:v>1.2250000000000014</c:v>
                </c:pt>
                <c:pt idx="10">
                  <c:v>1.2237239583333346</c:v>
                </c:pt>
                <c:pt idx="11">
                  <c:v>1.2224492458767373</c:v>
                </c:pt>
                <c:pt idx="12">
                  <c:v>1.2211758612456156</c:v>
                </c:pt>
                <c:pt idx="13">
                  <c:v>1.2199038030568181</c:v>
                </c:pt>
                <c:pt idx="14">
                  <c:v>1.2186330699286338</c:v>
                </c:pt>
                <c:pt idx="15">
                  <c:v>1.2173636604807914</c:v>
                </c:pt>
                <c:pt idx="16">
                  <c:v>1.2160955733344572</c:v>
                </c:pt>
                <c:pt idx="17">
                  <c:v>1.2148288071122337</c:v>
                </c:pt>
                <c:pt idx="18">
                  <c:v>1.2135633604381584</c:v>
                </c:pt>
                <c:pt idx="19">
                  <c:v>1.2122992319377019</c:v>
                </c:pt>
                <c:pt idx="20">
                  <c:v>1.2110364202377668</c:v>
                </c:pt>
                <c:pt idx="21">
                  <c:v>1.2097749239666857</c:v>
                </c:pt>
                <c:pt idx="22">
                  <c:v>1.2085147417542204</c:v>
                </c:pt>
                <c:pt idx="23">
                  <c:v>1.2072558722315596</c:v>
                </c:pt>
                <c:pt idx="24">
                  <c:v>1.2059983140313184</c:v>
                </c:pt>
                <c:pt idx="25">
                  <c:v>1.2047420657875356</c:v>
                </c:pt>
                <c:pt idx="26">
                  <c:v>1.2034871261356734</c:v>
                </c:pt>
                <c:pt idx="27">
                  <c:v>1.2022334937126153</c:v>
                </c:pt>
                <c:pt idx="28">
                  <c:v>1.2009811671566646</c:v>
                </c:pt>
                <c:pt idx="29">
                  <c:v>1.1997301451075431</c:v>
                </c:pt>
                <c:pt idx="30">
                  <c:v>1.1984804262063893</c:v>
                </c:pt>
                <c:pt idx="31">
                  <c:v>1.1972320090957576</c:v>
                </c:pt>
                <c:pt idx="32">
                  <c:v>1.1959848924196161</c:v>
                </c:pt>
                <c:pt idx="33">
                  <c:v>1.1947390748233457</c:v>
                </c:pt>
                <c:pt idx="34">
                  <c:v>1.1934945549537381</c:v>
                </c:pt>
                <c:pt idx="35">
                  <c:v>1.1922513314589946</c:v>
                </c:pt>
                <c:pt idx="36">
                  <c:v>1.1910094029887248</c:v>
                </c:pt>
                <c:pt idx="37">
                  <c:v>1.1897687681939448</c:v>
                </c:pt>
                <c:pt idx="38">
                  <c:v>1.188529425727076</c:v>
                </c:pt>
                <c:pt idx="39">
                  <c:v>1.1872913742419435</c:v>
                </c:pt>
                <c:pt idx="40">
                  <c:v>1.1860546123937747</c:v>
                </c:pt>
                <c:pt idx="41">
                  <c:v>1.1848191388391978</c:v>
                </c:pt>
                <c:pt idx="42">
                  <c:v>1.1835849522362403</c:v>
                </c:pt>
                <c:pt idx="43">
                  <c:v>1.1823520512443275</c:v>
                </c:pt>
                <c:pt idx="44">
                  <c:v>1.1811204345242814</c:v>
                </c:pt>
                <c:pt idx="45">
                  <c:v>1.1798901007383185</c:v>
                </c:pt>
                <c:pt idx="46">
                  <c:v>1.1786610485500493</c:v>
                </c:pt>
                <c:pt idx="47">
                  <c:v>1.1774332766244762</c:v>
                </c:pt>
                <c:pt idx="48">
                  <c:v>1.1762067836279924</c:v>
                </c:pt>
                <c:pt idx="49">
                  <c:v>1.1749815682283797</c:v>
                </c:pt>
                <c:pt idx="50">
                  <c:v>1.1737576290948084</c:v>
                </c:pt>
                <c:pt idx="51">
                  <c:v>1.1725349648978345</c:v>
                </c:pt>
                <c:pt idx="52">
                  <c:v>1.1713135743093992</c:v>
                </c:pt>
                <c:pt idx="53">
                  <c:v>1.1700934560028269</c:v>
                </c:pt>
                <c:pt idx="54">
                  <c:v>1.1688746086528239</c:v>
                </c:pt>
                <c:pt idx="55">
                  <c:v>1.1676570309354772</c:v>
                </c:pt>
                <c:pt idx="56">
                  <c:v>1.1664407215282526</c:v>
                </c:pt>
              </c:numCache>
            </c:numRef>
          </c:yVal>
          <c:smooth val="1"/>
          <c:extLst>
            <c:ext xmlns:c16="http://schemas.microsoft.com/office/drawing/2014/chart" uri="{C3380CC4-5D6E-409C-BE32-E72D297353CC}">
              <c16:uniqueId val="{00000000-F138-4BB9-B4B5-937F61F6478F}"/>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'CC70-Tendencial'!$G$2:$BK$2</c:f>
              <c:numCache>
                <c:formatCode>General</c:formatCode>
                <c:ptCount val="5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pt idx="37">
                  <c:v>2051</c:v>
                </c:pt>
                <c:pt idx="38">
                  <c:v>2052</c:v>
                </c:pt>
                <c:pt idx="39">
                  <c:v>2053</c:v>
                </c:pt>
                <c:pt idx="40">
                  <c:v>2054</c:v>
                </c:pt>
                <c:pt idx="41">
                  <c:v>2055</c:v>
                </c:pt>
                <c:pt idx="42">
                  <c:v>2056</c:v>
                </c:pt>
                <c:pt idx="43">
                  <c:v>2057</c:v>
                </c:pt>
                <c:pt idx="44">
                  <c:v>2058</c:v>
                </c:pt>
                <c:pt idx="45">
                  <c:v>2059</c:v>
                </c:pt>
                <c:pt idx="46">
                  <c:v>2060</c:v>
                </c:pt>
                <c:pt idx="47">
                  <c:v>2061</c:v>
                </c:pt>
                <c:pt idx="48">
                  <c:v>2062</c:v>
                </c:pt>
                <c:pt idx="49">
                  <c:v>2063</c:v>
                </c:pt>
                <c:pt idx="50">
                  <c:v>2064</c:v>
                </c:pt>
                <c:pt idx="51">
                  <c:v>2065</c:v>
                </c:pt>
                <c:pt idx="52">
                  <c:v>2066</c:v>
                </c:pt>
                <c:pt idx="53">
                  <c:v>2067</c:v>
                </c:pt>
                <c:pt idx="54">
                  <c:v>2068</c:v>
                </c:pt>
                <c:pt idx="55">
                  <c:v>2069</c:v>
                </c:pt>
                <c:pt idx="56">
                  <c:v>2070</c:v>
                </c:pt>
              </c:numCache>
            </c:numRef>
          </c:xVal>
          <c:yVal>
            <c:numRef>
              <c:f>'CC70-Tendencial'!$G$25:$BK$25</c:f>
              <c:numCache>
                <c:formatCode>General</c:formatCode>
                <c:ptCount val="57"/>
                <c:pt idx="0">
                  <c:v>1.2324546517328507</c:v>
                </c:pt>
                <c:pt idx="1">
                  <c:v>1.4536522473658471</c:v>
                </c:pt>
                <c:pt idx="2">
                  <c:v>1.5901065449010654</c:v>
                </c:pt>
                <c:pt idx="3">
                  <c:v>1.249277327718497</c:v>
                </c:pt>
                <c:pt idx="4">
                  <c:v>1.1024466153713151</c:v>
                </c:pt>
                <c:pt idx="5">
                  <c:v>1.4624352331606219</c:v>
                </c:pt>
                <c:pt idx="6">
                  <c:v>1.3839040747891473</c:v>
                </c:pt>
                <c:pt idx="7">
                  <c:v>1.0675280480672091</c:v>
                </c:pt>
                <c:pt idx="8">
                  <c:v>1.3319627503096654</c:v>
                </c:pt>
                <c:pt idx="9">
                  <c:v>1.2250000000000014</c:v>
                </c:pt>
                <c:pt idx="10" formatCode="0.00000">
                  <c:v>1.2250000000000014</c:v>
                </c:pt>
                <c:pt idx="11" formatCode="0.00000">
                  <c:v>1.2266595744680866</c:v>
                </c:pt>
                <c:pt idx="12" formatCode="0.00000">
                  <c:v>1.2283191489361716</c:v>
                </c:pt>
                <c:pt idx="13" formatCode="0.00000">
                  <c:v>1.2299787234042567</c:v>
                </c:pt>
                <c:pt idx="14" formatCode="0.00000">
                  <c:v>1.2316382978723417</c:v>
                </c:pt>
                <c:pt idx="15" formatCode="0.00000">
                  <c:v>1.2332978723404269</c:v>
                </c:pt>
                <c:pt idx="16" formatCode="0.00000">
                  <c:v>1.2349574468085118</c:v>
                </c:pt>
                <c:pt idx="17" formatCode="0.00000">
                  <c:v>1.236617021276597</c:v>
                </c:pt>
                <c:pt idx="18" formatCode="0.00000">
                  <c:v>1.238276595744682</c:v>
                </c:pt>
                <c:pt idx="19" formatCode="0.00000">
                  <c:v>1.2399361702127671</c:v>
                </c:pt>
                <c:pt idx="20" formatCode="0.00000">
                  <c:v>1.2415957446808521</c:v>
                </c:pt>
                <c:pt idx="21" formatCode="0.00000">
                  <c:v>1.2432553191489373</c:v>
                </c:pt>
                <c:pt idx="22" formatCode="0.00000">
                  <c:v>1.2449148936170222</c:v>
                </c:pt>
                <c:pt idx="23" formatCode="0.00000">
                  <c:v>1.2465744680851074</c:v>
                </c:pt>
                <c:pt idx="24" formatCode="0.00000">
                  <c:v>1.2482340425531924</c:v>
                </c:pt>
                <c:pt idx="25" formatCode="0.00000">
                  <c:v>1.2498936170212775</c:v>
                </c:pt>
                <c:pt idx="26" formatCode="0.00000">
                  <c:v>1.2515531914893627</c:v>
                </c:pt>
                <c:pt idx="27" formatCode="0.00000">
                  <c:v>1.2532127659574477</c:v>
                </c:pt>
                <c:pt idx="28" formatCode="0.00000">
                  <c:v>1.2548723404255329</c:v>
                </c:pt>
                <c:pt idx="29" formatCode="0.00000">
                  <c:v>1.2565319148936178</c:v>
                </c:pt>
                <c:pt idx="30" formatCode="0.00000">
                  <c:v>1.258191489361703</c:v>
                </c:pt>
                <c:pt idx="31" formatCode="0.00000">
                  <c:v>1.259851063829788</c:v>
                </c:pt>
                <c:pt idx="32" formatCode="0.00000">
                  <c:v>1.2615106382978731</c:v>
                </c:pt>
                <c:pt idx="33" formatCode="0.00000">
                  <c:v>1.2631702127659581</c:v>
                </c:pt>
                <c:pt idx="34" formatCode="0.00000">
                  <c:v>1.2648297872340433</c:v>
                </c:pt>
                <c:pt idx="35" formatCode="0.00000">
                  <c:v>1.2664893617021282</c:v>
                </c:pt>
                <c:pt idx="36" formatCode="0.00000">
                  <c:v>1.2681489361702134</c:v>
                </c:pt>
                <c:pt idx="37" formatCode="0.00000">
                  <c:v>1.2698085106382984</c:v>
                </c:pt>
                <c:pt idx="38" formatCode="0.00000">
                  <c:v>1.2714680851063835</c:v>
                </c:pt>
                <c:pt idx="39" formatCode="0.00000">
                  <c:v>1.2731276595744685</c:v>
                </c:pt>
                <c:pt idx="40" formatCode="0.00000">
                  <c:v>1.2747872340425537</c:v>
                </c:pt>
                <c:pt idx="41" formatCode="0.00000">
                  <c:v>1.2764468085106389</c:v>
                </c:pt>
                <c:pt idx="42" formatCode="0.00000">
                  <c:v>1.2781063829787238</c:v>
                </c:pt>
                <c:pt idx="43" formatCode="0.00000">
                  <c:v>1.279765957446809</c:v>
                </c:pt>
                <c:pt idx="44" formatCode="0.00000">
                  <c:v>1.2814255319148939</c:v>
                </c:pt>
                <c:pt idx="45" formatCode="0.00000">
                  <c:v>1.2830851063829791</c:v>
                </c:pt>
                <c:pt idx="46" formatCode="0.00000">
                  <c:v>1.2847446808510641</c:v>
                </c:pt>
                <c:pt idx="47" formatCode="0.00000">
                  <c:v>1.2864042553191493</c:v>
                </c:pt>
                <c:pt idx="48" formatCode="0.00000">
                  <c:v>1.2880638297872342</c:v>
                </c:pt>
                <c:pt idx="49" formatCode="0.00000">
                  <c:v>1.2897234042553194</c:v>
                </c:pt>
                <c:pt idx="50" formatCode="0.00000">
                  <c:v>1.2913829787234044</c:v>
                </c:pt>
                <c:pt idx="51" formatCode="0.00000">
                  <c:v>1.2930425531914895</c:v>
                </c:pt>
                <c:pt idx="52" formatCode="0.00000">
                  <c:v>1.2947021276595745</c:v>
                </c:pt>
                <c:pt idx="53" formatCode="0.00000">
                  <c:v>1.2963617021276597</c:v>
                </c:pt>
                <c:pt idx="54" formatCode="0.00000">
                  <c:v>1.2980212765957446</c:v>
                </c:pt>
                <c:pt idx="55" formatCode="0.00000">
                  <c:v>1.2996808510638298</c:v>
                </c:pt>
                <c:pt idx="56" formatCode="0.00000">
                  <c:v>1.3013404255319148</c:v>
                </c:pt>
              </c:numCache>
            </c:numRef>
          </c:yVal>
          <c:smooth val="1"/>
          <c:extLst>
            <c:ext xmlns:c16="http://schemas.microsoft.com/office/drawing/2014/chart" uri="{C3380CC4-5D6E-409C-BE32-E72D297353CC}">
              <c16:uniqueId val="{00000001-F138-4BB9-B4B5-937F61F6478F}"/>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Rendimiento</a:t>
                </a:r>
                <a:r>
                  <a:rPr lang="en-US" baseline="0"/>
                  <a:t> [Ton/ha]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Palmito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'CC70-Tendencial'!$H$2:$BK$2</c:f>
              <c:numCache>
                <c:formatCode>General</c:formatCode>
                <c:ptCount val="5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pt idx="36">
                  <c:v>2051</c:v>
                </c:pt>
                <c:pt idx="37">
                  <c:v>2052</c:v>
                </c:pt>
                <c:pt idx="38">
                  <c:v>2053</c:v>
                </c:pt>
                <c:pt idx="39">
                  <c:v>2054</c:v>
                </c:pt>
                <c:pt idx="40">
                  <c:v>2055</c:v>
                </c:pt>
                <c:pt idx="41">
                  <c:v>2056</c:v>
                </c:pt>
                <c:pt idx="42">
                  <c:v>2057</c:v>
                </c:pt>
                <c:pt idx="43">
                  <c:v>2058</c:v>
                </c:pt>
                <c:pt idx="44">
                  <c:v>2059</c:v>
                </c:pt>
                <c:pt idx="45">
                  <c:v>2060</c:v>
                </c:pt>
                <c:pt idx="46">
                  <c:v>2061</c:v>
                </c:pt>
                <c:pt idx="47">
                  <c:v>2062</c:v>
                </c:pt>
                <c:pt idx="48">
                  <c:v>2063</c:v>
                </c:pt>
                <c:pt idx="49">
                  <c:v>2064</c:v>
                </c:pt>
                <c:pt idx="50">
                  <c:v>2065</c:v>
                </c:pt>
                <c:pt idx="51">
                  <c:v>2066</c:v>
                </c:pt>
                <c:pt idx="52">
                  <c:v>2067</c:v>
                </c:pt>
                <c:pt idx="53">
                  <c:v>2068</c:v>
                </c:pt>
                <c:pt idx="54">
                  <c:v>2069</c:v>
                </c:pt>
                <c:pt idx="55">
                  <c:v>2070</c:v>
                </c:pt>
              </c:numCache>
            </c:numRef>
          </c:xVal>
          <c:yVal>
            <c:numRef>
              <c:f>'CC70-Tendencial'!$H$10:$BK$10</c:f>
              <c:numCache>
                <c:formatCode>General</c:formatCode>
                <c:ptCount val="56"/>
                <c:pt idx="0">
                  <c:v>6.047940658034979</c:v>
                </c:pt>
                <c:pt idx="1">
                  <c:v>6.093985677686832</c:v>
                </c:pt>
                <c:pt idx="2">
                  <c:v>8.9120786323933672</c:v>
                </c:pt>
                <c:pt idx="3">
                  <c:v>7.2669508271541199</c:v>
                </c:pt>
                <c:pt idx="4">
                  <c:v>6.6780970695565829</c:v>
                </c:pt>
                <c:pt idx="5">
                  <c:v>6.8088875134981564</c:v>
                </c:pt>
                <c:pt idx="6">
                  <c:v>6.5500556145042585</c:v>
                </c:pt>
                <c:pt idx="7">
                  <c:v>6.0555524976594723</c:v>
                </c:pt>
                <c:pt idx="8">
                  <c:v>6.6410999999999945</c:v>
                </c:pt>
                <c:pt idx="9">
                  <c:v>6.6341821874999942</c:v>
                </c:pt>
                <c:pt idx="10">
                  <c:v>6.6272715810546812</c:v>
                </c:pt>
                <c:pt idx="11">
                  <c:v>6.6203681731577486</c:v>
                </c:pt>
                <c:pt idx="12">
                  <c:v>6.6134719563107094</c:v>
                </c:pt>
                <c:pt idx="13">
                  <c:v>6.6065829230228852</c:v>
                </c:pt>
                <c:pt idx="14">
                  <c:v>6.599701065811403</c:v>
                </c:pt>
                <c:pt idx="15">
                  <c:v>6.5928263772011828</c:v>
                </c:pt>
                <c:pt idx="16">
                  <c:v>6.5859588497249311</c:v>
                </c:pt>
                <c:pt idx="17">
                  <c:v>6.5790984759231339</c:v>
                </c:pt>
                <c:pt idx="18">
                  <c:v>6.5722452483440472</c:v>
                </c:pt>
                <c:pt idx="19">
                  <c:v>6.5653991595436887</c:v>
                </c:pt>
                <c:pt idx="20">
                  <c:v>6.5585602020858307</c:v>
                </c:pt>
                <c:pt idx="21">
                  <c:v>6.5517283685419914</c:v>
                </c:pt>
                <c:pt idx="22">
                  <c:v>6.5449036514914267</c:v>
                </c:pt>
                <c:pt idx="23">
                  <c:v>6.5380860435211225</c:v>
                </c:pt>
                <c:pt idx="24">
                  <c:v>6.5312755372257874</c:v>
                </c:pt>
                <c:pt idx="25">
                  <c:v>6.5244721252078435</c:v>
                </c:pt>
                <c:pt idx="26">
                  <c:v>6.5176758000774182</c:v>
                </c:pt>
                <c:pt idx="27">
                  <c:v>6.5108865544523375</c:v>
                </c:pt>
                <c:pt idx="28">
                  <c:v>6.5041043809581156</c:v>
                </c:pt>
                <c:pt idx="29">
                  <c:v>6.497329272227951</c:v>
                </c:pt>
                <c:pt idx="30">
                  <c:v>6.4905612209027135</c:v>
                </c:pt>
                <c:pt idx="31">
                  <c:v>6.4838002196309397</c:v>
                </c:pt>
                <c:pt idx="32">
                  <c:v>6.477046261068824</c:v>
                </c:pt>
                <c:pt idx="33">
                  <c:v>6.4702993378802107</c:v>
                </c:pt>
                <c:pt idx="34">
                  <c:v>6.4635594427365852</c:v>
                </c:pt>
                <c:pt idx="35">
                  <c:v>6.4568265683170676</c:v>
                </c:pt>
                <c:pt idx="36">
                  <c:v>6.4501007073084038</c:v>
                </c:pt>
                <c:pt idx="37">
                  <c:v>6.4433818524049569</c:v>
                </c:pt>
                <c:pt idx="38">
                  <c:v>6.4366699963087015</c:v>
                </c:pt>
                <c:pt idx="39">
                  <c:v>6.4299651317292126</c:v>
                </c:pt>
                <c:pt idx="40">
                  <c:v>6.4232672513836606</c:v>
                </c:pt>
                <c:pt idx="41">
                  <c:v>6.4165763479968021</c:v>
                </c:pt>
                <c:pt idx="42">
                  <c:v>6.4098924143009715</c:v>
                </c:pt>
                <c:pt idx="43">
                  <c:v>6.4032154430360739</c:v>
                </c:pt>
                <c:pt idx="44">
                  <c:v>6.3965454269495776</c:v>
                </c:pt>
                <c:pt idx="45">
                  <c:v>6.3898823587965046</c:v>
                </c:pt>
                <c:pt idx="46">
                  <c:v>6.3832262313394246</c:v>
                </c:pt>
                <c:pt idx="47">
                  <c:v>6.3765770373484454</c:v>
                </c:pt>
                <c:pt idx="48">
                  <c:v>6.3699347696012074</c:v>
                </c:pt>
                <c:pt idx="49">
                  <c:v>6.3632994208828721</c:v>
                </c:pt>
                <c:pt idx="50">
                  <c:v>6.3566709839861186</c:v>
                </c:pt>
                <c:pt idx="51">
                  <c:v>6.3500494517111328</c:v>
                </c:pt>
                <c:pt idx="52">
                  <c:v>6.3434348168656003</c:v>
                </c:pt>
                <c:pt idx="53">
                  <c:v>6.3368270722646987</c:v>
                </c:pt>
                <c:pt idx="54">
                  <c:v>6.3302262107310892</c:v>
                </c:pt>
                <c:pt idx="55">
                  <c:v>6.3236322250949106</c:v>
                </c:pt>
              </c:numCache>
            </c:numRef>
          </c:yVal>
          <c:smooth val="1"/>
          <c:extLst>
            <c:ext xmlns:c16="http://schemas.microsoft.com/office/drawing/2014/chart" uri="{C3380CC4-5D6E-409C-BE32-E72D297353CC}">
              <c16:uniqueId val="{00000000-4DEB-46F8-91D7-E182740DC43C}"/>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'CC70-Tendencial'!$H$2:$BK$2</c:f>
              <c:numCache>
                <c:formatCode>General</c:formatCode>
                <c:ptCount val="5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pt idx="36">
                  <c:v>2051</c:v>
                </c:pt>
                <c:pt idx="37">
                  <c:v>2052</c:v>
                </c:pt>
                <c:pt idx="38">
                  <c:v>2053</c:v>
                </c:pt>
                <c:pt idx="39">
                  <c:v>2054</c:v>
                </c:pt>
                <c:pt idx="40">
                  <c:v>2055</c:v>
                </c:pt>
                <c:pt idx="41">
                  <c:v>2056</c:v>
                </c:pt>
                <c:pt idx="42">
                  <c:v>2057</c:v>
                </c:pt>
                <c:pt idx="43">
                  <c:v>2058</c:v>
                </c:pt>
                <c:pt idx="44">
                  <c:v>2059</c:v>
                </c:pt>
                <c:pt idx="45">
                  <c:v>2060</c:v>
                </c:pt>
                <c:pt idx="46">
                  <c:v>2061</c:v>
                </c:pt>
                <c:pt idx="47">
                  <c:v>2062</c:v>
                </c:pt>
                <c:pt idx="48">
                  <c:v>2063</c:v>
                </c:pt>
                <c:pt idx="49">
                  <c:v>2064</c:v>
                </c:pt>
                <c:pt idx="50">
                  <c:v>2065</c:v>
                </c:pt>
                <c:pt idx="51">
                  <c:v>2066</c:v>
                </c:pt>
                <c:pt idx="52">
                  <c:v>2067</c:v>
                </c:pt>
                <c:pt idx="53">
                  <c:v>2068</c:v>
                </c:pt>
                <c:pt idx="54">
                  <c:v>2069</c:v>
                </c:pt>
                <c:pt idx="55">
                  <c:v>2070</c:v>
                </c:pt>
              </c:numCache>
            </c:numRef>
          </c:xVal>
          <c:yVal>
            <c:numRef>
              <c:f>'CC70-Tendencial'!$H$26:$BK$26</c:f>
              <c:numCache>
                <c:formatCode>General</c:formatCode>
                <c:ptCount val="56"/>
                <c:pt idx="0">
                  <c:v>6.047940658034979</c:v>
                </c:pt>
                <c:pt idx="1">
                  <c:v>6.093985677686832</c:v>
                </c:pt>
                <c:pt idx="2">
                  <c:v>8.9120786323933672</c:v>
                </c:pt>
                <c:pt idx="3">
                  <c:v>7.2669508271541199</c:v>
                </c:pt>
                <c:pt idx="4">
                  <c:v>6.6780970695565829</c:v>
                </c:pt>
                <c:pt idx="5">
                  <c:v>6.8088875134981564</c:v>
                </c:pt>
                <c:pt idx="6">
                  <c:v>6.5500556145042585</c:v>
                </c:pt>
                <c:pt idx="7">
                  <c:v>6.0555524976594723</c:v>
                </c:pt>
                <c:pt idx="8">
                  <c:v>6.6410999999999945</c:v>
                </c:pt>
                <c:pt idx="9" formatCode="0.00000">
                  <c:v>6.6410999999999945</c:v>
                </c:pt>
                <c:pt idx="10" formatCode="0.00000">
                  <c:v>6.6341821874999942</c:v>
                </c:pt>
                <c:pt idx="11" formatCode="0.00000">
                  <c:v>6.6272715810546812</c:v>
                </c:pt>
                <c:pt idx="12" formatCode="0.00000">
                  <c:v>6.6203681731577486</c:v>
                </c:pt>
                <c:pt idx="13" formatCode="0.00000">
                  <c:v>6.6134719563107094</c:v>
                </c:pt>
                <c:pt idx="14" formatCode="0.00000">
                  <c:v>6.6065829230228852</c:v>
                </c:pt>
                <c:pt idx="15" formatCode="0.00000">
                  <c:v>6.599701065811403</c:v>
                </c:pt>
                <c:pt idx="16" formatCode="0.00000">
                  <c:v>6.5928263772011828</c:v>
                </c:pt>
                <c:pt idx="17" formatCode="0.00000">
                  <c:v>6.5859588497249311</c:v>
                </c:pt>
                <c:pt idx="18" formatCode="0.00000">
                  <c:v>6.5790984759231339</c:v>
                </c:pt>
                <c:pt idx="19" formatCode="0.00000">
                  <c:v>6.5722452483440472</c:v>
                </c:pt>
                <c:pt idx="20" formatCode="0.00000">
                  <c:v>6.5653991595436887</c:v>
                </c:pt>
                <c:pt idx="21" formatCode="0.00000">
                  <c:v>6.5585602020858307</c:v>
                </c:pt>
                <c:pt idx="22" formatCode="0.00000">
                  <c:v>6.5517283685419914</c:v>
                </c:pt>
                <c:pt idx="23" formatCode="0.00000">
                  <c:v>6.5449036514914267</c:v>
                </c:pt>
                <c:pt idx="24" formatCode="0.00000">
                  <c:v>6.5380860435211225</c:v>
                </c:pt>
                <c:pt idx="25" formatCode="0.00000">
                  <c:v>6.5312755372257874</c:v>
                </c:pt>
                <c:pt idx="26" formatCode="0.00000">
                  <c:v>6.5244721252078435</c:v>
                </c:pt>
                <c:pt idx="27" formatCode="0.00000">
                  <c:v>6.5176758000774182</c:v>
                </c:pt>
                <c:pt idx="28" formatCode="0.00000">
                  <c:v>6.5108865544523375</c:v>
                </c:pt>
                <c:pt idx="29" formatCode="0.00000">
                  <c:v>6.5041043809581156</c:v>
                </c:pt>
                <c:pt idx="30" formatCode="0.00000">
                  <c:v>6.497329272227951</c:v>
                </c:pt>
                <c:pt idx="31" formatCode="0.00000">
                  <c:v>6.4905612209027135</c:v>
                </c:pt>
                <c:pt idx="32" formatCode="0.00000">
                  <c:v>6.4838002196309397</c:v>
                </c:pt>
                <c:pt idx="33" formatCode="0.00000">
                  <c:v>6.477046261068824</c:v>
                </c:pt>
                <c:pt idx="34" formatCode="0.00000">
                  <c:v>6.4702993378802107</c:v>
                </c:pt>
                <c:pt idx="35" formatCode="0.00000">
                  <c:v>6.4635594427365852</c:v>
                </c:pt>
                <c:pt idx="36" formatCode="0.00000">
                  <c:v>6.4568265683170676</c:v>
                </c:pt>
                <c:pt idx="37" formatCode="0.00000">
                  <c:v>6.4501007073084038</c:v>
                </c:pt>
                <c:pt idx="38" formatCode="0.00000">
                  <c:v>6.4433818524049569</c:v>
                </c:pt>
                <c:pt idx="39" formatCode="0.00000">
                  <c:v>6.4366699963087015</c:v>
                </c:pt>
                <c:pt idx="40" formatCode="0.00000">
                  <c:v>6.4299651317292126</c:v>
                </c:pt>
                <c:pt idx="41" formatCode="0.00000">
                  <c:v>6.4232672513836606</c:v>
                </c:pt>
                <c:pt idx="42" formatCode="0.00000">
                  <c:v>6.4165763479968021</c:v>
                </c:pt>
                <c:pt idx="43" formatCode="0.00000">
                  <c:v>6.4098924143009715</c:v>
                </c:pt>
                <c:pt idx="44" formatCode="0.00000">
                  <c:v>6.4032154430360739</c:v>
                </c:pt>
                <c:pt idx="45" formatCode="0.00000">
                  <c:v>6.3965454269495776</c:v>
                </c:pt>
                <c:pt idx="46" formatCode="0.00000">
                  <c:v>6.3898823587965046</c:v>
                </c:pt>
                <c:pt idx="47" formatCode="0.00000">
                  <c:v>6.3832262313394246</c:v>
                </c:pt>
                <c:pt idx="48" formatCode="0.00000">
                  <c:v>6.3765770373484454</c:v>
                </c:pt>
                <c:pt idx="49" formatCode="0.00000">
                  <c:v>6.3699347696012074</c:v>
                </c:pt>
                <c:pt idx="50" formatCode="0.00000">
                  <c:v>6.3632994208828721</c:v>
                </c:pt>
                <c:pt idx="51" formatCode="0.00000">
                  <c:v>6.3566709839861186</c:v>
                </c:pt>
                <c:pt idx="52" formatCode="0.00000">
                  <c:v>6.3500494517111328</c:v>
                </c:pt>
                <c:pt idx="53" formatCode="0.00000">
                  <c:v>6.3434348168656003</c:v>
                </c:pt>
                <c:pt idx="54" formatCode="0.00000">
                  <c:v>6.3368270722646987</c:v>
                </c:pt>
                <c:pt idx="55" formatCode="0.00000">
                  <c:v>6.3302262107310892</c:v>
                </c:pt>
              </c:numCache>
            </c:numRef>
          </c:yVal>
          <c:smooth val="1"/>
          <c:extLst>
            <c:ext xmlns:c16="http://schemas.microsoft.com/office/drawing/2014/chart" uri="{C3380CC4-5D6E-409C-BE32-E72D297353CC}">
              <c16:uniqueId val="{00000001-4DEB-46F8-91D7-E182740DC43C}"/>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Rendimiento</a:t>
                </a:r>
                <a:r>
                  <a:rPr lang="en-US" baseline="0"/>
                  <a:t> [Ton/ha]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Legumbres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'CC70-Tendencial'!$C$11:$BK$11</c:f>
              <c:numCache>
                <c:formatCode>General</c:formatCode>
                <c:ptCount val="61"/>
                <c:pt idx="0">
                  <c:v>0.56324422784393136</c:v>
                </c:pt>
                <c:pt idx="1">
                  <c:v>0.47573853669445859</c:v>
                </c:pt>
                <c:pt idx="2">
                  <c:v>0.44091837615444374</c:v>
                </c:pt>
                <c:pt idx="3">
                  <c:v>0.47152204764954853</c:v>
                </c:pt>
                <c:pt idx="4">
                  <c:v>1.0091035634743875</c:v>
                </c:pt>
                <c:pt idx="5">
                  <c:v>0.92935231023102294</c:v>
                </c:pt>
                <c:pt idx="6">
                  <c:v>1.2240164464413019</c:v>
                </c:pt>
                <c:pt idx="7">
                  <c:v>0.89776575095986288</c:v>
                </c:pt>
                <c:pt idx="8">
                  <c:v>1.5238912143461654</c:v>
                </c:pt>
                <c:pt idx="9">
                  <c:v>1.3219387271175187</c:v>
                </c:pt>
                <c:pt idx="10">
                  <c:v>1.7401309130170726</c:v>
                </c:pt>
                <c:pt idx="11">
                  <c:v>1.4155396702730552</c:v>
                </c:pt>
                <c:pt idx="12">
                  <c:v>1.5271258192396591</c:v>
                </c:pt>
                <c:pt idx="13">
                  <c:v>1.8811000000000035</c:v>
                </c:pt>
                <c:pt idx="14">
                  <c:v>1.8830594791666702</c:v>
                </c:pt>
                <c:pt idx="15">
                  <c:v>1.8850209994574687</c:v>
                </c:pt>
                <c:pt idx="16">
                  <c:v>1.8869845629985702</c:v>
                </c:pt>
                <c:pt idx="17">
                  <c:v>1.8889501719183603</c:v>
                </c:pt>
                <c:pt idx="18">
                  <c:v>1.8909178283474419</c:v>
                </c:pt>
                <c:pt idx="19">
                  <c:v>1.8928875344186371</c:v>
                </c:pt>
                <c:pt idx="20">
                  <c:v>1.8948592922669898</c:v>
                </c:pt>
                <c:pt idx="21">
                  <c:v>1.8968331040297679</c:v>
                </c:pt>
                <c:pt idx="22">
                  <c:v>1.8988089718464654</c:v>
                </c:pt>
                <c:pt idx="23">
                  <c:v>1.9007868978588054</c:v>
                </c:pt>
                <c:pt idx="24">
                  <c:v>1.9027668842107415</c:v>
                </c:pt>
                <c:pt idx="25">
                  <c:v>1.9047489330484608</c:v>
                </c:pt>
                <c:pt idx="26">
                  <c:v>1.9067330465203862</c:v>
                </c:pt>
                <c:pt idx="27">
                  <c:v>1.9087192267771782</c:v>
                </c:pt>
                <c:pt idx="28">
                  <c:v>1.9107074759717377</c:v>
                </c:pt>
                <c:pt idx="29">
                  <c:v>1.9126977962592082</c:v>
                </c:pt>
                <c:pt idx="30">
                  <c:v>1.9146901897969781</c:v>
                </c:pt>
                <c:pt idx="31">
                  <c:v>1.9166846587446833</c:v>
                </c:pt>
                <c:pt idx="32">
                  <c:v>1.9186812052642088</c:v>
                </c:pt>
                <c:pt idx="33">
                  <c:v>1.9206798315196922</c:v>
                </c:pt>
                <c:pt idx="34">
                  <c:v>1.9226805396775251</c:v>
                </c:pt>
                <c:pt idx="35">
                  <c:v>1.9246833319063557</c:v>
                </c:pt>
                <c:pt idx="36">
                  <c:v>1.9266882103770913</c:v>
                </c:pt>
                <c:pt idx="37">
                  <c:v>1.9286951772629006</c:v>
                </c:pt>
                <c:pt idx="38">
                  <c:v>1.930704234739216</c:v>
                </c:pt>
                <c:pt idx="39">
                  <c:v>1.932715384983736</c:v>
                </c:pt>
                <c:pt idx="40">
                  <c:v>1.9347286301764273</c:v>
                </c:pt>
                <c:pt idx="41">
                  <c:v>1.9367439724995277</c:v>
                </c:pt>
                <c:pt idx="42">
                  <c:v>1.938761414137548</c:v>
                </c:pt>
                <c:pt idx="43">
                  <c:v>1.9407809572772745</c:v>
                </c:pt>
                <c:pt idx="44">
                  <c:v>1.9428026041077715</c:v>
                </c:pt>
                <c:pt idx="45">
                  <c:v>1.9448263568203836</c:v>
                </c:pt>
                <c:pt idx="46">
                  <c:v>1.9468522176087382</c:v>
                </c:pt>
                <c:pt idx="47">
                  <c:v>1.9488801886687472</c:v>
                </c:pt>
                <c:pt idx="48">
                  <c:v>1.9509102721986105</c:v>
                </c:pt>
                <c:pt idx="49">
                  <c:v>1.9529424703988172</c:v>
                </c:pt>
                <c:pt idx="50">
                  <c:v>1.9549767854721491</c:v>
                </c:pt>
                <c:pt idx="51">
                  <c:v>1.9570132196236825</c:v>
                </c:pt>
                <c:pt idx="52">
                  <c:v>1.9590517750607903</c:v>
                </c:pt>
                <c:pt idx="53">
                  <c:v>1.9610924539931451</c:v>
                </c:pt>
                <c:pt idx="54">
                  <c:v>1.9631352586327213</c:v>
                </c:pt>
                <c:pt idx="55">
                  <c:v>1.9651801911937969</c:v>
                </c:pt>
                <c:pt idx="56">
                  <c:v>1.9672272538929569</c:v>
                </c:pt>
                <c:pt idx="57">
                  <c:v>1.9692764489490953</c:v>
                </c:pt>
                <c:pt idx="58">
                  <c:v>1.9713277785834171</c:v>
                </c:pt>
                <c:pt idx="59">
                  <c:v>1.9733812450194415</c:v>
                </c:pt>
                <c:pt idx="60">
                  <c:v>1.9754368504830033</c:v>
                </c:pt>
              </c:numCache>
            </c:numRef>
          </c:yVal>
          <c:smooth val="1"/>
          <c:extLst>
            <c:ext xmlns:c16="http://schemas.microsoft.com/office/drawing/2014/chart" uri="{C3380CC4-5D6E-409C-BE32-E72D297353CC}">
              <c16:uniqueId val="{00000000-22C8-42D3-82C3-A0BE9927C694}"/>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'CC70-Tendencial'!$C$27:$BK$27</c:f>
              <c:numCache>
                <c:formatCode>General</c:formatCode>
                <c:ptCount val="61"/>
                <c:pt idx="0">
                  <c:v>0.56324422784393136</c:v>
                </c:pt>
                <c:pt idx="1">
                  <c:v>0.47573853669445859</c:v>
                </c:pt>
                <c:pt idx="2">
                  <c:v>0.44091837615444374</c:v>
                </c:pt>
                <c:pt idx="3">
                  <c:v>0.47152204764954853</c:v>
                </c:pt>
                <c:pt idx="4">
                  <c:v>1.0091035634743875</c:v>
                </c:pt>
                <c:pt idx="5">
                  <c:v>0.92935231023102294</c:v>
                </c:pt>
                <c:pt idx="6">
                  <c:v>1.2240164464413019</c:v>
                </c:pt>
                <c:pt idx="7">
                  <c:v>0.89776575095986288</c:v>
                </c:pt>
                <c:pt idx="8">
                  <c:v>1.5238912143461654</c:v>
                </c:pt>
                <c:pt idx="9">
                  <c:v>1.3219387271175187</c:v>
                </c:pt>
                <c:pt idx="10">
                  <c:v>1.7401309130170726</c:v>
                </c:pt>
                <c:pt idx="11">
                  <c:v>1.4155396702730552</c:v>
                </c:pt>
                <c:pt idx="12">
                  <c:v>1.5271258192396591</c:v>
                </c:pt>
                <c:pt idx="13">
                  <c:v>1.8811000000000035</c:v>
                </c:pt>
                <c:pt idx="14" formatCode="0.00000">
                  <c:v>1.8811000000000035</c:v>
                </c:pt>
                <c:pt idx="15" formatCode="0.00000">
                  <c:v>1.8852086955959004</c:v>
                </c:pt>
                <c:pt idx="16" formatCode="0.00000">
                  <c:v>1.8893173911917971</c:v>
                </c:pt>
                <c:pt idx="17" formatCode="0.00000">
                  <c:v>1.893426086787694</c:v>
                </c:pt>
                <c:pt idx="18" formatCode="0.00000">
                  <c:v>1.8975347823835909</c:v>
                </c:pt>
                <c:pt idx="19" formatCode="0.00000">
                  <c:v>1.9016434779794875</c:v>
                </c:pt>
                <c:pt idx="20" formatCode="0.00000">
                  <c:v>1.9057521735753844</c:v>
                </c:pt>
                <c:pt idx="21" formatCode="0.00000">
                  <c:v>1.9098608691712813</c:v>
                </c:pt>
                <c:pt idx="22" formatCode="0.00000">
                  <c:v>1.9139695647671779</c:v>
                </c:pt>
                <c:pt idx="23" formatCode="0.00000">
                  <c:v>1.9180782603630748</c:v>
                </c:pt>
                <c:pt idx="24" formatCode="0.00000">
                  <c:v>1.9221869559589717</c:v>
                </c:pt>
                <c:pt idx="25" formatCode="0.00000">
                  <c:v>1.9262956515548684</c:v>
                </c:pt>
                <c:pt idx="26" formatCode="0.00000">
                  <c:v>1.9304043471507653</c:v>
                </c:pt>
                <c:pt idx="27" formatCode="0.00000">
                  <c:v>1.9345130427466621</c:v>
                </c:pt>
                <c:pt idx="28" formatCode="0.00000">
                  <c:v>1.9386217383425588</c:v>
                </c:pt>
                <c:pt idx="29" formatCode="0.00000">
                  <c:v>1.9427304339384557</c:v>
                </c:pt>
                <c:pt idx="30" formatCode="0.00000">
                  <c:v>1.9468391295343526</c:v>
                </c:pt>
                <c:pt idx="31" formatCode="0.00000">
                  <c:v>1.9509478251302492</c:v>
                </c:pt>
                <c:pt idx="32" formatCode="0.00000">
                  <c:v>1.9550565207261461</c:v>
                </c:pt>
                <c:pt idx="33" formatCode="0.00000">
                  <c:v>1.959165216322043</c:v>
                </c:pt>
                <c:pt idx="34" formatCode="0.00000">
                  <c:v>1.9632739119179397</c:v>
                </c:pt>
                <c:pt idx="35" formatCode="0.00000">
                  <c:v>1.9673826075138365</c:v>
                </c:pt>
                <c:pt idx="36" formatCode="0.00000">
                  <c:v>1.9714913031097332</c:v>
                </c:pt>
                <c:pt idx="37" formatCode="0.00000">
                  <c:v>1.9755999987056301</c:v>
                </c:pt>
                <c:pt idx="38" formatCode="0.00000">
                  <c:v>1.979708694301527</c:v>
                </c:pt>
                <c:pt idx="39" formatCode="0.00000">
                  <c:v>1.9838173898974238</c:v>
                </c:pt>
                <c:pt idx="40" formatCode="0.00000">
                  <c:v>1.9879260854933205</c:v>
                </c:pt>
                <c:pt idx="41" formatCode="0.00000">
                  <c:v>1.9920347810892174</c:v>
                </c:pt>
                <c:pt idx="42" formatCode="0.00000">
                  <c:v>1.996143476685114</c:v>
                </c:pt>
                <c:pt idx="43" formatCode="0.00000">
                  <c:v>2.0002521722810109</c:v>
                </c:pt>
                <c:pt idx="44" formatCode="0.00000">
                  <c:v>2.0043608678769078</c:v>
                </c:pt>
                <c:pt idx="45" formatCode="0.00000">
                  <c:v>2.0084695634728047</c:v>
                </c:pt>
                <c:pt idx="46" formatCode="0.00000">
                  <c:v>2.0125782590687016</c:v>
                </c:pt>
                <c:pt idx="47" formatCode="0.00000">
                  <c:v>2.016686954664598</c:v>
                </c:pt>
                <c:pt idx="48" formatCode="0.00000">
                  <c:v>2.0207956502604949</c:v>
                </c:pt>
                <c:pt idx="49" formatCode="0.00000">
                  <c:v>2.0249043458563918</c:v>
                </c:pt>
                <c:pt idx="50" formatCode="0.00000">
                  <c:v>2.0290130414522887</c:v>
                </c:pt>
                <c:pt idx="51" formatCode="0.00000">
                  <c:v>2.0331217370481856</c:v>
                </c:pt>
                <c:pt idx="52" formatCode="0.00000">
                  <c:v>2.0372304326440824</c:v>
                </c:pt>
                <c:pt idx="53" formatCode="0.00000">
                  <c:v>2.0413391282399789</c:v>
                </c:pt>
                <c:pt idx="54" formatCode="0.00000">
                  <c:v>2.0454478238358758</c:v>
                </c:pt>
                <c:pt idx="55" formatCode="0.00000">
                  <c:v>2.0495565194317726</c:v>
                </c:pt>
                <c:pt idx="56" formatCode="0.00000">
                  <c:v>2.0536652150276695</c:v>
                </c:pt>
                <c:pt idx="57" formatCode="0.00000">
                  <c:v>2.0577739106235664</c:v>
                </c:pt>
                <c:pt idx="58" formatCode="0.00000">
                  <c:v>2.0618826062194628</c:v>
                </c:pt>
                <c:pt idx="59" formatCode="0.00000">
                  <c:v>2.0659913018153597</c:v>
                </c:pt>
                <c:pt idx="60" formatCode="0.00000">
                  <c:v>2.0700999974112566</c:v>
                </c:pt>
              </c:numCache>
            </c:numRef>
          </c:yVal>
          <c:smooth val="1"/>
          <c:extLst>
            <c:ext xmlns:c16="http://schemas.microsoft.com/office/drawing/2014/chart" uri="{C3380CC4-5D6E-409C-BE32-E72D297353CC}">
              <c16:uniqueId val="{00000001-22C8-42D3-82C3-A0BE9927C694}"/>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Rendimiento</a:t>
                </a:r>
                <a:r>
                  <a:rPr lang="en-US" baseline="0"/>
                  <a:t> [Ton/ha]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Cereales y pseudocereales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'CC70-Tendencial'!$C$12:$BK$12</c:f>
              <c:numCache>
                <c:formatCode>General</c:formatCode>
                <c:ptCount val="61"/>
                <c:pt idx="0">
                  <c:v>0.75451915088664168</c:v>
                </c:pt>
                <c:pt idx="1">
                  <c:v>0.86984045875205818</c:v>
                </c:pt>
                <c:pt idx="2">
                  <c:v>0.62762476138532863</c:v>
                </c:pt>
                <c:pt idx="3">
                  <c:v>0.78062719387311064</c:v>
                </c:pt>
                <c:pt idx="4">
                  <c:v>0.97859439595774</c:v>
                </c:pt>
                <c:pt idx="5">
                  <c:v>1.1661005267562643</c:v>
                </c:pt>
                <c:pt idx="6">
                  <c:v>1.505259203606311</c:v>
                </c:pt>
                <c:pt idx="7">
                  <c:v>1.2425064833242869</c:v>
                </c:pt>
                <c:pt idx="8">
                  <c:v>1.4456936494957755</c:v>
                </c:pt>
                <c:pt idx="9">
                  <c:v>1.5515429187441045</c:v>
                </c:pt>
                <c:pt idx="10">
                  <c:v>1.4557525951557093</c:v>
                </c:pt>
                <c:pt idx="11">
                  <c:v>1.4921974083264409</c:v>
                </c:pt>
                <c:pt idx="12">
                  <c:v>1.5130165472497585</c:v>
                </c:pt>
                <c:pt idx="13">
                  <c:v>1.8078000000000145</c:v>
                </c:pt>
                <c:pt idx="14">
                  <c:v>1.8096831250000145</c:v>
                </c:pt>
                <c:pt idx="15">
                  <c:v>1.8115682115885561</c:v>
                </c:pt>
                <c:pt idx="16">
                  <c:v>1.8134552618089608</c:v>
                </c:pt>
                <c:pt idx="17">
                  <c:v>1.8153442777066784</c:v>
                </c:pt>
                <c:pt idx="18">
                  <c:v>1.8172352613292895</c:v>
                </c:pt>
                <c:pt idx="19">
                  <c:v>1.8191282147265073</c:v>
                </c:pt>
                <c:pt idx="20">
                  <c:v>1.8210231399501806</c:v>
                </c:pt>
                <c:pt idx="21">
                  <c:v>1.8229200390542952</c:v>
                </c:pt>
                <c:pt idx="22">
                  <c:v>1.8248189140949767</c:v>
                </c:pt>
                <c:pt idx="23">
                  <c:v>1.8267197671304922</c:v>
                </c:pt>
                <c:pt idx="24">
                  <c:v>1.8286226002212531</c:v>
                </c:pt>
                <c:pt idx="25">
                  <c:v>1.8305274154298168</c:v>
                </c:pt>
                <c:pt idx="26">
                  <c:v>1.8324342148208894</c:v>
                </c:pt>
                <c:pt idx="27">
                  <c:v>1.8343430004613277</c:v>
                </c:pt>
                <c:pt idx="28">
                  <c:v>1.8362537744201415</c:v>
                </c:pt>
                <c:pt idx="29">
                  <c:v>1.8381665387684958</c:v>
                </c:pt>
                <c:pt idx="30">
                  <c:v>1.8400812955797128</c:v>
                </c:pt>
                <c:pt idx="31">
                  <c:v>1.8419980469292749</c:v>
                </c:pt>
                <c:pt idx="32">
                  <c:v>1.8439167948948261</c:v>
                </c:pt>
                <c:pt idx="33">
                  <c:v>1.8458375415561747</c:v>
                </c:pt>
                <c:pt idx="34">
                  <c:v>1.8477602889952955</c:v>
                </c:pt>
                <c:pt idx="35">
                  <c:v>1.8496850392963322</c:v>
                </c:pt>
                <c:pt idx="36">
                  <c:v>1.8516117945455992</c:v>
                </c:pt>
                <c:pt idx="37">
                  <c:v>1.8535405568315841</c:v>
                </c:pt>
                <c:pt idx="38">
                  <c:v>1.8554713282449502</c:v>
                </c:pt>
                <c:pt idx="39">
                  <c:v>1.8574041108785386</c:v>
                </c:pt>
                <c:pt idx="40">
                  <c:v>1.8593389068273702</c:v>
                </c:pt>
                <c:pt idx="41">
                  <c:v>1.8612757181886486</c:v>
                </c:pt>
                <c:pt idx="42">
                  <c:v>1.8632145470617616</c:v>
                </c:pt>
                <c:pt idx="43">
                  <c:v>1.8651553955482842</c:v>
                </c:pt>
                <c:pt idx="44">
                  <c:v>1.8670982657519803</c:v>
                </c:pt>
                <c:pt idx="45">
                  <c:v>1.8690431597788053</c:v>
                </c:pt>
                <c:pt idx="46">
                  <c:v>1.8709900797369081</c:v>
                </c:pt>
                <c:pt idx="47">
                  <c:v>1.872939027736634</c:v>
                </c:pt>
                <c:pt idx="48">
                  <c:v>1.8748900058905262</c:v>
                </c:pt>
                <c:pt idx="49">
                  <c:v>1.8768430163133287</c:v>
                </c:pt>
                <c:pt idx="50">
                  <c:v>1.8787980611219883</c:v>
                </c:pt>
                <c:pt idx="51">
                  <c:v>1.880755142435657</c:v>
                </c:pt>
                <c:pt idx="52">
                  <c:v>1.8827142623756941</c:v>
                </c:pt>
                <c:pt idx="53">
                  <c:v>1.8846754230656686</c:v>
                </c:pt>
                <c:pt idx="54">
                  <c:v>1.8866386266313619</c:v>
                </c:pt>
                <c:pt idx="55">
                  <c:v>1.8886038752007694</c:v>
                </c:pt>
                <c:pt idx="56">
                  <c:v>1.8905711709041035</c:v>
                </c:pt>
                <c:pt idx="57">
                  <c:v>1.8925405158737951</c:v>
                </c:pt>
                <c:pt idx="58">
                  <c:v>1.8945119122444969</c:v>
                </c:pt>
                <c:pt idx="59">
                  <c:v>1.8964853621530848</c:v>
                </c:pt>
                <c:pt idx="60">
                  <c:v>1.8984608677386607</c:v>
                </c:pt>
              </c:numCache>
            </c:numRef>
          </c:yVal>
          <c:smooth val="1"/>
          <c:extLst>
            <c:ext xmlns:c16="http://schemas.microsoft.com/office/drawing/2014/chart" uri="{C3380CC4-5D6E-409C-BE32-E72D297353CC}">
              <c16:uniqueId val="{00000000-2375-42E8-B666-CB5B76C9C5CD}"/>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'CC70-Tendencial'!$C$28:$BK$28</c:f>
              <c:numCache>
                <c:formatCode>General</c:formatCode>
                <c:ptCount val="61"/>
                <c:pt idx="0">
                  <c:v>0.75451915088664168</c:v>
                </c:pt>
                <c:pt idx="1">
                  <c:v>0.86984045875205818</c:v>
                </c:pt>
                <c:pt idx="2">
                  <c:v>0.62762476138532863</c:v>
                </c:pt>
                <c:pt idx="3">
                  <c:v>0.78062719387311064</c:v>
                </c:pt>
                <c:pt idx="4">
                  <c:v>0.97859439595774</c:v>
                </c:pt>
                <c:pt idx="5">
                  <c:v>1.1661005267562643</c:v>
                </c:pt>
                <c:pt idx="6">
                  <c:v>1.505259203606311</c:v>
                </c:pt>
                <c:pt idx="7">
                  <c:v>1.2425064833242869</c:v>
                </c:pt>
                <c:pt idx="8">
                  <c:v>1.4456936494957755</c:v>
                </c:pt>
                <c:pt idx="9">
                  <c:v>1.5515429187441045</c:v>
                </c:pt>
                <c:pt idx="10">
                  <c:v>1.4557525951557093</c:v>
                </c:pt>
                <c:pt idx="11">
                  <c:v>1.4921974083264409</c:v>
                </c:pt>
                <c:pt idx="12">
                  <c:v>1.5130165472497585</c:v>
                </c:pt>
                <c:pt idx="13">
                  <c:v>1.8078000000000145</c:v>
                </c:pt>
                <c:pt idx="14" formatCode="0.00000">
                  <c:v>1.8078000000000145</c:v>
                </c:pt>
                <c:pt idx="15" formatCode="0.00000">
                  <c:v>1.8161446808510779</c:v>
                </c:pt>
                <c:pt idx="16" formatCode="0.00000">
                  <c:v>1.8244893617021416</c:v>
                </c:pt>
                <c:pt idx="17" formatCode="0.00000">
                  <c:v>1.832834042553205</c:v>
                </c:pt>
                <c:pt idx="18" formatCode="0.00000">
                  <c:v>1.8411787234042687</c:v>
                </c:pt>
                <c:pt idx="19" formatCode="0.00000">
                  <c:v>1.8495234042553321</c:v>
                </c:pt>
                <c:pt idx="20" formatCode="0.00000">
                  <c:v>1.8578680851063956</c:v>
                </c:pt>
                <c:pt idx="21" formatCode="0.00000">
                  <c:v>1.8662127659574592</c:v>
                </c:pt>
                <c:pt idx="22" formatCode="0.00000">
                  <c:v>1.8745574468085227</c:v>
                </c:pt>
                <c:pt idx="23" formatCode="0.00000">
                  <c:v>1.8829021276595863</c:v>
                </c:pt>
                <c:pt idx="24" formatCode="0.00000">
                  <c:v>1.8912468085106497</c:v>
                </c:pt>
                <c:pt idx="25" formatCode="0.00000">
                  <c:v>1.8995914893617132</c:v>
                </c:pt>
                <c:pt idx="26" formatCode="0.00000">
                  <c:v>1.9079361702127768</c:v>
                </c:pt>
                <c:pt idx="27" formatCode="0.00000">
                  <c:v>1.9162808510638403</c:v>
                </c:pt>
                <c:pt idx="28" formatCode="0.00000">
                  <c:v>1.9246255319149039</c:v>
                </c:pt>
                <c:pt idx="29" formatCode="0.00000">
                  <c:v>1.9329702127659674</c:v>
                </c:pt>
                <c:pt idx="30" formatCode="0.00000">
                  <c:v>1.9413148936170308</c:v>
                </c:pt>
                <c:pt idx="31" formatCode="0.00000">
                  <c:v>1.9496595744680945</c:v>
                </c:pt>
                <c:pt idx="32" formatCode="0.00000">
                  <c:v>1.9580042553191579</c:v>
                </c:pt>
                <c:pt idx="33" formatCode="0.00000">
                  <c:v>1.9663489361702216</c:v>
                </c:pt>
                <c:pt idx="34" formatCode="0.00000">
                  <c:v>1.974693617021285</c:v>
                </c:pt>
                <c:pt idx="35" formatCode="0.00000">
                  <c:v>1.9830382978723484</c:v>
                </c:pt>
                <c:pt idx="36" formatCode="0.00000">
                  <c:v>1.9913829787234121</c:v>
                </c:pt>
                <c:pt idx="37" formatCode="0.00000">
                  <c:v>1.9997276595744755</c:v>
                </c:pt>
                <c:pt idx="38" formatCode="0.00000">
                  <c:v>2.0080723404255392</c:v>
                </c:pt>
                <c:pt idx="39" formatCode="0.00000">
                  <c:v>2.0164170212766024</c:v>
                </c:pt>
                <c:pt idx="40" formatCode="0.00000">
                  <c:v>2.024761702127666</c:v>
                </c:pt>
                <c:pt idx="41" formatCode="0.00000">
                  <c:v>2.0331063829787297</c:v>
                </c:pt>
                <c:pt idx="42" formatCode="0.00000">
                  <c:v>2.0414510638297934</c:v>
                </c:pt>
                <c:pt idx="43" formatCode="0.00000">
                  <c:v>2.0497957446808566</c:v>
                </c:pt>
                <c:pt idx="44" formatCode="0.00000">
                  <c:v>2.0581404255319202</c:v>
                </c:pt>
                <c:pt idx="45" formatCode="0.00000">
                  <c:v>2.0664851063829839</c:v>
                </c:pt>
                <c:pt idx="46" formatCode="0.00000">
                  <c:v>2.0748297872340471</c:v>
                </c:pt>
                <c:pt idx="47" formatCode="0.00000">
                  <c:v>2.0831744680851108</c:v>
                </c:pt>
                <c:pt idx="48" formatCode="0.00000">
                  <c:v>2.0915191489361744</c:v>
                </c:pt>
                <c:pt idx="49" formatCode="0.00000">
                  <c:v>2.0998638297872381</c:v>
                </c:pt>
                <c:pt idx="50" formatCode="0.00000">
                  <c:v>2.1082085106383013</c:v>
                </c:pt>
                <c:pt idx="51" formatCode="0.00000">
                  <c:v>2.1165531914893649</c:v>
                </c:pt>
                <c:pt idx="52" formatCode="0.00000">
                  <c:v>2.1248978723404286</c:v>
                </c:pt>
                <c:pt idx="53" formatCode="0.00000">
                  <c:v>2.1332425531914918</c:v>
                </c:pt>
                <c:pt idx="54" formatCode="0.00000">
                  <c:v>2.1415872340425555</c:v>
                </c:pt>
                <c:pt idx="55" formatCode="0.00000">
                  <c:v>2.1499319148936191</c:v>
                </c:pt>
                <c:pt idx="56" formatCode="0.00000">
                  <c:v>2.1582765957446823</c:v>
                </c:pt>
                <c:pt idx="57" formatCode="0.00000">
                  <c:v>2.166621276595746</c:v>
                </c:pt>
                <c:pt idx="58" formatCode="0.00000">
                  <c:v>2.1749659574468097</c:v>
                </c:pt>
                <c:pt idx="59" formatCode="0.00000">
                  <c:v>2.1833106382978729</c:v>
                </c:pt>
                <c:pt idx="60" formatCode="0.00000">
                  <c:v>2.1916553191489365</c:v>
                </c:pt>
              </c:numCache>
            </c:numRef>
          </c:yVal>
          <c:smooth val="1"/>
          <c:extLst>
            <c:ext xmlns:c16="http://schemas.microsoft.com/office/drawing/2014/chart" uri="{C3380CC4-5D6E-409C-BE32-E72D297353CC}">
              <c16:uniqueId val="{00000001-2375-42E8-B666-CB5B76C9C5CD}"/>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Rendimiento</a:t>
                </a:r>
                <a:r>
                  <a:rPr lang="en-US" baseline="0"/>
                  <a:t> [Ton/ha]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Tubérculos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'CC70-Tendencial'!$C$13:$BK$13</c:f>
              <c:numCache>
                <c:formatCode>General</c:formatCode>
                <c:ptCount val="61"/>
                <c:pt idx="0">
                  <c:v>7.2170067804382718</c:v>
                </c:pt>
                <c:pt idx="1">
                  <c:v>6.3185309765997699</c:v>
                </c:pt>
                <c:pt idx="2">
                  <c:v>7.1299036786350793</c:v>
                </c:pt>
                <c:pt idx="3">
                  <c:v>5.9774600170919303</c:v>
                </c:pt>
                <c:pt idx="4">
                  <c:v>10.241910038862596</c:v>
                </c:pt>
                <c:pt idx="5">
                  <c:v>9.9296321969458283</c:v>
                </c:pt>
                <c:pt idx="6">
                  <c:v>10.765855704697987</c:v>
                </c:pt>
                <c:pt idx="7">
                  <c:v>10.293925805136567</c:v>
                </c:pt>
                <c:pt idx="8">
                  <c:v>9.9292230892816153</c:v>
                </c:pt>
                <c:pt idx="9">
                  <c:v>10.374113475177305</c:v>
                </c:pt>
                <c:pt idx="10">
                  <c:v>11.860907539403675</c:v>
                </c:pt>
                <c:pt idx="11">
                  <c:v>9.3249917952084029</c:v>
                </c:pt>
                <c:pt idx="12">
                  <c:v>11.165104791856413</c:v>
                </c:pt>
                <c:pt idx="13">
                  <c:v>12.049399999999878</c:v>
                </c:pt>
                <c:pt idx="14">
                  <c:v>12.06195145833321</c:v>
                </c:pt>
                <c:pt idx="15">
                  <c:v>12.074515991102306</c:v>
                </c:pt>
                <c:pt idx="16">
                  <c:v>12.08709361192637</c:v>
                </c:pt>
                <c:pt idx="17">
                  <c:v>12.099684334438793</c:v>
                </c:pt>
                <c:pt idx="18">
                  <c:v>12.112288172287165</c:v>
                </c:pt>
                <c:pt idx="19">
                  <c:v>12.124905139133297</c:v>
                </c:pt>
                <c:pt idx="20">
                  <c:v>12.137535248653228</c:v>
                </c:pt>
                <c:pt idx="21">
                  <c:v>12.15017851453724</c:v>
                </c:pt>
                <c:pt idx="22">
                  <c:v>12.162834950489883</c:v>
                </c:pt>
                <c:pt idx="23">
                  <c:v>12.175504570229975</c:v>
                </c:pt>
                <c:pt idx="24">
                  <c:v>12.188187387490631</c:v>
                </c:pt>
                <c:pt idx="25">
                  <c:v>12.200883416019266</c:v>
                </c:pt>
                <c:pt idx="26">
                  <c:v>12.213592669577618</c:v>
                </c:pt>
                <c:pt idx="27">
                  <c:v>12.226315161941761</c:v>
                </c:pt>
                <c:pt idx="28">
                  <c:v>12.239050906902117</c:v>
                </c:pt>
                <c:pt idx="29">
                  <c:v>12.251799918263472</c:v>
                </c:pt>
                <c:pt idx="30">
                  <c:v>12.264562209844996</c:v>
                </c:pt>
                <c:pt idx="31">
                  <c:v>12.27733779548025</c:v>
                </c:pt>
                <c:pt idx="32">
                  <c:v>12.290126689017209</c:v>
                </c:pt>
                <c:pt idx="33">
                  <c:v>12.302928904318268</c:v>
                </c:pt>
                <c:pt idx="34">
                  <c:v>12.315744455260266</c:v>
                </c:pt>
                <c:pt idx="35">
                  <c:v>12.328573355734495</c:v>
                </c:pt>
                <c:pt idx="36">
                  <c:v>12.341415619646718</c:v>
                </c:pt>
                <c:pt idx="37">
                  <c:v>12.354271260917182</c:v>
                </c:pt>
                <c:pt idx="38">
                  <c:v>12.367140293480636</c:v>
                </c:pt>
                <c:pt idx="39">
                  <c:v>12.380022731286344</c:v>
                </c:pt>
                <c:pt idx="40">
                  <c:v>12.3929185882981</c:v>
                </c:pt>
                <c:pt idx="41">
                  <c:v>12.405827878494243</c:v>
                </c:pt>
                <c:pt idx="42">
                  <c:v>12.418750615867674</c:v>
                </c:pt>
                <c:pt idx="43">
                  <c:v>12.43168681442587</c:v>
                </c:pt>
                <c:pt idx="44">
                  <c:v>12.444636488190897</c:v>
                </c:pt>
                <c:pt idx="45">
                  <c:v>12.457599651199429</c:v>
                </c:pt>
                <c:pt idx="46">
                  <c:v>12.470576317502761</c:v>
                </c:pt>
                <c:pt idx="47">
                  <c:v>12.483566501166825</c:v>
                </c:pt>
                <c:pt idx="48">
                  <c:v>12.496570216272206</c:v>
                </c:pt>
                <c:pt idx="49">
                  <c:v>12.509587476914156</c:v>
                </c:pt>
                <c:pt idx="50">
                  <c:v>12.522618297202607</c:v>
                </c:pt>
                <c:pt idx="51">
                  <c:v>12.535662691262193</c:v>
                </c:pt>
                <c:pt idx="52">
                  <c:v>12.548720673232257</c:v>
                </c:pt>
                <c:pt idx="53">
                  <c:v>12.561792257266873</c:v>
                </c:pt>
                <c:pt idx="54">
                  <c:v>12.574877457534859</c:v>
                </c:pt>
                <c:pt idx="55">
                  <c:v>12.587976288219791</c:v>
                </c:pt>
                <c:pt idx="56">
                  <c:v>12.601088763520019</c:v>
                </c:pt>
                <c:pt idx="57">
                  <c:v>12.614214897648685</c:v>
                </c:pt>
                <c:pt idx="58">
                  <c:v>12.627354704833735</c:v>
                </c:pt>
                <c:pt idx="59">
                  <c:v>12.640508199317935</c:v>
                </c:pt>
                <c:pt idx="60">
                  <c:v>12.65367539535889</c:v>
                </c:pt>
              </c:numCache>
            </c:numRef>
          </c:yVal>
          <c:smooth val="1"/>
          <c:extLst>
            <c:ext xmlns:c16="http://schemas.microsoft.com/office/drawing/2014/chart" uri="{C3380CC4-5D6E-409C-BE32-E72D297353CC}">
              <c16:uniqueId val="{00000000-7600-46F5-B578-5393F6683F53}"/>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'CC70-Tendencial'!$C$29:$BK$29</c:f>
              <c:numCache>
                <c:formatCode>General</c:formatCode>
                <c:ptCount val="61"/>
                <c:pt idx="0">
                  <c:v>7.2170067804382718</c:v>
                </c:pt>
                <c:pt idx="1">
                  <c:v>6.3185309765997699</c:v>
                </c:pt>
                <c:pt idx="2">
                  <c:v>7.1299036786350793</c:v>
                </c:pt>
                <c:pt idx="3">
                  <c:v>5.9774600170919303</c:v>
                </c:pt>
                <c:pt idx="4">
                  <c:v>10.241910038862596</c:v>
                </c:pt>
                <c:pt idx="5">
                  <c:v>9.9296321969458283</c:v>
                </c:pt>
                <c:pt idx="6">
                  <c:v>10.765855704697987</c:v>
                </c:pt>
                <c:pt idx="7">
                  <c:v>10.293925805136567</c:v>
                </c:pt>
                <c:pt idx="8">
                  <c:v>9.9292230892816153</c:v>
                </c:pt>
                <c:pt idx="9">
                  <c:v>10.374113475177305</c:v>
                </c:pt>
                <c:pt idx="10">
                  <c:v>11.860907539403675</c:v>
                </c:pt>
                <c:pt idx="11">
                  <c:v>9.3249917952084029</c:v>
                </c:pt>
                <c:pt idx="12">
                  <c:v>11.165104791856413</c:v>
                </c:pt>
                <c:pt idx="13">
                  <c:v>12.049399999999878</c:v>
                </c:pt>
                <c:pt idx="14" formatCode="0.00000">
                  <c:v>12.049399999999878</c:v>
                </c:pt>
                <c:pt idx="15" formatCode="0.00000">
                  <c:v>12.095157446808392</c:v>
                </c:pt>
                <c:pt idx="16" formatCode="0.00000">
                  <c:v>12.140914893616904</c:v>
                </c:pt>
                <c:pt idx="17" formatCode="0.00000">
                  <c:v>12.186672340425417</c:v>
                </c:pt>
                <c:pt idx="18" formatCode="0.00000">
                  <c:v>12.232429787233931</c:v>
                </c:pt>
                <c:pt idx="19" formatCode="0.00000">
                  <c:v>12.278187234042443</c:v>
                </c:pt>
                <c:pt idx="20" formatCode="0.00000">
                  <c:v>12.323944680850957</c:v>
                </c:pt>
                <c:pt idx="21" formatCode="0.00000">
                  <c:v>12.369702127659471</c:v>
                </c:pt>
                <c:pt idx="22" formatCode="0.00000">
                  <c:v>12.415459574467983</c:v>
                </c:pt>
                <c:pt idx="23" formatCode="0.00000">
                  <c:v>12.461217021276497</c:v>
                </c:pt>
                <c:pt idx="24" formatCode="0.00000">
                  <c:v>12.50697446808501</c:v>
                </c:pt>
                <c:pt idx="25" formatCode="0.00000">
                  <c:v>12.552731914893524</c:v>
                </c:pt>
                <c:pt idx="26" formatCode="0.00000">
                  <c:v>12.598489361702036</c:v>
                </c:pt>
                <c:pt idx="27" formatCode="0.00000">
                  <c:v>12.64424680851055</c:v>
                </c:pt>
                <c:pt idx="28" formatCode="0.00000">
                  <c:v>12.690004255319064</c:v>
                </c:pt>
                <c:pt idx="29" formatCode="0.00000">
                  <c:v>12.735761702127576</c:v>
                </c:pt>
                <c:pt idx="30" formatCode="0.00000">
                  <c:v>12.78151914893609</c:v>
                </c:pt>
                <c:pt idx="31" formatCode="0.00000">
                  <c:v>12.827276595744603</c:v>
                </c:pt>
                <c:pt idx="32" formatCode="0.00000">
                  <c:v>12.873034042553115</c:v>
                </c:pt>
                <c:pt idx="33" formatCode="0.00000">
                  <c:v>12.918791489361629</c:v>
                </c:pt>
                <c:pt idx="34" formatCode="0.00000">
                  <c:v>12.964548936170143</c:v>
                </c:pt>
                <c:pt idx="35" formatCode="0.00000">
                  <c:v>13.010306382978655</c:v>
                </c:pt>
                <c:pt idx="36" formatCode="0.00000">
                  <c:v>13.056063829787169</c:v>
                </c:pt>
                <c:pt idx="37" formatCode="0.00000">
                  <c:v>13.101821276595683</c:v>
                </c:pt>
                <c:pt idx="38" formatCode="0.00000">
                  <c:v>13.147578723404195</c:v>
                </c:pt>
                <c:pt idx="39" formatCode="0.00000">
                  <c:v>13.193336170212708</c:v>
                </c:pt>
                <c:pt idx="40" formatCode="0.00000">
                  <c:v>13.239093617021222</c:v>
                </c:pt>
                <c:pt idx="41" formatCode="0.00000">
                  <c:v>13.284851063829734</c:v>
                </c:pt>
                <c:pt idx="42" formatCode="0.00000">
                  <c:v>13.330608510638248</c:v>
                </c:pt>
                <c:pt idx="43" formatCode="0.00000">
                  <c:v>13.376365957446762</c:v>
                </c:pt>
                <c:pt idx="44" formatCode="0.00000">
                  <c:v>13.422123404255274</c:v>
                </c:pt>
                <c:pt idx="45" formatCode="0.00000">
                  <c:v>13.467880851063788</c:v>
                </c:pt>
                <c:pt idx="46" formatCode="0.00000">
                  <c:v>13.513638297872301</c:v>
                </c:pt>
                <c:pt idx="47" formatCode="0.00000">
                  <c:v>13.559395744680813</c:v>
                </c:pt>
                <c:pt idx="48" formatCode="0.00000">
                  <c:v>13.605153191489327</c:v>
                </c:pt>
                <c:pt idx="49" formatCode="0.00000">
                  <c:v>13.650910638297841</c:v>
                </c:pt>
                <c:pt idx="50" formatCode="0.00000">
                  <c:v>13.696668085106353</c:v>
                </c:pt>
                <c:pt idx="51" formatCode="0.00000">
                  <c:v>13.742425531914867</c:v>
                </c:pt>
                <c:pt idx="52" formatCode="0.00000">
                  <c:v>13.788182978723381</c:v>
                </c:pt>
                <c:pt idx="53" formatCode="0.00000">
                  <c:v>13.833940425531893</c:v>
                </c:pt>
                <c:pt idx="54" formatCode="0.00000">
                  <c:v>13.879697872340406</c:v>
                </c:pt>
                <c:pt idx="55" formatCode="0.00000">
                  <c:v>13.92545531914892</c:v>
                </c:pt>
                <c:pt idx="56" formatCode="0.00000">
                  <c:v>13.971212765957434</c:v>
                </c:pt>
                <c:pt idx="57" formatCode="0.00000">
                  <c:v>14.016970212765946</c:v>
                </c:pt>
                <c:pt idx="58" formatCode="0.00000">
                  <c:v>14.06272765957446</c:v>
                </c:pt>
                <c:pt idx="59" formatCode="0.00000">
                  <c:v>14.108485106382973</c:v>
                </c:pt>
                <c:pt idx="60" formatCode="0.00000">
                  <c:v>14.154242553191485</c:v>
                </c:pt>
              </c:numCache>
            </c:numRef>
          </c:yVal>
          <c:smooth val="1"/>
          <c:extLst>
            <c:ext xmlns:c16="http://schemas.microsoft.com/office/drawing/2014/chart" uri="{C3380CC4-5D6E-409C-BE32-E72D297353CC}">
              <c16:uniqueId val="{00000001-7600-46F5-B578-5393F6683F53}"/>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Rendimiento</a:t>
                </a:r>
                <a:r>
                  <a:rPr lang="en-US" baseline="0"/>
                  <a:t> [Ton/ha]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Fruta</a:t>
            </a:r>
            <a:r>
              <a:rPr lang="en-US" baseline="0"/>
              <a:t> fresca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'CC70-Tendencial'!$C$14:$BK$14</c:f>
              <c:numCache>
                <c:formatCode>General</c:formatCode>
                <c:ptCount val="61"/>
                <c:pt idx="0">
                  <c:v>4.7410408126434112</c:v>
                </c:pt>
                <c:pt idx="1">
                  <c:v>4.8532368074667938</c:v>
                </c:pt>
                <c:pt idx="2">
                  <c:v>5.8565152380632375</c:v>
                </c:pt>
                <c:pt idx="3">
                  <c:v>4.6757077331285606</c:v>
                </c:pt>
                <c:pt idx="4">
                  <c:v>6.4872116979046277</c:v>
                </c:pt>
                <c:pt idx="5">
                  <c:v>7.34537978395816</c:v>
                </c:pt>
                <c:pt idx="6">
                  <c:v>5.8173798949099709</c:v>
                </c:pt>
                <c:pt idx="7">
                  <c:v>7.1572330766544541</c:v>
                </c:pt>
                <c:pt idx="8">
                  <c:v>5.8907862560616735</c:v>
                </c:pt>
                <c:pt idx="9">
                  <c:v>5.0618074550282515</c:v>
                </c:pt>
                <c:pt idx="10">
                  <c:v>5.5734874726479289</c:v>
                </c:pt>
                <c:pt idx="11">
                  <c:v>6.6674589016658894</c:v>
                </c:pt>
                <c:pt idx="12">
                  <c:v>9.8120761579853699</c:v>
                </c:pt>
                <c:pt idx="13">
                  <c:v>7.6707999999999856</c:v>
                </c:pt>
                <c:pt idx="14">
                  <c:v>7.6947712499999863</c:v>
                </c:pt>
                <c:pt idx="15">
                  <c:v>7.7188174101562366</c:v>
                </c:pt>
                <c:pt idx="16">
                  <c:v>7.7429387145629756</c:v>
                </c:pt>
                <c:pt idx="17">
                  <c:v>7.7671353980459852</c:v>
                </c:pt>
                <c:pt idx="18">
                  <c:v>7.791407696164879</c:v>
                </c:pt>
                <c:pt idx="19">
                  <c:v>7.8157558452153948</c:v>
                </c:pt>
                <c:pt idx="20">
                  <c:v>7.8401800822316936</c:v>
                </c:pt>
                <c:pt idx="21">
                  <c:v>7.8646806449886677</c:v>
                </c:pt>
                <c:pt idx="22">
                  <c:v>7.8892577720042576</c:v>
                </c:pt>
                <c:pt idx="23">
                  <c:v>7.9139117025417711</c:v>
                </c:pt>
                <c:pt idx="24">
                  <c:v>7.9386426766122149</c:v>
                </c:pt>
                <c:pt idx="25">
                  <c:v>7.9634509349766285</c:v>
                </c:pt>
                <c:pt idx="26">
                  <c:v>7.9883367191484309</c:v>
                </c:pt>
                <c:pt idx="27">
                  <c:v>8.0133002713957708</c:v>
                </c:pt>
                <c:pt idx="28">
                  <c:v>8.0383418347438838</c:v>
                </c:pt>
                <c:pt idx="29">
                  <c:v>8.063461652977459</c:v>
                </c:pt>
                <c:pt idx="30">
                  <c:v>8.0886599706430147</c:v>
                </c:pt>
                <c:pt idx="31">
                  <c:v>8.1139370330512737</c:v>
                </c:pt>
                <c:pt idx="32">
                  <c:v>8.1392930862795598</c:v>
                </c:pt>
                <c:pt idx="33">
                  <c:v>8.1647283771741836</c:v>
                </c:pt>
                <c:pt idx="34">
                  <c:v>8.1902431533528528</c:v>
                </c:pt>
                <c:pt idx="35">
                  <c:v>8.2158376632070809</c:v>
                </c:pt>
                <c:pt idx="36">
                  <c:v>8.2415121559046032</c:v>
                </c:pt>
                <c:pt idx="37">
                  <c:v>8.2672668813918051</c:v>
                </c:pt>
                <c:pt idx="38">
                  <c:v>8.2931020903961556</c:v>
                </c:pt>
                <c:pt idx="39">
                  <c:v>8.3190180344286446</c:v>
                </c:pt>
                <c:pt idx="40">
                  <c:v>8.345014965786234</c:v>
                </c:pt>
                <c:pt idx="41">
                  <c:v>8.3710931375543165</c:v>
                </c:pt>
                <c:pt idx="42">
                  <c:v>8.3972528036091738</c:v>
                </c:pt>
                <c:pt idx="43">
                  <c:v>8.4234942186204531</c:v>
                </c:pt>
                <c:pt idx="44">
                  <c:v>8.4498176380536432</c:v>
                </c:pt>
                <c:pt idx="45">
                  <c:v>8.4762233181725612</c:v>
                </c:pt>
                <c:pt idx="46">
                  <c:v>8.5027115160418507</c:v>
                </c:pt>
                <c:pt idx="47">
                  <c:v>8.5292824895294821</c:v>
                </c:pt>
                <c:pt idx="48">
                  <c:v>8.5559364973092613</c:v>
                </c:pt>
                <c:pt idx="49">
                  <c:v>8.5826737988633539</c:v>
                </c:pt>
                <c:pt idx="50">
                  <c:v>8.6094946544848021</c:v>
                </c:pt>
                <c:pt idx="51">
                  <c:v>8.6363993252800668</c:v>
                </c:pt>
                <c:pt idx="52">
                  <c:v>8.6633880731715678</c:v>
                </c:pt>
                <c:pt idx="53">
                  <c:v>8.6904611609002291</c:v>
                </c:pt>
                <c:pt idx="54">
                  <c:v>8.7176188520280427</c:v>
                </c:pt>
                <c:pt idx="55">
                  <c:v>8.7448614109406311</c:v>
                </c:pt>
                <c:pt idx="56">
                  <c:v>8.7721891028498202</c:v>
                </c:pt>
                <c:pt idx="57">
                  <c:v>8.7996021937962254</c:v>
                </c:pt>
                <c:pt idx="58">
                  <c:v>8.8271009506518396</c:v>
                </c:pt>
                <c:pt idx="59">
                  <c:v>8.8546856411226269</c:v>
                </c:pt>
                <c:pt idx="60">
                  <c:v>8.8823565337511354</c:v>
                </c:pt>
              </c:numCache>
            </c:numRef>
          </c:yVal>
          <c:smooth val="1"/>
          <c:extLst>
            <c:ext xmlns:c16="http://schemas.microsoft.com/office/drawing/2014/chart" uri="{C3380CC4-5D6E-409C-BE32-E72D297353CC}">
              <c16:uniqueId val="{00000000-F070-4581-8194-020B70C2DBD5}"/>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'CC70-Tendencial'!$C$30:$BK$30</c:f>
              <c:numCache>
                <c:formatCode>General</c:formatCode>
                <c:ptCount val="61"/>
                <c:pt idx="0">
                  <c:v>4.7410408126434112</c:v>
                </c:pt>
                <c:pt idx="1">
                  <c:v>4.8532368074667938</c:v>
                </c:pt>
                <c:pt idx="2">
                  <c:v>5.8565152380632375</c:v>
                </c:pt>
                <c:pt idx="3">
                  <c:v>4.6757077331285606</c:v>
                </c:pt>
                <c:pt idx="4">
                  <c:v>6.4872116979046277</c:v>
                </c:pt>
                <c:pt idx="5">
                  <c:v>7.34537978395816</c:v>
                </c:pt>
                <c:pt idx="6">
                  <c:v>5.8173798949099709</c:v>
                </c:pt>
                <c:pt idx="7">
                  <c:v>7.1572330766544541</c:v>
                </c:pt>
                <c:pt idx="8">
                  <c:v>5.8907862560616735</c:v>
                </c:pt>
                <c:pt idx="9">
                  <c:v>5.0618074550282515</c:v>
                </c:pt>
                <c:pt idx="10">
                  <c:v>5.5734874726479289</c:v>
                </c:pt>
                <c:pt idx="11">
                  <c:v>6.6674589016658894</c:v>
                </c:pt>
                <c:pt idx="12">
                  <c:v>9.8120761579853699</c:v>
                </c:pt>
                <c:pt idx="13">
                  <c:v>7.6707999999999856</c:v>
                </c:pt>
                <c:pt idx="14" formatCode="0.00000">
                  <c:v>7.6707999999999856</c:v>
                </c:pt>
                <c:pt idx="15" formatCode="0.00000">
                  <c:v>7.71547642951331</c:v>
                </c:pt>
                <c:pt idx="16" formatCode="0.00000">
                  <c:v>7.7601528590266353</c:v>
                </c:pt>
                <c:pt idx="17" formatCode="0.00000">
                  <c:v>7.8048292885399597</c:v>
                </c:pt>
                <c:pt idx="18" formatCode="0.00000">
                  <c:v>7.849505718053285</c:v>
                </c:pt>
                <c:pt idx="19" formatCode="0.00000">
                  <c:v>7.8941821475666094</c:v>
                </c:pt>
                <c:pt idx="20" formatCode="0.00000">
                  <c:v>7.9388585770799338</c:v>
                </c:pt>
                <c:pt idx="21" formatCode="0.00000">
                  <c:v>7.9835350065932591</c:v>
                </c:pt>
                <c:pt idx="22" formatCode="0.00000">
                  <c:v>8.0282114361065844</c:v>
                </c:pt>
                <c:pt idx="23" formatCode="0.00000">
                  <c:v>8.0728878656199079</c:v>
                </c:pt>
                <c:pt idx="24" formatCode="0.00000">
                  <c:v>8.1175642951332332</c:v>
                </c:pt>
                <c:pt idx="25" formatCode="0.00000">
                  <c:v>8.1622407246465585</c:v>
                </c:pt>
                <c:pt idx="26" formatCode="0.00000">
                  <c:v>8.206917154159882</c:v>
                </c:pt>
                <c:pt idx="27" formatCode="0.00000">
                  <c:v>8.2515935836732073</c:v>
                </c:pt>
                <c:pt idx="28" formatCode="0.00000">
                  <c:v>8.2962700131865326</c:v>
                </c:pt>
                <c:pt idx="29" formatCode="0.00000">
                  <c:v>8.3409464426998579</c:v>
                </c:pt>
                <c:pt idx="30" formatCode="0.00000">
                  <c:v>8.3856228722131814</c:v>
                </c:pt>
                <c:pt idx="31" formatCode="0.00000">
                  <c:v>8.4302993017265067</c:v>
                </c:pt>
                <c:pt idx="32" formatCode="0.00000">
                  <c:v>8.4749757312398319</c:v>
                </c:pt>
                <c:pt idx="33" formatCode="0.00000">
                  <c:v>8.5196521607531555</c:v>
                </c:pt>
                <c:pt idx="34" formatCode="0.00000">
                  <c:v>8.5643285902664807</c:v>
                </c:pt>
                <c:pt idx="35" formatCode="0.00000">
                  <c:v>8.609005019779806</c:v>
                </c:pt>
                <c:pt idx="36" formatCode="0.00000">
                  <c:v>8.6536814492931313</c:v>
                </c:pt>
                <c:pt idx="37" formatCode="0.00000">
                  <c:v>8.6983578788064548</c:v>
                </c:pt>
                <c:pt idx="38" formatCode="0.00000">
                  <c:v>8.7430343083197801</c:v>
                </c:pt>
                <c:pt idx="39" formatCode="0.00000">
                  <c:v>8.7877107378331054</c:v>
                </c:pt>
                <c:pt idx="40" formatCode="0.00000">
                  <c:v>8.8323871673464289</c:v>
                </c:pt>
                <c:pt idx="41" formatCode="0.00000">
                  <c:v>8.8770635968597542</c:v>
                </c:pt>
                <c:pt idx="42" formatCode="0.00000">
                  <c:v>8.9217400263730795</c:v>
                </c:pt>
                <c:pt idx="43" formatCode="0.00000">
                  <c:v>8.966416455886403</c:v>
                </c:pt>
                <c:pt idx="44" formatCode="0.00000">
                  <c:v>9.0110928853997283</c:v>
                </c:pt>
                <c:pt idx="45" formatCode="0.00000">
                  <c:v>9.0557693149130536</c:v>
                </c:pt>
                <c:pt idx="46" formatCode="0.00000">
                  <c:v>9.1004457444263771</c:v>
                </c:pt>
                <c:pt idx="47" formatCode="0.00000">
                  <c:v>9.1451221739397024</c:v>
                </c:pt>
                <c:pt idx="48" formatCode="0.00000">
                  <c:v>9.1897986034530277</c:v>
                </c:pt>
                <c:pt idx="49" formatCode="0.00000">
                  <c:v>9.234475032966353</c:v>
                </c:pt>
                <c:pt idx="50" formatCode="0.00000">
                  <c:v>9.2791514624796765</c:v>
                </c:pt>
                <c:pt idx="51" formatCode="0.00000">
                  <c:v>9.3238278919930018</c:v>
                </c:pt>
                <c:pt idx="52" formatCode="0.00000">
                  <c:v>9.3685043215063271</c:v>
                </c:pt>
                <c:pt idx="53" formatCode="0.00000">
                  <c:v>9.4131807510196506</c:v>
                </c:pt>
                <c:pt idx="54" formatCode="0.00000">
                  <c:v>9.4578571805329759</c:v>
                </c:pt>
                <c:pt idx="55" formatCode="0.00000">
                  <c:v>9.5025336100463011</c:v>
                </c:pt>
                <c:pt idx="56" formatCode="0.00000">
                  <c:v>9.5472100395596264</c:v>
                </c:pt>
                <c:pt idx="57" formatCode="0.00000">
                  <c:v>9.59188646907295</c:v>
                </c:pt>
                <c:pt idx="58" formatCode="0.00000">
                  <c:v>9.6365628985862752</c:v>
                </c:pt>
                <c:pt idx="59" formatCode="0.00000">
                  <c:v>9.6812393280996005</c:v>
                </c:pt>
                <c:pt idx="60" formatCode="0.00000">
                  <c:v>9.725915757612924</c:v>
                </c:pt>
              </c:numCache>
            </c:numRef>
          </c:yVal>
          <c:smooth val="1"/>
          <c:extLst>
            <c:ext xmlns:c16="http://schemas.microsoft.com/office/drawing/2014/chart" uri="{C3380CC4-5D6E-409C-BE32-E72D297353CC}">
              <c16:uniqueId val="{00000001-F070-4581-8194-020B70C2DBD5}"/>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Rendimiento</a:t>
                </a:r>
                <a:r>
                  <a:rPr lang="en-US" baseline="0"/>
                  <a:t> [Ton/ha]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Demanda de carne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'CC70-Tendencial'!$K$267:$S$267</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'CC70-Tendencial'!$K$268:$S$268</c:f>
              <c:numCache>
                <c:formatCode>General</c:formatCode>
                <c:ptCount val="9"/>
                <c:pt idx="0">
                  <c:v>0.21200243409</c:v>
                </c:pt>
                <c:pt idx="1">
                  <c:v>0.231745866391</c:v>
                </c:pt>
                <c:pt idx="2">
                  <c:v>0.25271801427996654</c:v>
                </c:pt>
                <c:pt idx="3">
                  <c:v>0.26272339255672117</c:v>
                </c:pt>
                <c:pt idx="4">
                  <c:v>0.27880424012075711</c:v>
                </c:pt>
                <c:pt idx="5">
                  <c:v>0.31008663406455744</c:v>
                </c:pt>
                <c:pt idx="6">
                  <c:v>0.33038990977470151</c:v>
                </c:pt>
                <c:pt idx="7">
                  <c:v>0.34658416676470993</c:v>
                </c:pt>
                <c:pt idx="8">
                  <c:v>0.35515607731544269</c:v>
                </c:pt>
              </c:numCache>
            </c:numRef>
          </c:yVal>
          <c:smooth val="1"/>
          <c:extLst>
            <c:ext xmlns:c16="http://schemas.microsoft.com/office/drawing/2014/chart" uri="{C3380CC4-5D6E-409C-BE32-E72D297353CC}">
              <c16:uniqueId val="{00000000-F70D-4BB9-8B7C-C9578983373D}"/>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'CC70-Tendencial'!$K$267:$S$267</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'CC70-Tendencial'!$K$271:$S$271</c:f>
              <c:numCache>
                <c:formatCode>General</c:formatCode>
                <c:ptCount val="9"/>
                <c:pt idx="0">
                  <c:v>0.21200243409</c:v>
                </c:pt>
                <c:pt idx="1">
                  <c:v>0.231745866391</c:v>
                </c:pt>
                <c:pt idx="2">
                  <c:v>0.25271801427996654</c:v>
                </c:pt>
                <c:pt idx="3" formatCode="0.0000">
                  <c:v>0.26272339255672111</c:v>
                </c:pt>
                <c:pt idx="4" formatCode="0.0000">
                  <c:v>0.27880424012075711</c:v>
                </c:pt>
                <c:pt idx="5" formatCode="0.0000">
                  <c:v>0.3054580062495913</c:v>
                </c:pt>
                <c:pt idx="6" formatCode="0.0000">
                  <c:v>0.32514858086355347</c:v>
                </c:pt>
                <c:pt idx="7" formatCode="0.0000">
                  <c:v>0.34022811637421074</c:v>
                </c:pt>
                <c:pt idx="8" formatCode="0.0000">
                  <c:v>0.34776358646737177</c:v>
                </c:pt>
              </c:numCache>
            </c:numRef>
          </c:yVal>
          <c:smooth val="1"/>
          <c:extLst>
            <c:ext xmlns:c16="http://schemas.microsoft.com/office/drawing/2014/chart" uri="{C3380CC4-5D6E-409C-BE32-E72D297353CC}">
              <c16:uniqueId val="{00000001-F70D-4BB9-8B7C-C9578983373D}"/>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a:t>
                </a:r>
                <a:r>
                  <a:rPr lang="en-US" baseline="0"/>
                  <a:t> [M</a:t>
                </a:r>
                <a:r>
                  <a:rPr lang="en-US"/>
                  <a:t>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Verduras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'CC70-Tendencial'!$C$15:$BK$15</c:f>
              <c:numCache>
                <c:formatCode>General</c:formatCode>
                <c:ptCount val="61"/>
                <c:pt idx="0">
                  <c:v>20.08933933933934</c:v>
                </c:pt>
                <c:pt idx="1">
                  <c:v>22.881238155401139</c:v>
                </c:pt>
                <c:pt idx="2">
                  <c:v>20.460188495287618</c:v>
                </c:pt>
                <c:pt idx="3">
                  <c:v>9.9026415094339626</c:v>
                </c:pt>
                <c:pt idx="4">
                  <c:v>19.127611168562563</c:v>
                </c:pt>
                <c:pt idx="5">
                  <c:v>17.659816024746032</c:v>
                </c:pt>
                <c:pt idx="6">
                  <c:v>9.779784178307743</c:v>
                </c:pt>
                <c:pt idx="7">
                  <c:v>11.232907118992863</c:v>
                </c:pt>
                <c:pt idx="8">
                  <c:v>11.381865046571704</c:v>
                </c:pt>
                <c:pt idx="9">
                  <c:v>12.922222196437646</c:v>
                </c:pt>
                <c:pt idx="10">
                  <c:v>14.344512787640847</c:v>
                </c:pt>
                <c:pt idx="11">
                  <c:v>14.623969180071411</c:v>
                </c:pt>
                <c:pt idx="12">
                  <c:v>13.371425940489321</c:v>
                </c:pt>
                <c:pt idx="13">
                  <c:v>10.571800000000167</c:v>
                </c:pt>
                <c:pt idx="14">
                  <c:v>10.615849166666834</c:v>
                </c:pt>
                <c:pt idx="15">
                  <c:v>10.660081871527945</c:v>
                </c:pt>
                <c:pt idx="16">
                  <c:v>10.704498879325978</c:v>
                </c:pt>
                <c:pt idx="17">
                  <c:v>10.749100957989837</c:v>
                </c:pt>
                <c:pt idx="18">
                  <c:v>10.793888878648128</c:v>
                </c:pt>
                <c:pt idx="19">
                  <c:v>10.838863415642495</c:v>
                </c:pt>
                <c:pt idx="20">
                  <c:v>10.884025346541005</c:v>
                </c:pt>
                <c:pt idx="21">
                  <c:v>10.929375452151593</c:v>
                </c:pt>
                <c:pt idx="22">
                  <c:v>10.974914516535557</c:v>
                </c:pt>
                <c:pt idx="23">
                  <c:v>11.020643327021123</c:v>
                </c:pt>
                <c:pt idx="24">
                  <c:v>11.066562674217044</c:v>
                </c:pt>
                <c:pt idx="25">
                  <c:v>11.112673352026281</c:v>
                </c:pt>
                <c:pt idx="26">
                  <c:v>11.158976157659724</c:v>
                </c:pt>
                <c:pt idx="27">
                  <c:v>11.205471891649973</c:v>
                </c:pt>
                <c:pt idx="28">
                  <c:v>11.25216135786518</c:v>
                </c:pt>
                <c:pt idx="29">
                  <c:v>11.299045363522952</c:v>
                </c:pt>
                <c:pt idx="30">
                  <c:v>11.346124719204298</c:v>
                </c:pt>
                <c:pt idx="31">
                  <c:v>11.393400238867649</c:v>
                </c:pt>
                <c:pt idx="32">
                  <c:v>11.440872739862931</c:v>
                </c:pt>
                <c:pt idx="33">
                  <c:v>11.488543042945693</c:v>
                </c:pt>
                <c:pt idx="34">
                  <c:v>11.536411972291299</c:v>
                </c:pt>
                <c:pt idx="35">
                  <c:v>11.584480355509179</c:v>
                </c:pt>
                <c:pt idx="36">
                  <c:v>11.632749023657134</c:v>
                </c:pt>
                <c:pt idx="37">
                  <c:v>11.681218811255706</c:v>
                </c:pt>
                <c:pt idx="38">
                  <c:v>11.729890556302605</c:v>
                </c:pt>
                <c:pt idx="39">
                  <c:v>11.778765100287199</c:v>
                </c:pt>
                <c:pt idx="40">
                  <c:v>11.827843288205061</c:v>
                </c:pt>
                <c:pt idx="41">
                  <c:v>11.877125968572582</c:v>
                </c:pt>
                <c:pt idx="42">
                  <c:v>11.926613993441634</c:v>
                </c:pt>
                <c:pt idx="43">
                  <c:v>11.976308218414308</c:v>
                </c:pt>
                <c:pt idx="44">
                  <c:v>12.026209502657702</c:v>
                </c:pt>
                <c:pt idx="45">
                  <c:v>12.076318708918775</c:v>
                </c:pt>
                <c:pt idx="46">
                  <c:v>12.126636703539269</c:v>
                </c:pt>
                <c:pt idx="47">
                  <c:v>12.177164356470682</c:v>
                </c:pt>
                <c:pt idx="48">
                  <c:v>12.227902541289309</c:v>
                </c:pt>
                <c:pt idx="49">
                  <c:v>12.278852135211347</c:v>
                </c:pt>
                <c:pt idx="50">
                  <c:v>12.330014019108061</c:v>
                </c:pt>
                <c:pt idx="51">
                  <c:v>12.38138907752101</c:v>
                </c:pt>
                <c:pt idx="52">
                  <c:v>12.432978198677349</c:v>
                </c:pt>
                <c:pt idx="53">
                  <c:v>12.484782274505172</c:v>
                </c:pt>
                <c:pt idx="54">
                  <c:v>12.536802200648943</c:v>
                </c:pt>
                <c:pt idx="55">
                  <c:v>12.589038876484979</c:v>
                </c:pt>
                <c:pt idx="56">
                  <c:v>12.641493205136999</c:v>
                </c:pt>
                <c:pt idx="57">
                  <c:v>12.694166093491736</c:v>
                </c:pt>
                <c:pt idx="58">
                  <c:v>12.747058452214619</c:v>
                </c:pt>
                <c:pt idx="59">
                  <c:v>12.800171195765513</c:v>
                </c:pt>
                <c:pt idx="60">
                  <c:v>12.853505242414535</c:v>
                </c:pt>
              </c:numCache>
            </c:numRef>
          </c:yVal>
          <c:smooth val="1"/>
          <c:extLst>
            <c:ext xmlns:c16="http://schemas.microsoft.com/office/drawing/2014/chart" uri="{C3380CC4-5D6E-409C-BE32-E72D297353CC}">
              <c16:uniqueId val="{00000000-CA3B-42EA-8AE7-0B01A3D697E2}"/>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'CC70-Tendencial'!$C$31:$BK$31</c:f>
              <c:numCache>
                <c:formatCode>General</c:formatCode>
                <c:ptCount val="61"/>
                <c:pt idx="0">
                  <c:v>20.08933933933934</c:v>
                </c:pt>
                <c:pt idx="1">
                  <c:v>22.881238155401139</c:v>
                </c:pt>
                <c:pt idx="2">
                  <c:v>20.460188495287618</c:v>
                </c:pt>
                <c:pt idx="3">
                  <c:v>9.9026415094339626</c:v>
                </c:pt>
                <c:pt idx="4">
                  <c:v>19.127611168562563</c:v>
                </c:pt>
                <c:pt idx="5">
                  <c:v>17.659816024746032</c:v>
                </c:pt>
                <c:pt idx="6">
                  <c:v>9.779784178307743</c:v>
                </c:pt>
                <c:pt idx="7">
                  <c:v>11.232907118992863</c:v>
                </c:pt>
                <c:pt idx="8">
                  <c:v>11.381865046571704</c:v>
                </c:pt>
                <c:pt idx="9">
                  <c:v>12.922222196437646</c:v>
                </c:pt>
                <c:pt idx="10">
                  <c:v>14.344512787640847</c:v>
                </c:pt>
                <c:pt idx="11">
                  <c:v>14.623969180071411</c:v>
                </c:pt>
                <c:pt idx="12">
                  <c:v>13.371425940489321</c:v>
                </c:pt>
                <c:pt idx="13">
                  <c:v>10.571800000000167</c:v>
                </c:pt>
                <c:pt idx="14" formatCode="0.00000">
                  <c:v>10.571800000000167</c:v>
                </c:pt>
                <c:pt idx="15" formatCode="0.00000">
                  <c:v>10.647694803546035</c:v>
                </c:pt>
                <c:pt idx="16" formatCode="0.00000">
                  <c:v>10.723589607091904</c:v>
                </c:pt>
                <c:pt idx="17" formatCode="0.00000">
                  <c:v>10.799484410637772</c:v>
                </c:pt>
                <c:pt idx="18" formatCode="0.00000">
                  <c:v>10.87537921418364</c:v>
                </c:pt>
                <c:pt idx="19" formatCode="0.00000">
                  <c:v>10.95127401772951</c:v>
                </c:pt>
                <c:pt idx="20" formatCode="0.00000">
                  <c:v>11.027168821275378</c:v>
                </c:pt>
                <c:pt idx="21" formatCode="0.00000">
                  <c:v>11.103063624821246</c:v>
                </c:pt>
                <c:pt idx="22" formatCode="0.00000">
                  <c:v>11.178958428367116</c:v>
                </c:pt>
                <c:pt idx="23" formatCode="0.00000">
                  <c:v>11.254853231912984</c:v>
                </c:pt>
                <c:pt idx="24" formatCode="0.00000">
                  <c:v>11.330748035458852</c:v>
                </c:pt>
                <c:pt idx="25" formatCode="0.00000">
                  <c:v>11.406642839004721</c:v>
                </c:pt>
                <c:pt idx="26" formatCode="0.00000">
                  <c:v>11.482537642550589</c:v>
                </c:pt>
                <c:pt idx="27" formatCode="0.00000">
                  <c:v>11.558432446096457</c:v>
                </c:pt>
                <c:pt idx="28" formatCode="0.00000">
                  <c:v>11.634327249642327</c:v>
                </c:pt>
                <c:pt idx="29" formatCode="0.00000">
                  <c:v>11.710222053188195</c:v>
                </c:pt>
                <c:pt idx="30" formatCode="0.00000">
                  <c:v>11.786116856734065</c:v>
                </c:pt>
                <c:pt idx="31" formatCode="0.00000">
                  <c:v>11.862011660279933</c:v>
                </c:pt>
                <c:pt idx="32" formatCode="0.00000">
                  <c:v>11.937906463825801</c:v>
                </c:pt>
                <c:pt idx="33" formatCode="0.00000">
                  <c:v>12.013801267371669</c:v>
                </c:pt>
                <c:pt idx="34" formatCode="0.00000">
                  <c:v>12.089696070917539</c:v>
                </c:pt>
                <c:pt idx="35" formatCode="0.00000">
                  <c:v>12.165590874463406</c:v>
                </c:pt>
                <c:pt idx="36" formatCode="0.00000">
                  <c:v>12.241485678009274</c:v>
                </c:pt>
                <c:pt idx="37" formatCode="0.00000">
                  <c:v>12.317380481555144</c:v>
                </c:pt>
                <c:pt idx="38" formatCode="0.00000">
                  <c:v>12.393275285101012</c:v>
                </c:pt>
                <c:pt idx="39" formatCode="0.00000">
                  <c:v>12.46917008864688</c:v>
                </c:pt>
                <c:pt idx="40" formatCode="0.00000">
                  <c:v>12.54506489219275</c:v>
                </c:pt>
                <c:pt idx="41" formatCode="0.00000">
                  <c:v>12.620959695738618</c:v>
                </c:pt>
                <c:pt idx="42" formatCode="0.00000">
                  <c:v>12.696854499284488</c:v>
                </c:pt>
                <c:pt idx="43" formatCode="0.00000">
                  <c:v>12.772749302830356</c:v>
                </c:pt>
                <c:pt idx="44" formatCode="0.00000">
                  <c:v>12.848644106376224</c:v>
                </c:pt>
                <c:pt idx="45" formatCode="0.00000">
                  <c:v>12.924538909922092</c:v>
                </c:pt>
                <c:pt idx="46" formatCode="0.00000">
                  <c:v>13.000433713467961</c:v>
                </c:pt>
                <c:pt idx="47" formatCode="0.00000">
                  <c:v>13.076328517013829</c:v>
                </c:pt>
                <c:pt idx="48" formatCode="0.00000">
                  <c:v>13.152223320559699</c:v>
                </c:pt>
                <c:pt idx="49" formatCode="0.00000">
                  <c:v>13.228118124105567</c:v>
                </c:pt>
                <c:pt idx="50" formatCode="0.00000">
                  <c:v>13.304012927651435</c:v>
                </c:pt>
                <c:pt idx="51" formatCode="0.00000">
                  <c:v>13.379907731197305</c:v>
                </c:pt>
                <c:pt idx="52" formatCode="0.00000">
                  <c:v>13.455802534743173</c:v>
                </c:pt>
                <c:pt idx="53" formatCode="0.00000">
                  <c:v>13.531697338289042</c:v>
                </c:pt>
                <c:pt idx="54" formatCode="0.00000">
                  <c:v>13.60759214183491</c:v>
                </c:pt>
                <c:pt idx="55" formatCode="0.00000">
                  <c:v>13.683486945380778</c:v>
                </c:pt>
                <c:pt idx="56" formatCode="0.00000">
                  <c:v>13.759381748926646</c:v>
                </c:pt>
                <c:pt idx="57" formatCode="0.00000">
                  <c:v>13.835276552472514</c:v>
                </c:pt>
                <c:pt idx="58" formatCode="0.00000">
                  <c:v>13.911171356018384</c:v>
                </c:pt>
                <c:pt idx="59" formatCode="0.00000">
                  <c:v>13.987066159564252</c:v>
                </c:pt>
                <c:pt idx="60" formatCode="0.00000">
                  <c:v>14.062960963110122</c:v>
                </c:pt>
              </c:numCache>
            </c:numRef>
          </c:yVal>
          <c:smooth val="1"/>
          <c:extLst>
            <c:ext xmlns:c16="http://schemas.microsoft.com/office/drawing/2014/chart" uri="{C3380CC4-5D6E-409C-BE32-E72D297353CC}">
              <c16:uniqueId val="{00000001-CA3B-42EA-8AE7-0B01A3D697E2}"/>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Rendimiento</a:t>
                </a:r>
                <a:r>
                  <a:rPr lang="en-US" baseline="0"/>
                  <a:t> [Ton/ha]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Florícola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'CC70-Tendencial'!$G$2:$BK$2</c:f>
              <c:numCache>
                <c:formatCode>General</c:formatCode>
                <c:ptCount val="5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pt idx="37">
                  <c:v>2051</c:v>
                </c:pt>
                <c:pt idx="38">
                  <c:v>2052</c:v>
                </c:pt>
                <c:pt idx="39">
                  <c:v>2053</c:v>
                </c:pt>
                <c:pt idx="40">
                  <c:v>2054</c:v>
                </c:pt>
                <c:pt idx="41">
                  <c:v>2055</c:v>
                </c:pt>
                <c:pt idx="42">
                  <c:v>2056</c:v>
                </c:pt>
                <c:pt idx="43">
                  <c:v>2057</c:v>
                </c:pt>
                <c:pt idx="44">
                  <c:v>2058</c:v>
                </c:pt>
                <c:pt idx="45">
                  <c:v>2059</c:v>
                </c:pt>
                <c:pt idx="46">
                  <c:v>2060</c:v>
                </c:pt>
                <c:pt idx="47">
                  <c:v>2061</c:v>
                </c:pt>
                <c:pt idx="48">
                  <c:v>2062</c:v>
                </c:pt>
                <c:pt idx="49">
                  <c:v>2063</c:v>
                </c:pt>
                <c:pt idx="50">
                  <c:v>2064</c:v>
                </c:pt>
                <c:pt idx="51">
                  <c:v>2065</c:v>
                </c:pt>
                <c:pt idx="52">
                  <c:v>2066</c:v>
                </c:pt>
                <c:pt idx="53">
                  <c:v>2067</c:v>
                </c:pt>
                <c:pt idx="54">
                  <c:v>2068</c:v>
                </c:pt>
                <c:pt idx="55">
                  <c:v>2069</c:v>
                </c:pt>
                <c:pt idx="56">
                  <c:v>2070</c:v>
                </c:pt>
              </c:numCache>
            </c:numRef>
          </c:xVal>
          <c:yVal>
            <c:numRef>
              <c:f>'CC70-Tendencial'!$G$16:$BK$16</c:f>
              <c:numCache>
                <c:formatCode>General</c:formatCode>
                <c:ptCount val="57"/>
                <c:pt idx="0">
                  <c:v>71.313941598573763</c:v>
                </c:pt>
                <c:pt idx="1">
                  <c:v>77.600192829050854</c:v>
                </c:pt>
                <c:pt idx="2">
                  <c:v>63.930904968869726</c:v>
                </c:pt>
                <c:pt idx="3">
                  <c:v>68.002762025316457</c:v>
                </c:pt>
                <c:pt idx="4">
                  <c:v>72.656153620689651</c:v>
                </c:pt>
                <c:pt idx="5">
                  <c:v>60.822164783012298</c:v>
                </c:pt>
                <c:pt idx="6">
                  <c:v>79.535751217038523</c:v>
                </c:pt>
                <c:pt idx="7">
                  <c:v>63.011435803532962</c:v>
                </c:pt>
                <c:pt idx="8">
                  <c:v>47.752700636522462</c:v>
                </c:pt>
                <c:pt idx="9">
                  <c:v>57.706900000000132</c:v>
                </c:pt>
                <c:pt idx="10">
                  <c:v>58.0014456354168</c:v>
                </c:pt>
                <c:pt idx="11">
                  <c:v>58.297494680847578</c:v>
                </c:pt>
                <c:pt idx="12">
                  <c:v>58.59505480994774</c:v>
                </c:pt>
                <c:pt idx="13">
                  <c:v>58.89413373554018</c:v>
                </c:pt>
                <c:pt idx="14">
                  <c:v>59.194739209815332</c:v>
                </c:pt>
                <c:pt idx="15">
                  <c:v>59.496879024532099</c:v>
                </c:pt>
                <c:pt idx="16">
                  <c:v>59.800561011219813</c:v>
                </c:pt>
                <c:pt idx="17">
                  <c:v>60.105793041381247</c:v>
                </c:pt>
                <c:pt idx="18">
                  <c:v>60.41258302669663</c:v>
                </c:pt>
                <c:pt idx="19">
                  <c:v>60.720938919228729</c:v>
                </c:pt>
                <c:pt idx="20">
                  <c:v>61.030868711628962</c:v>
                </c:pt>
                <c:pt idx="21">
                  <c:v>61.342380437344566</c:v>
                </c:pt>
                <c:pt idx="22">
                  <c:v>61.655482170826851</c:v>
                </c:pt>
                <c:pt idx="23">
                  <c:v>61.970182027740449</c:v>
                </c:pt>
                <c:pt idx="24">
                  <c:v>62.286488165173708</c:v>
                </c:pt>
                <c:pt idx="25">
                  <c:v>62.604408781850118</c:v>
                </c:pt>
                <c:pt idx="26">
                  <c:v>62.923952118340814</c:v>
                </c:pt>
                <c:pt idx="27">
                  <c:v>63.245126457278182</c:v>
                </c:pt>
                <c:pt idx="28">
                  <c:v>63.567940123570544</c:v>
                </c:pt>
                <c:pt idx="29">
                  <c:v>63.892401484617935</c:v>
                </c:pt>
                <c:pt idx="30">
                  <c:v>64.218518950529003</c:v>
                </c:pt>
                <c:pt idx="31">
                  <c:v>64.54630097433899</c:v>
                </c:pt>
                <c:pt idx="32">
                  <c:v>64.875756052228851</c:v>
                </c:pt>
                <c:pt idx="33">
                  <c:v>65.20689272374544</c:v>
                </c:pt>
                <c:pt idx="34">
                  <c:v>65.539719572022889</c:v>
                </c:pt>
                <c:pt idx="35">
                  <c:v>65.874245224005094</c:v>
                </c:pt>
                <c:pt idx="36">
                  <c:v>66.210478350669291</c:v>
                </c:pt>
                <c:pt idx="37">
                  <c:v>66.548427667250834</c:v>
                </c:pt>
                <c:pt idx="38">
                  <c:v>66.888101933469102</c:v>
                </c:pt>
                <c:pt idx="39">
                  <c:v>67.229509953754516</c:v>
                </c:pt>
                <c:pt idx="40">
                  <c:v>67.57266057747681</c:v>
                </c:pt>
                <c:pt idx="41">
                  <c:v>67.917562699174354</c:v>
                </c:pt>
                <c:pt idx="42">
                  <c:v>68.26422525878472</c:v>
                </c:pt>
                <c:pt idx="43">
                  <c:v>68.612657241876434</c:v>
                </c:pt>
                <c:pt idx="44">
                  <c:v>68.962867679881853</c:v>
                </c:pt>
                <c:pt idx="45">
                  <c:v>69.314865650331257</c:v>
                </c:pt>
                <c:pt idx="46">
                  <c:v>69.668660277088151</c:v>
                </c:pt>
                <c:pt idx="47">
                  <c:v>70.024260730585794</c:v>
                </c:pt>
                <c:pt idx="48">
                  <c:v>70.381676228064833</c:v>
                </c:pt>
                <c:pt idx="49">
                  <c:v>70.740916033812255</c:v>
                </c:pt>
                <c:pt idx="50">
                  <c:v>71.101989459401508</c:v>
                </c:pt>
                <c:pt idx="51">
                  <c:v>71.464905863933865</c:v>
                </c:pt>
                <c:pt idx="52">
                  <c:v>71.829674654281035</c:v>
                </c:pt>
                <c:pt idx="53">
                  <c:v>72.196305285328933</c:v>
                </c:pt>
                <c:pt idx="54">
                  <c:v>72.564807260222807</c:v>
                </c:pt>
                <c:pt idx="55">
                  <c:v>72.935190130613535</c:v>
                </c:pt>
                <c:pt idx="56">
                  <c:v>73.307463496905214</c:v>
                </c:pt>
              </c:numCache>
            </c:numRef>
          </c:yVal>
          <c:smooth val="1"/>
          <c:extLst>
            <c:ext xmlns:c16="http://schemas.microsoft.com/office/drawing/2014/chart" uri="{C3380CC4-5D6E-409C-BE32-E72D297353CC}">
              <c16:uniqueId val="{00000000-D78C-4D81-95DA-5AF967F865F8}"/>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'CC70-Tendencial'!$G$2:$BK$2</c:f>
              <c:numCache>
                <c:formatCode>General</c:formatCode>
                <c:ptCount val="5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pt idx="37">
                  <c:v>2051</c:v>
                </c:pt>
                <c:pt idx="38">
                  <c:v>2052</c:v>
                </c:pt>
                <c:pt idx="39">
                  <c:v>2053</c:v>
                </c:pt>
                <c:pt idx="40">
                  <c:v>2054</c:v>
                </c:pt>
                <c:pt idx="41">
                  <c:v>2055</c:v>
                </c:pt>
                <c:pt idx="42">
                  <c:v>2056</c:v>
                </c:pt>
                <c:pt idx="43">
                  <c:v>2057</c:v>
                </c:pt>
                <c:pt idx="44">
                  <c:v>2058</c:v>
                </c:pt>
                <c:pt idx="45">
                  <c:v>2059</c:v>
                </c:pt>
                <c:pt idx="46">
                  <c:v>2060</c:v>
                </c:pt>
                <c:pt idx="47">
                  <c:v>2061</c:v>
                </c:pt>
                <c:pt idx="48">
                  <c:v>2062</c:v>
                </c:pt>
                <c:pt idx="49">
                  <c:v>2063</c:v>
                </c:pt>
                <c:pt idx="50">
                  <c:v>2064</c:v>
                </c:pt>
                <c:pt idx="51">
                  <c:v>2065</c:v>
                </c:pt>
                <c:pt idx="52">
                  <c:v>2066</c:v>
                </c:pt>
                <c:pt idx="53">
                  <c:v>2067</c:v>
                </c:pt>
                <c:pt idx="54">
                  <c:v>2068</c:v>
                </c:pt>
                <c:pt idx="55">
                  <c:v>2069</c:v>
                </c:pt>
                <c:pt idx="56">
                  <c:v>2070</c:v>
                </c:pt>
              </c:numCache>
            </c:numRef>
          </c:xVal>
          <c:yVal>
            <c:numRef>
              <c:f>'CC70-Tendencial'!$G$32:$BK$32</c:f>
              <c:numCache>
                <c:formatCode>General</c:formatCode>
                <c:ptCount val="57"/>
                <c:pt idx="0">
                  <c:v>71.313941598573763</c:v>
                </c:pt>
                <c:pt idx="1">
                  <c:v>77.600192829050854</c:v>
                </c:pt>
                <c:pt idx="2">
                  <c:v>63.930904968869726</c:v>
                </c:pt>
                <c:pt idx="3">
                  <c:v>68.002762025316457</c:v>
                </c:pt>
                <c:pt idx="4">
                  <c:v>72.656153620689651</c:v>
                </c:pt>
                <c:pt idx="5">
                  <c:v>60.822164783012298</c:v>
                </c:pt>
                <c:pt idx="6">
                  <c:v>79.535751217038523</c:v>
                </c:pt>
                <c:pt idx="7">
                  <c:v>63.011435803532962</c:v>
                </c:pt>
                <c:pt idx="8">
                  <c:v>47.752700636522462</c:v>
                </c:pt>
                <c:pt idx="9">
                  <c:v>57.706900000000132</c:v>
                </c:pt>
                <c:pt idx="10" formatCode="0.00000">
                  <c:v>57.706900000000132</c:v>
                </c:pt>
                <c:pt idx="11" formatCode="0.00000">
                  <c:v>58.116813546207588</c:v>
                </c:pt>
                <c:pt idx="12" formatCode="0.00000">
                  <c:v>58.526727092415044</c:v>
                </c:pt>
                <c:pt idx="13" formatCode="0.00000">
                  <c:v>58.936640638622492</c:v>
                </c:pt>
                <c:pt idx="14" formatCode="0.00000">
                  <c:v>59.346554184829948</c:v>
                </c:pt>
                <c:pt idx="15" formatCode="0.00000">
                  <c:v>59.756467731037404</c:v>
                </c:pt>
                <c:pt idx="16" formatCode="0.00000">
                  <c:v>60.166381277244859</c:v>
                </c:pt>
                <c:pt idx="17" formatCode="0.00000">
                  <c:v>60.576294823452308</c:v>
                </c:pt>
                <c:pt idx="18" formatCode="0.00000">
                  <c:v>60.986208369659764</c:v>
                </c:pt>
                <c:pt idx="19" formatCode="0.00000">
                  <c:v>61.396121915867219</c:v>
                </c:pt>
                <c:pt idx="20" formatCode="0.00000">
                  <c:v>61.806035462074675</c:v>
                </c:pt>
                <c:pt idx="21" formatCode="0.00000">
                  <c:v>62.215949008282124</c:v>
                </c:pt>
                <c:pt idx="22" formatCode="0.00000">
                  <c:v>62.625862554489579</c:v>
                </c:pt>
                <c:pt idx="23" formatCode="0.00000">
                  <c:v>63.035776100697035</c:v>
                </c:pt>
                <c:pt idx="24" formatCode="0.00000">
                  <c:v>63.445689646904491</c:v>
                </c:pt>
                <c:pt idx="25" formatCode="0.00000">
                  <c:v>63.855603193111946</c:v>
                </c:pt>
                <c:pt idx="26" formatCode="0.00000">
                  <c:v>64.265516739319395</c:v>
                </c:pt>
                <c:pt idx="27" formatCode="0.00000">
                  <c:v>64.675430285526858</c:v>
                </c:pt>
                <c:pt idx="28" formatCode="0.00000">
                  <c:v>65.085343831734306</c:v>
                </c:pt>
                <c:pt idx="29" formatCode="0.00000">
                  <c:v>65.495257377941755</c:v>
                </c:pt>
                <c:pt idx="30" formatCode="0.00000">
                  <c:v>65.905170924149218</c:v>
                </c:pt>
                <c:pt idx="31" formatCode="0.00000">
                  <c:v>66.315084470356666</c:v>
                </c:pt>
                <c:pt idx="32" formatCode="0.00000">
                  <c:v>66.724998016564115</c:v>
                </c:pt>
                <c:pt idx="33" formatCode="0.00000">
                  <c:v>67.134911562771578</c:v>
                </c:pt>
                <c:pt idx="34" formatCode="0.00000">
                  <c:v>67.544825108979026</c:v>
                </c:pt>
                <c:pt idx="35" formatCode="0.00000">
                  <c:v>67.954738655186489</c:v>
                </c:pt>
                <c:pt idx="36" formatCode="0.00000">
                  <c:v>68.364652201393938</c:v>
                </c:pt>
                <c:pt idx="37" formatCode="0.00000">
                  <c:v>68.774565747601386</c:v>
                </c:pt>
                <c:pt idx="38" formatCode="0.00000">
                  <c:v>69.184479293808849</c:v>
                </c:pt>
                <c:pt idx="39" formatCode="0.00000">
                  <c:v>69.594392840016297</c:v>
                </c:pt>
                <c:pt idx="40" formatCode="0.00000">
                  <c:v>70.00430638622376</c:v>
                </c:pt>
                <c:pt idx="41" formatCode="0.00000">
                  <c:v>70.414219932431209</c:v>
                </c:pt>
                <c:pt idx="42" formatCode="0.00000">
                  <c:v>70.824133478638657</c:v>
                </c:pt>
                <c:pt idx="43" formatCode="0.00000">
                  <c:v>71.23404702484612</c:v>
                </c:pt>
                <c:pt idx="44" formatCode="0.00000">
                  <c:v>71.643960571053569</c:v>
                </c:pt>
                <c:pt idx="45" formatCode="0.00000">
                  <c:v>72.053874117261017</c:v>
                </c:pt>
                <c:pt idx="46" formatCode="0.00000">
                  <c:v>72.46378766346848</c:v>
                </c:pt>
                <c:pt idx="47" formatCode="0.00000">
                  <c:v>72.873701209675929</c:v>
                </c:pt>
                <c:pt idx="48" formatCode="0.00000">
                  <c:v>73.283614755883377</c:v>
                </c:pt>
                <c:pt idx="49" formatCode="0.00000">
                  <c:v>73.69352830209084</c:v>
                </c:pt>
                <c:pt idx="50" formatCode="0.00000">
                  <c:v>74.103441848298289</c:v>
                </c:pt>
                <c:pt idx="51" formatCode="0.00000">
                  <c:v>74.513355394505751</c:v>
                </c:pt>
                <c:pt idx="52" formatCode="0.00000">
                  <c:v>74.9232689407132</c:v>
                </c:pt>
                <c:pt idx="53" formatCode="0.00000">
                  <c:v>75.333182486920663</c:v>
                </c:pt>
                <c:pt idx="54" formatCode="0.00000">
                  <c:v>75.743096033128111</c:v>
                </c:pt>
                <c:pt idx="55" formatCode="0.00000">
                  <c:v>76.15300957933556</c:v>
                </c:pt>
                <c:pt idx="56" formatCode="0.00000">
                  <c:v>76.562923125543023</c:v>
                </c:pt>
              </c:numCache>
            </c:numRef>
          </c:yVal>
          <c:smooth val="1"/>
          <c:extLst>
            <c:ext xmlns:c16="http://schemas.microsoft.com/office/drawing/2014/chart" uri="{C3380CC4-5D6E-409C-BE32-E72D297353CC}">
              <c16:uniqueId val="{00000001-D78C-4D81-95DA-5AF967F865F8}"/>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Rendimiento</a:t>
                </a:r>
                <a:r>
                  <a:rPr lang="en-US" baseline="0"/>
                  <a:t> [Ton/ha]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Arroz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'CC70-Tendencial'!$C$17:$BK$17</c:f>
              <c:numCache>
                <c:formatCode>General</c:formatCode>
                <c:ptCount val="61"/>
                <c:pt idx="0">
                  <c:v>4.3399451081938354</c:v>
                </c:pt>
                <c:pt idx="1">
                  <c:v>4.4791927432968537</c:v>
                </c:pt>
                <c:pt idx="2">
                  <c:v>4.2178381873535038</c:v>
                </c:pt>
                <c:pt idx="3">
                  <c:v>3.8209693273180934</c:v>
                </c:pt>
                <c:pt idx="4">
                  <c:v>3.8966781123636114</c:v>
                </c:pt>
                <c:pt idx="5">
                  <c:v>4.4060733051287997</c:v>
                </c:pt>
                <c:pt idx="6">
                  <c:v>4.190502848217065</c:v>
                </c:pt>
                <c:pt idx="7">
                  <c:v>2.9785367215861491</c:v>
                </c:pt>
                <c:pt idx="8">
                  <c:v>4.5259874353834082</c:v>
                </c:pt>
                <c:pt idx="9">
                  <c:v>4.2743933486996308</c:v>
                </c:pt>
                <c:pt idx="10">
                  <c:v>4.2716667305897547</c:v>
                </c:pt>
                <c:pt idx="11">
                  <c:v>4.4205054058263613</c:v>
                </c:pt>
                <c:pt idx="12">
                  <c:v>4.5880063438264829</c:v>
                </c:pt>
                <c:pt idx="13">
                  <c:v>4.2968999999999973</c:v>
                </c:pt>
                <c:pt idx="14">
                  <c:v>4.3282315624999974</c:v>
                </c:pt>
                <c:pt idx="15">
                  <c:v>4.3597915843098933</c:v>
                </c:pt>
                <c:pt idx="16">
                  <c:v>4.3915817312788201</c:v>
                </c:pt>
                <c:pt idx="17">
                  <c:v>4.423603681402728</c:v>
                </c:pt>
                <c:pt idx="18">
                  <c:v>4.4558591249129567</c:v>
                </c:pt>
                <c:pt idx="19">
                  <c:v>4.4883497643654469</c:v>
                </c:pt>
                <c:pt idx="20">
                  <c:v>4.5210773147306114</c:v>
                </c:pt>
                <c:pt idx="21">
                  <c:v>4.5540435034838556</c:v>
                </c:pt>
                <c:pt idx="22">
                  <c:v>4.5872500706967587</c:v>
                </c:pt>
                <c:pt idx="23">
                  <c:v>4.6206987691289223</c:v>
                </c:pt>
                <c:pt idx="24">
                  <c:v>4.6543913643204871</c:v>
                </c:pt>
                <c:pt idx="25">
                  <c:v>4.6883296346853243</c:v>
                </c:pt>
                <c:pt idx="26">
                  <c:v>4.7225153716049046</c:v>
                </c:pt>
                <c:pt idx="27">
                  <c:v>4.7569503795228574</c:v>
                </c:pt>
                <c:pt idx="28">
                  <c:v>4.7916364760402113</c:v>
                </c:pt>
                <c:pt idx="29">
                  <c:v>4.8265754920113375</c:v>
                </c:pt>
                <c:pt idx="30">
                  <c:v>4.8617692716405871</c:v>
                </c:pt>
                <c:pt idx="31">
                  <c:v>4.8972196725796335</c:v>
                </c:pt>
                <c:pt idx="32">
                  <c:v>4.9329285660255264</c:v>
                </c:pt>
                <c:pt idx="33">
                  <c:v>4.9688978368194627</c:v>
                </c:pt>
                <c:pt idx="34">
                  <c:v>5.0051293835462713</c:v>
                </c:pt>
                <c:pt idx="35">
                  <c:v>5.0416251186346299</c:v>
                </c:pt>
                <c:pt idx="36">
                  <c:v>5.0783869684580072</c:v>
                </c:pt>
                <c:pt idx="37">
                  <c:v>5.115416873436347</c:v>
                </c:pt>
                <c:pt idx="38">
                  <c:v>5.1527167881384868</c:v>
                </c:pt>
                <c:pt idx="39">
                  <c:v>5.1902886813853302</c:v>
                </c:pt>
                <c:pt idx="40">
                  <c:v>5.2281345363537648</c:v>
                </c:pt>
                <c:pt idx="41">
                  <c:v>5.2662563506813447</c:v>
                </c:pt>
                <c:pt idx="42">
                  <c:v>5.3046561365717295</c:v>
                </c:pt>
                <c:pt idx="43">
                  <c:v>5.3433359209008984</c:v>
                </c:pt>
                <c:pt idx="44">
                  <c:v>5.3822977453241343</c:v>
                </c:pt>
                <c:pt idx="45">
                  <c:v>5.4215436663837897</c:v>
                </c:pt>
                <c:pt idx="46">
                  <c:v>5.4610757556178386</c:v>
                </c:pt>
                <c:pt idx="47">
                  <c:v>5.5008960996692187</c:v>
                </c:pt>
                <c:pt idx="48">
                  <c:v>5.5410068003959738</c:v>
                </c:pt>
                <c:pt idx="49">
                  <c:v>5.5814099749821944</c:v>
                </c:pt>
                <c:pt idx="50">
                  <c:v>5.6221077560497728</c:v>
                </c:pt>
                <c:pt idx="51">
                  <c:v>5.6631022917709695</c:v>
                </c:pt>
                <c:pt idx="52">
                  <c:v>5.7043957459817998</c:v>
                </c:pt>
                <c:pt idx="53">
                  <c:v>5.7459902982962507</c:v>
                </c:pt>
                <c:pt idx="54">
                  <c:v>5.7878881442213279</c:v>
                </c:pt>
                <c:pt idx="55">
                  <c:v>5.8300914952729421</c:v>
                </c:pt>
                <c:pt idx="56">
                  <c:v>5.8726025790926411</c:v>
                </c:pt>
                <c:pt idx="57">
                  <c:v>5.9154236395651916</c:v>
                </c:pt>
                <c:pt idx="58">
                  <c:v>5.958556936937021</c:v>
                </c:pt>
                <c:pt idx="59">
                  <c:v>6.0020047479355201</c:v>
                </c:pt>
                <c:pt idx="60">
                  <c:v>6.0457693658892167</c:v>
                </c:pt>
              </c:numCache>
            </c:numRef>
          </c:yVal>
          <c:smooth val="1"/>
          <c:extLst>
            <c:ext xmlns:c16="http://schemas.microsoft.com/office/drawing/2014/chart" uri="{C3380CC4-5D6E-409C-BE32-E72D297353CC}">
              <c16:uniqueId val="{00000000-F75A-4357-99CF-A3AB99A4808F}"/>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'CC70-Tendencial'!$C$2:$BK$2</c:f>
              <c:numCache>
                <c:formatCode>General</c:formatCode>
                <c:ptCount val="6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numCache>
            </c:numRef>
          </c:xVal>
          <c:yVal>
            <c:numRef>
              <c:f>'CC70-Tendencial'!$C$33:$BK$33</c:f>
              <c:numCache>
                <c:formatCode>General</c:formatCode>
                <c:ptCount val="61"/>
                <c:pt idx="0">
                  <c:v>4.3399451081938354</c:v>
                </c:pt>
                <c:pt idx="1">
                  <c:v>4.4791927432968537</c:v>
                </c:pt>
                <c:pt idx="2">
                  <c:v>4.2178381873535038</c:v>
                </c:pt>
                <c:pt idx="3">
                  <c:v>3.8209693273180934</c:v>
                </c:pt>
                <c:pt idx="4">
                  <c:v>3.8966781123636114</c:v>
                </c:pt>
                <c:pt idx="5">
                  <c:v>4.4060733051287997</c:v>
                </c:pt>
                <c:pt idx="6">
                  <c:v>4.190502848217065</c:v>
                </c:pt>
                <c:pt idx="7">
                  <c:v>2.9785367215861491</c:v>
                </c:pt>
                <c:pt idx="8">
                  <c:v>4.5259874353834082</c:v>
                </c:pt>
                <c:pt idx="9">
                  <c:v>4.2743933486996308</c:v>
                </c:pt>
                <c:pt idx="10">
                  <c:v>4.2716667305897547</c:v>
                </c:pt>
                <c:pt idx="11">
                  <c:v>4.4205054058263613</c:v>
                </c:pt>
                <c:pt idx="12">
                  <c:v>4.5880063438264829</c:v>
                </c:pt>
                <c:pt idx="13">
                  <c:v>4.2968999999999973</c:v>
                </c:pt>
                <c:pt idx="14" formatCode="0.00000">
                  <c:v>4.2968999999999973</c:v>
                </c:pt>
                <c:pt idx="15" formatCode="0.00000">
                  <c:v>4.3469733255846386</c:v>
                </c:pt>
                <c:pt idx="16" formatCode="0.00000">
                  <c:v>4.3970466511692798</c:v>
                </c:pt>
                <c:pt idx="17" formatCode="0.00000">
                  <c:v>4.4471199767539211</c:v>
                </c:pt>
                <c:pt idx="18" formatCode="0.00000">
                  <c:v>4.4971933023385624</c:v>
                </c:pt>
                <c:pt idx="19" formatCode="0.00000">
                  <c:v>4.5472666279232037</c:v>
                </c:pt>
                <c:pt idx="20" formatCode="0.00000">
                  <c:v>4.597339953507845</c:v>
                </c:pt>
                <c:pt idx="21" formatCode="0.00000">
                  <c:v>4.6474132790924862</c:v>
                </c:pt>
                <c:pt idx="22" formatCode="0.00000">
                  <c:v>4.6974866046771275</c:v>
                </c:pt>
                <c:pt idx="23" formatCode="0.00000">
                  <c:v>4.7475599302617688</c:v>
                </c:pt>
                <c:pt idx="24" formatCode="0.00000">
                  <c:v>4.7976332558464101</c:v>
                </c:pt>
                <c:pt idx="25" formatCode="0.00000">
                  <c:v>4.8477065814310514</c:v>
                </c:pt>
                <c:pt idx="26" formatCode="0.00000">
                  <c:v>4.8977799070156927</c:v>
                </c:pt>
                <c:pt idx="27" formatCode="0.00000">
                  <c:v>4.9478532326003339</c:v>
                </c:pt>
                <c:pt idx="28" formatCode="0.00000">
                  <c:v>4.9979265581849761</c:v>
                </c:pt>
                <c:pt idx="29" formatCode="0.00000">
                  <c:v>5.0479998837696174</c:v>
                </c:pt>
                <c:pt idx="30" formatCode="0.00000">
                  <c:v>5.0980732093542587</c:v>
                </c:pt>
                <c:pt idx="31" formatCode="0.00000">
                  <c:v>5.1481465349389</c:v>
                </c:pt>
                <c:pt idx="32" formatCode="0.00000">
                  <c:v>5.1982198605235412</c:v>
                </c:pt>
                <c:pt idx="33" formatCode="0.00000">
                  <c:v>5.2482931861081825</c:v>
                </c:pt>
                <c:pt idx="34" formatCode="0.00000">
                  <c:v>5.2983665116928238</c:v>
                </c:pt>
                <c:pt idx="35" formatCode="0.00000">
                  <c:v>5.3484398372774651</c:v>
                </c:pt>
                <c:pt idx="36" formatCode="0.00000">
                  <c:v>5.3985131628621064</c:v>
                </c:pt>
                <c:pt idx="37" formatCode="0.00000">
                  <c:v>5.4485864884467476</c:v>
                </c:pt>
                <c:pt idx="38" formatCode="0.00000">
                  <c:v>5.4986598140313889</c:v>
                </c:pt>
                <c:pt idx="39" formatCode="0.00000">
                  <c:v>5.5487331396160302</c:v>
                </c:pt>
                <c:pt idx="40" formatCode="0.00000">
                  <c:v>5.5988064652006715</c:v>
                </c:pt>
                <c:pt idx="41" formatCode="0.00000">
                  <c:v>5.6488797907853128</c:v>
                </c:pt>
                <c:pt idx="42" formatCode="0.00000">
                  <c:v>5.6989531163699541</c:v>
                </c:pt>
                <c:pt idx="43" formatCode="0.00000">
                  <c:v>5.7490264419545953</c:v>
                </c:pt>
                <c:pt idx="44" formatCode="0.00000">
                  <c:v>5.7990997675392366</c:v>
                </c:pt>
                <c:pt idx="45" formatCode="0.00000">
                  <c:v>5.8491730931238779</c:v>
                </c:pt>
                <c:pt idx="46" formatCode="0.00000">
                  <c:v>5.8992464187085192</c:v>
                </c:pt>
                <c:pt idx="47" formatCode="0.00000">
                  <c:v>5.9493197442931613</c:v>
                </c:pt>
                <c:pt idx="48" formatCode="0.00000">
                  <c:v>5.9993930698778017</c:v>
                </c:pt>
                <c:pt idx="49" formatCode="0.00000">
                  <c:v>6.0494663954624439</c:v>
                </c:pt>
                <c:pt idx="50" formatCode="0.00000">
                  <c:v>6.0995397210470843</c:v>
                </c:pt>
                <c:pt idx="51" formatCode="0.00000">
                  <c:v>6.1496130466317265</c:v>
                </c:pt>
                <c:pt idx="52" formatCode="0.00000">
                  <c:v>6.1996863722163678</c:v>
                </c:pt>
                <c:pt idx="53" formatCode="0.00000">
                  <c:v>6.249759697801009</c:v>
                </c:pt>
                <c:pt idx="54" formatCode="0.00000">
                  <c:v>6.2998330233856503</c:v>
                </c:pt>
                <c:pt idx="55" formatCode="0.00000">
                  <c:v>6.3499063489702916</c:v>
                </c:pt>
                <c:pt idx="56" formatCode="0.00000">
                  <c:v>6.3999796745549329</c:v>
                </c:pt>
                <c:pt idx="57" formatCode="0.00000">
                  <c:v>6.4500530001395742</c:v>
                </c:pt>
                <c:pt idx="58" formatCode="0.00000">
                  <c:v>6.5001263257242154</c:v>
                </c:pt>
                <c:pt idx="59" formatCode="0.00000">
                  <c:v>6.5501996513088567</c:v>
                </c:pt>
                <c:pt idx="60" formatCode="0.00000">
                  <c:v>6.600272976893498</c:v>
                </c:pt>
              </c:numCache>
            </c:numRef>
          </c:yVal>
          <c:smooth val="1"/>
          <c:extLst>
            <c:ext xmlns:c16="http://schemas.microsoft.com/office/drawing/2014/chart" uri="{C3380CC4-5D6E-409C-BE32-E72D297353CC}">
              <c16:uniqueId val="{00000001-F75A-4357-99CF-A3AB99A4808F}"/>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Rendimiento</a:t>
                </a:r>
                <a:r>
                  <a:rPr lang="en-US" baseline="0"/>
                  <a:t> [Ton/ha]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Caña de azúcar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'CC70-Tendencial'!$K$43:$BK$43</c:f>
              <c:numCache>
                <c:formatCode>General</c:formatCode>
                <c:ptCount val="53"/>
                <c:pt idx="0">
                  <c:v>7.8752339030052596</c:v>
                </c:pt>
                <c:pt idx="1">
                  <c:v>10.058060403835071</c:v>
                </c:pt>
                <c:pt idx="2">
                  <c:v>11.383800597439361</c:v>
                </c:pt>
                <c:pt idx="3">
                  <c:v>11.689188693991341</c:v>
                </c:pt>
                <c:pt idx="4">
                  <c:v>8.137195131641846</c:v>
                </c:pt>
                <c:pt idx="5">
                  <c:v>9.2253121368809765</c:v>
                </c:pt>
                <c:pt idx="6">
                  <c:v>9.8127065578420005</c:v>
                </c:pt>
                <c:pt idx="7">
                  <c:v>9.8608479204554342</c:v>
                </c:pt>
                <c:pt idx="8">
                  <c:v>10.47950809310038</c:v>
                </c:pt>
                <c:pt idx="9">
                  <c:v>10.512137859668075</c:v>
                </c:pt>
                <c:pt idx="10">
                  <c:v>10.544862368798878</c:v>
                </c:pt>
                <c:pt idx="11">
                  <c:v>10.577681905818547</c:v>
                </c:pt>
                <c:pt idx="12">
                  <c:v>10.610596756911683</c:v>
                </c:pt>
                <c:pt idx="13">
                  <c:v>10.643607209124303</c:v>
                </c:pt>
                <c:pt idx="14">
                  <c:v>10.676713550366442</c:v>
                </c:pt>
                <c:pt idx="15">
                  <c:v>10.709916069414753</c:v>
                </c:pt>
                <c:pt idx="16">
                  <c:v>10.743215055915121</c:v>
                </c:pt>
                <c:pt idx="17">
                  <c:v>10.776610800385271</c:v>
                </c:pt>
                <c:pt idx="18">
                  <c:v>10.808922299328724</c:v>
                </c:pt>
                <c:pt idx="19">
                  <c:v>10.841331199936944</c:v>
                </c:pt>
                <c:pt idx="20">
                  <c:v>10.873837795298934</c:v>
                </c:pt>
                <c:pt idx="21">
                  <c:v>10.906442379386149</c:v>
                </c:pt>
                <c:pt idx="22">
                  <c:v>10.939145247055151</c:v>
                </c:pt>
                <c:pt idx="23">
                  <c:v>10.971946694050279</c:v>
                </c:pt>
                <c:pt idx="24">
                  <c:v>11.004847017006306</c:v>
                </c:pt>
                <c:pt idx="25">
                  <c:v>11.037846513451136</c:v>
                </c:pt>
                <c:pt idx="26">
                  <c:v>11.070945481808483</c:v>
                </c:pt>
                <c:pt idx="27">
                  <c:v>11.104144221400574</c:v>
                </c:pt>
                <c:pt idx="28">
                  <c:v>11.13744303245085</c:v>
                </c:pt>
                <c:pt idx="29">
                  <c:v>11.170842216086672</c:v>
                </c:pt>
                <c:pt idx="30">
                  <c:v>11.204342074342058</c:v>
                </c:pt>
                <c:pt idx="31">
                  <c:v>11.237942910160399</c:v>
                </c:pt>
                <c:pt idx="32">
                  <c:v>11.271645027397206</c:v>
                </c:pt>
                <c:pt idx="33">
                  <c:v>11.305448730822841</c:v>
                </c:pt>
                <c:pt idx="34">
                  <c:v>11.339354326125289</c:v>
                </c:pt>
                <c:pt idx="35">
                  <c:v>11.37336211991291</c:v>
                </c:pt>
                <c:pt idx="36">
                  <c:v>11.407472419717211</c:v>
                </c:pt>
                <c:pt idx="37">
                  <c:v>11.441685533995624</c:v>
                </c:pt>
                <c:pt idx="38">
                  <c:v>11.476001772134298</c:v>
                </c:pt>
                <c:pt idx="39">
                  <c:v>11.510421444450891</c:v>
                </c:pt>
                <c:pt idx="40">
                  <c:v>11.54494486219737</c:v>
                </c:pt>
                <c:pt idx="41">
                  <c:v>11.579572337562835</c:v>
                </c:pt>
                <c:pt idx="42">
                  <c:v>11.614304183676328</c:v>
                </c:pt>
                <c:pt idx="43">
                  <c:v>11.64914071460967</c:v>
                </c:pt>
                <c:pt idx="44">
                  <c:v>11.684082245380294</c:v>
                </c:pt>
                <c:pt idx="45">
                  <c:v>11.719129091954098</c:v>
                </c:pt>
                <c:pt idx="46">
                  <c:v>11.754281571248296</c:v>
                </c:pt>
                <c:pt idx="47">
                  <c:v>11.789540001134279</c:v>
                </c:pt>
                <c:pt idx="48">
                  <c:v>11.824904700440491</c:v>
                </c:pt>
                <c:pt idx="49">
                  <c:v>11.86037598895531</c:v>
                </c:pt>
                <c:pt idx="50">
                  <c:v>11.895954187429943</c:v>
                </c:pt>
                <c:pt idx="51">
                  <c:v>11.931639617581308</c:v>
                </c:pt>
                <c:pt idx="52">
                  <c:v>11.967432602094958</c:v>
                </c:pt>
              </c:numCache>
            </c:numRef>
          </c:yVal>
          <c:smooth val="1"/>
          <c:extLst>
            <c:ext xmlns:c16="http://schemas.microsoft.com/office/drawing/2014/chart" uri="{C3380CC4-5D6E-409C-BE32-E72D297353CC}">
              <c16:uniqueId val="{00000000-4945-4F26-9C9E-27CD6569B528}"/>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'CC70-Tendencial'!$K$59:$BK$59</c:f>
              <c:numCache>
                <c:formatCode>General</c:formatCode>
                <c:ptCount val="53"/>
                <c:pt idx="0">
                  <c:v>7.8752339030052596</c:v>
                </c:pt>
                <c:pt idx="1">
                  <c:v>10.058060403835071</c:v>
                </c:pt>
                <c:pt idx="2">
                  <c:v>11.383800597439361</c:v>
                </c:pt>
                <c:pt idx="3">
                  <c:v>11.689188693991341</c:v>
                </c:pt>
                <c:pt idx="4">
                  <c:v>8.137195131641846</c:v>
                </c:pt>
                <c:pt idx="5" formatCode="0.00000">
                  <c:v>9.2179318871714724</c:v>
                </c:pt>
                <c:pt idx="6" formatCode="0.00000">
                  <c:v>9.8009313099725901</c:v>
                </c:pt>
                <c:pt idx="7" formatCode="0.00000">
                  <c:v>9.8450705637827056</c:v>
                </c:pt>
                <c:pt idx="8" formatCode="0.00000">
                  <c:v>10.45854907691418</c:v>
                </c:pt>
                <c:pt idx="9" formatCode="0.00000">
                  <c:v>10.486908728804872</c:v>
                </c:pt>
                <c:pt idx="10" formatCode="0.00000">
                  <c:v>10.51533675416624</c:v>
                </c:pt>
                <c:pt idx="11" formatCode="0.00000">
                  <c:v>10.543833323719928</c:v>
                </c:pt>
                <c:pt idx="12" formatCode="0.00000">
                  <c:v>10.5723986085868</c:v>
                </c:pt>
                <c:pt idx="13" formatCode="0.00000">
                  <c:v>10.601032780287806</c:v>
                </c:pt>
                <c:pt idx="14" formatCode="0.00000">
                  <c:v>10.62973601074483</c:v>
                </c:pt>
                <c:pt idx="15" formatCode="0.00000">
                  <c:v>10.658508472281561</c:v>
                </c:pt>
                <c:pt idx="16" formatCode="0.00000">
                  <c:v>10.687350337624363</c:v>
                </c:pt>
                <c:pt idx="17" formatCode="0.00000">
                  <c:v>10.716261779903112</c:v>
                </c:pt>
                <c:pt idx="18" formatCode="0.00000">
                  <c:v>10.744068765532752</c:v>
                </c:pt>
                <c:pt idx="19" formatCode="0.00000">
                  <c:v>10.771946680257347</c:v>
                </c:pt>
                <c:pt idx="20" formatCode="0.00000">
                  <c:v>10.799895698290902</c:v>
                </c:pt>
                <c:pt idx="21" formatCode="0.00000">
                  <c:v>10.827915994254569</c:v>
                </c:pt>
                <c:pt idx="22" formatCode="0.00000">
                  <c:v>10.856007743177532</c:v>
                </c:pt>
                <c:pt idx="23" formatCode="0.00000">
                  <c:v>10.884171120497877</c:v>
                </c:pt>
                <c:pt idx="24" formatCode="0.00000">
                  <c:v>10.912406302063452</c:v>
                </c:pt>
                <c:pt idx="25" formatCode="0.00000">
                  <c:v>10.940713464132765</c:v>
                </c:pt>
                <c:pt idx="26" formatCode="0.00000">
                  <c:v>10.969092783375846</c:v>
                </c:pt>
                <c:pt idx="27" formatCode="0.00000">
                  <c:v>10.997544436875128</c:v>
                </c:pt>
                <c:pt idx="28" formatCode="0.00000">
                  <c:v>11.026068602126342</c:v>
                </c:pt>
                <c:pt idx="29" formatCode="0.00000">
                  <c:v>11.054665457039372</c:v>
                </c:pt>
                <c:pt idx="30" formatCode="0.00000">
                  <c:v>11.083335179939164</c:v>
                </c:pt>
                <c:pt idx="31" formatCode="0.00000">
                  <c:v>11.112077949566602</c:v>
                </c:pt>
                <c:pt idx="32" formatCode="0.00000">
                  <c:v>11.140893945079398</c:v>
                </c:pt>
                <c:pt idx="33" formatCode="0.00000">
                  <c:v>11.169783346052967</c:v>
                </c:pt>
                <c:pt idx="34" formatCode="0.00000">
                  <c:v>11.198746332481335</c:v>
                </c:pt>
                <c:pt idx="35" formatCode="0.00000">
                  <c:v>11.227783084778025</c:v>
                </c:pt>
                <c:pt idx="36" formatCode="0.00000">
                  <c:v>11.256893783776944</c:v>
                </c:pt>
                <c:pt idx="37" formatCode="0.00000">
                  <c:v>11.286078610733282</c:v>
                </c:pt>
                <c:pt idx="38" formatCode="0.00000">
                  <c:v>11.315337747324417</c:v>
                </c:pt>
                <c:pt idx="39" formatCode="0.00000">
                  <c:v>11.344671375650799</c:v>
                </c:pt>
                <c:pt idx="40" formatCode="0.00000">
                  <c:v>11.37407967823685</c:v>
                </c:pt>
                <c:pt idx="41" formatCode="0.00000">
                  <c:v>11.403562838031879</c:v>
                </c:pt>
                <c:pt idx="42" formatCode="0.00000">
                  <c:v>11.433121038410977</c:v>
                </c:pt>
                <c:pt idx="43" formatCode="0.00000">
                  <c:v>11.462754463175916</c:v>
                </c:pt>
                <c:pt idx="44" formatCode="0.00000">
                  <c:v>11.492463296556057</c:v>
                </c:pt>
                <c:pt idx="45" formatCode="0.00000">
                  <c:v>11.522247723209269</c:v>
                </c:pt>
                <c:pt idx="46" formatCode="0.00000">
                  <c:v>11.552107928222824</c:v>
                </c:pt>
                <c:pt idx="47" formatCode="0.00000">
                  <c:v>11.582044097114315</c:v>
                </c:pt>
                <c:pt idx="48" formatCode="0.00000">
                  <c:v>11.612056415832562</c:v>
                </c:pt>
                <c:pt idx="49" formatCode="0.00000">
                  <c:v>11.642145070758533</c:v>
                </c:pt>
                <c:pt idx="50" formatCode="0.00000">
                  <c:v>11.67231024870626</c:v>
                </c:pt>
                <c:pt idx="51" formatCode="0.00000">
                  <c:v>11.702552136923746</c:v>
                </c:pt>
                <c:pt idx="52" formatCode="0.00000">
                  <c:v>11.732870923093895</c:v>
                </c:pt>
              </c:numCache>
            </c:numRef>
          </c:yVal>
          <c:smooth val="1"/>
          <c:extLst>
            <c:ext xmlns:c16="http://schemas.microsoft.com/office/drawing/2014/chart" uri="{C3380CC4-5D6E-409C-BE32-E72D297353CC}">
              <c16:uniqueId val="{00000001-4945-4F26-9C9E-27CD6569B528}"/>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Banano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'CC70-Tendencial'!$K$74:$BK$74</c:f>
              <c:numCache>
                <c:formatCode>General</c:formatCode>
                <c:ptCount val="53"/>
                <c:pt idx="0">
                  <c:v>6.4412943479101799</c:v>
                </c:pt>
                <c:pt idx="1">
                  <c:v>6.4224338951767495</c:v>
                </c:pt>
                <c:pt idx="2">
                  <c:v>6.4986761916816302</c:v>
                </c:pt>
                <c:pt idx="3">
                  <c:v>6.55878148572834</c:v>
                </c:pt>
                <c:pt idx="4">
                  <c:v>5.9578210989000002</c:v>
                </c:pt>
                <c:pt idx="5">
                  <c:v>6.017399309889</c:v>
                </c:pt>
                <c:pt idx="6">
                  <c:v>6.07757330298789</c:v>
                </c:pt>
                <c:pt idx="7">
                  <c:v>6.138349036017769</c:v>
                </c:pt>
                <c:pt idx="8">
                  <c:v>6.138349036017769</c:v>
                </c:pt>
                <c:pt idx="9">
                  <c:v>6.138349036017769</c:v>
                </c:pt>
                <c:pt idx="10">
                  <c:v>6.138349036017769</c:v>
                </c:pt>
                <c:pt idx="11">
                  <c:v>6.138349036017769</c:v>
                </c:pt>
                <c:pt idx="12">
                  <c:v>6.138349036017769</c:v>
                </c:pt>
                <c:pt idx="13">
                  <c:v>6.138349036017769</c:v>
                </c:pt>
                <c:pt idx="14">
                  <c:v>6.138349036017769</c:v>
                </c:pt>
                <c:pt idx="15">
                  <c:v>6.138349036017769</c:v>
                </c:pt>
                <c:pt idx="16">
                  <c:v>6.138349036017769</c:v>
                </c:pt>
                <c:pt idx="17">
                  <c:v>6.138349036017769</c:v>
                </c:pt>
                <c:pt idx="18">
                  <c:v>6.138349036017769</c:v>
                </c:pt>
                <c:pt idx="19">
                  <c:v>6.138349036017769</c:v>
                </c:pt>
                <c:pt idx="20">
                  <c:v>6.138349036017769</c:v>
                </c:pt>
                <c:pt idx="21">
                  <c:v>6.138349036017769</c:v>
                </c:pt>
                <c:pt idx="22">
                  <c:v>6.138349036017769</c:v>
                </c:pt>
                <c:pt idx="23">
                  <c:v>6.138349036017769</c:v>
                </c:pt>
                <c:pt idx="24">
                  <c:v>6.138349036017769</c:v>
                </c:pt>
                <c:pt idx="25">
                  <c:v>6.138349036017769</c:v>
                </c:pt>
                <c:pt idx="26">
                  <c:v>6.138349036017769</c:v>
                </c:pt>
                <c:pt idx="27">
                  <c:v>6.138349036017769</c:v>
                </c:pt>
                <c:pt idx="28">
                  <c:v>6.138349036017769</c:v>
                </c:pt>
                <c:pt idx="29">
                  <c:v>6.138349036017769</c:v>
                </c:pt>
                <c:pt idx="30">
                  <c:v>6.138349036017769</c:v>
                </c:pt>
                <c:pt idx="31">
                  <c:v>6.138349036017769</c:v>
                </c:pt>
                <c:pt idx="32">
                  <c:v>6.138349036017769</c:v>
                </c:pt>
                <c:pt idx="33">
                  <c:v>6.138349036017769</c:v>
                </c:pt>
                <c:pt idx="34">
                  <c:v>6.138349036017769</c:v>
                </c:pt>
                <c:pt idx="35">
                  <c:v>6.138349036017769</c:v>
                </c:pt>
                <c:pt idx="36">
                  <c:v>6.138349036017769</c:v>
                </c:pt>
                <c:pt idx="37">
                  <c:v>6.138349036017769</c:v>
                </c:pt>
                <c:pt idx="38">
                  <c:v>6.138349036017769</c:v>
                </c:pt>
                <c:pt idx="39">
                  <c:v>6.138349036017769</c:v>
                </c:pt>
                <c:pt idx="40">
                  <c:v>6.138349036017769</c:v>
                </c:pt>
                <c:pt idx="41">
                  <c:v>6.138349036017769</c:v>
                </c:pt>
                <c:pt idx="42">
                  <c:v>6.138349036017769</c:v>
                </c:pt>
                <c:pt idx="43">
                  <c:v>6.138349036017769</c:v>
                </c:pt>
                <c:pt idx="44">
                  <c:v>6.138349036017769</c:v>
                </c:pt>
                <c:pt idx="45">
                  <c:v>6.138349036017769</c:v>
                </c:pt>
                <c:pt idx="46">
                  <c:v>6.138349036017769</c:v>
                </c:pt>
                <c:pt idx="47">
                  <c:v>6.138349036017769</c:v>
                </c:pt>
                <c:pt idx="48">
                  <c:v>6.138349036017769</c:v>
                </c:pt>
                <c:pt idx="49">
                  <c:v>6.138349036017769</c:v>
                </c:pt>
                <c:pt idx="50">
                  <c:v>6.138349036017769</c:v>
                </c:pt>
                <c:pt idx="51">
                  <c:v>6.138349036017769</c:v>
                </c:pt>
                <c:pt idx="52">
                  <c:v>6.138349036017769</c:v>
                </c:pt>
              </c:numCache>
            </c:numRef>
          </c:yVal>
          <c:smooth val="1"/>
          <c:extLst>
            <c:ext xmlns:c16="http://schemas.microsoft.com/office/drawing/2014/chart" uri="{C3380CC4-5D6E-409C-BE32-E72D297353CC}">
              <c16:uniqueId val="{00000000-C3B0-41A2-8297-66A21FD63AD8}"/>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'CC70-Tendencial'!$K$90:$BK$90</c:f>
              <c:numCache>
                <c:formatCode>General</c:formatCode>
                <c:ptCount val="53"/>
                <c:pt idx="0">
                  <c:v>6.4412943479101799</c:v>
                </c:pt>
                <c:pt idx="1">
                  <c:v>6.4224338951767495</c:v>
                </c:pt>
                <c:pt idx="2">
                  <c:v>6.4986761916816302</c:v>
                </c:pt>
                <c:pt idx="3">
                  <c:v>6.55878148572834</c:v>
                </c:pt>
                <c:pt idx="4">
                  <c:v>5.9578210989000002</c:v>
                </c:pt>
                <c:pt idx="5" formatCode="0.00000">
                  <c:v>6.017399309889</c:v>
                </c:pt>
                <c:pt idx="6" formatCode="0.00000">
                  <c:v>6.07757330298789</c:v>
                </c:pt>
                <c:pt idx="7" formatCode="0.00000">
                  <c:v>6.138349036017769</c:v>
                </c:pt>
                <c:pt idx="8" formatCode="0.00000">
                  <c:v>6.138349036017769</c:v>
                </c:pt>
                <c:pt idx="9" formatCode="0.00000">
                  <c:v>6.138349036017769</c:v>
                </c:pt>
                <c:pt idx="10" formatCode="0.00000">
                  <c:v>6.138349036017769</c:v>
                </c:pt>
                <c:pt idx="11" formatCode="0.00000">
                  <c:v>6.138349036017769</c:v>
                </c:pt>
                <c:pt idx="12" formatCode="0.00000">
                  <c:v>6.138349036017769</c:v>
                </c:pt>
                <c:pt idx="13" formatCode="0.00000">
                  <c:v>6.138349036017769</c:v>
                </c:pt>
                <c:pt idx="14" formatCode="0.00000">
                  <c:v>6.138349036017769</c:v>
                </c:pt>
                <c:pt idx="15" formatCode="0.00000">
                  <c:v>6.138349036017769</c:v>
                </c:pt>
                <c:pt idx="16" formatCode="0.00000">
                  <c:v>6.138349036017769</c:v>
                </c:pt>
                <c:pt idx="17" formatCode="0.00000">
                  <c:v>6.138349036017769</c:v>
                </c:pt>
                <c:pt idx="18" formatCode="0.00000">
                  <c:v>6.138349036017769</c:v>
                </c:pt>
                <c:pt idx="19" formatCode="0.00000">
                  <c:v>6.138349036017769</c:v>
                </c:pt>
                <c:pt idx="20" formatCode="0.00000">
                  <c:v>6.138349036017769</c:v>
                </c:pt>
                <c:pt idx="21" formatCode="0.00000">
                  <c:v>6.138349036017769</c:v>
                </c:pt>
                <c:pt idx="22" formatCode="0.00000">
                  <c:v>6.138349036017769</c:v>
                </c:pt>
                <c:pt idx="23" formatCode="0.00000">
                  <c:v>6.138349036017769</c:v>
                </c:pt>
                <c:pt idx="24" formatCode="0.00000">
                  <c:v>6.138349036017769</c:v>
                </c:pt>
                <c:pt idx="25" formatCode="0.00000">
                  <c:v>6.138349036017769</c:v>
                </c:pt>
                <c:pt idx="26" formatCode="0.00000">
                  <c:v>6.138349036017769</c:v>
                </c:pt>
                <c:pt idx="27" formatCode="0.00000">
                  <c:v>6.138349036017769</c:v>
                </c:pt>
                <c:pt idx="28" formatCode="0.00000">
                  <c:v>6.138349036017769</c:v>
                </c:pt>
                <c:pt idx="29" formatCode="0.00000">
                  <c:v>6.138349036017769</c:v>
                </c:pt>
                <c:pt idx="30" formatCode="0.00000">
                  <c:v>6.138349036017769</c:v>
                </c:pt>
                <c:pt idx="31" formatCode="0.00000">
                  <c:v>6.138349036017769</c:v>
                </c:pt>
                <c:pt idx="32" formatCode="0.00000">
                  <c:v>6.138349036017769</c:v>
                </c:pt>
                <c:pt idx="33" formatCode="0.00000">
                  <c:v>6.138349036017769</c:v>
                </c:pt>
                <c:pt idx="34" formatCode="0.00000">
                  <c:v>6.138349036017769</c:v>
                </c:pt>
                <c:pt idx="35" formatCode="0.00000">
                  <c:v>6.138349036017769</c:v>
                </c:pt>
                <c:pt idx="36" formatCode="0.00000">
                  <c:v>6.138349036017769</c:v>
                </c:pt>
                <c:pt idx="37" formatCode="0.00000">
                  <c:v>6.138349036017769</c:v>
                </c:pt>
                <c:pt idx="38" formatCode="0.00000">
                  <c:v>6.138349036017769</c:v>
                </c:pt>
                <c:pt idx="39" formatCode="0.00000">
                  <c:v>6.138349036017769</c:v>
                </c:pt>
                <c:pt idx="40" formatCode="0.00000">
                  <c:v>6.138349036017769</c:v>
                </c:pt>
                <c:pt idx="41" formatCode="0.00000">
                  <c:v>6.138349036017769</c:v>
                </c:pt>
                <c:pt idx="42" formatCode="0.00000">
                  <c:v>6.138349036017769</c:v>
                </c:pt>
                <c:pt idx="43" formatCode="0.00000">
                  <c:v>6.138349036017769</c:v>
                </c:pt>
                <c:pt idx="44" formatCode="0.00000">
                  <c:v>6.138349036017769</c:v>
                </c:pt>
                <c:pt idx="45" formatCode="0.00000">
                  <c:v>6.138349036017769</c:v>
                </c:pt>
                <c:pt idx="46" formatCode="0.00000">
                  <c:v>6.138349036017769</c:v>
                </c:pt>
                <c:pt idx="47" formatCode="0.00000">
                  <c:v>6.138349036017769</c:v>
                </c:pt>
                <c:pt idx="48" formatCode="0.00000">
                  <c:v>6.138349036017769</c:v>
                </c:pt>
                <c:pt idx="49" formatCode="0.00000">
                  <c:v>6.138349036017769</c:v>
                </c:pt>
                <c:pt idx="50" formatCode="0.00000">
                  <c:v>6.138349036017769</c:v>
                </c:pt>
                <c:pt idx="51" formatCode="0.00000">
                  <c:v>6.138349036017769</c:v>
                </c:pt>
                <c:pt idx="52" formatCode="0.00000">
                  <c:v>6.138349036017769</c:v>
                </c:pt>
              </c:numCache>
            </c:numRef>
          </c:yVal>
          <c:smooth val="1"/>
          <c:extLst>
            <c:ext xmlns:c16="http://schemas.microsoft.com/office/drawing/2014/chart" uri="{C3380CC4-5D6E-409C-BE32-E72D297353CC}">
              <c16:uniqueId val="{00000001-C3B0-41A2-8297-66A21FD63AD8}"/>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Exportaciones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Cacao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'CC70-Tendencial'!$K$75:$BK$75</c:f>
              <c:numCache>
                <c:formatCode>General</c:formatCode>
                <c:ptCount val="53"/>
                <c:pt idx="0">
                  <c:v>0.15438395645991049</c:v>
                </c:pt>
                <c:pt idx="1">
                  <c:v>0.2012267057146741</c:v>
                </c:pt>
                <c:pt idx="2">
                  <c:v>0.24391120485460657</c:v>
                </c:pt>
                <c:pt idx="3">
                  <c:v>0.2146640968001953</c:v>
                </c:pt>
                <c:pt idx="4">
                  <c:v>0.21361056392682454</c:v>
                </c:pt>
                <c:pt idx="5">
                  <c:v>0.20308375212409918</c:v>
                </c:pt>
                <c:pt idx="6">
                  <c:v>0.2393607880567398</c:v>
                </c:pt>
                <c:pt idx="7">
                  <c:v>0.23341465749310975</c:v>
                </c:pt>
                <c:pt idx="8">
                  <c:v>0.23574880406804086</c:v>
                </c:pt>
                <c:pt idx="9">
                  <c:v>0.23810629210872128</c:v>
                </c:pt>
                <c:pt idx="10">
                  <c:v>0.2404873550298085</c:v>
                </c:pt>
                <c:pt idx="11">
                  <c:v>0.24289222858010659</c:v>
                </c:pt>
                <c:pt idx="12">
                  <c:v>0.24532115086590767</c:v>
                </c:pt>
                <c:pt idx="13">
                  <c:v>0.24777436237456674</c:v>
                </c:pt>
                <c:pt idx="14">
                  <c:v>0.25025210599831238</c:v>
                </c:pt>
                <c:pt idx="15">
                  <c:v>0.25275462705829549</c:v>
                </c:pt>
                <c:pt idx="16">
                  <c:v>0.25528217332887843</c:v>
                </c:pt>
                <c:pt idx="17">
                  <c:v>0.25783499506216723</c:v>
                </c:pt>
                <c:pt idx="18">
                  <c:v>0.26442319261586417</c:v>
                </c:pt>
                <c:pt idx="19">
                  <c:v>0.26944644125972717</c:v>
                </c:pt>
                <c:pt idx="20">
                  <c:v>0.27320158401019423</c:v>
                </c:pt>
                <c:pt idx="21">
                  <c:v>0.28130781924425075</c:v>
                </c:pt>
                <c:pt idx="22">
                  <c:v>0.28859768756985871</c:v>
                </c:pt>
                <c:pt idx="23">
                  <c:v>0.29535890757322503</c:v>
                </c:pt>
                <c:pt idx="24">
                  <c:v>0.30188471643059656</c:v>
                </c:pt>
                <c:pt idx="25">
                  <c:v>0.30694334815927832</c:v>
                </c:pt>
                <c:pt idx="26">
                  <c:v>0.31341033727897438</c:v>
                </c:pt>
                <c:pt idx="27">
                  <c:v>0.31909988281386342</c:v>
                </c:pt>
                <c:pt idx="28">
                  <c:v>0.32666868318353931</c:v>
                </c:pt>
                <c:pt idx="29">
                  <c:v>0.33280253373059726</c:v>
                </c:pt>
                <c:pt idx="30">
                  <c:v>0.33874705808284311</c:v>
                </c:pt>
                <c:pt idx="31">
                  <c:v>0.34487883278384729</c:v>
                </c:pt>
                <c:pt idx="32">
                  <c:v>0.35105663719161195</c:v>
                </c:pt>
                <c:pt idx="33">
                  <c:v>0.35810466410428549</c:v>
                </c:pt>
                <c:pt idx="34">
                  <c:v>0.36456250825699243</c:v>
                </c:pt>
                <c:pt idx="35">
                  <c:v>0.37104959467767096</c:v>
                </c:pt>
                <c:pt idx="36">
                  <c:v>0.37770642722132913</c:v>
                </c:pt>
                <c:pt idx="37">
                  <c:v>0.38440745630198248</c:v>
                </c:pt>
                <c:pt idx="38">
                  <c:v>0.39129458243461984</c:v>
                </c:pt>
                <c:pt idx="39">
                  <c:v>0.39797175855918726</c:v>
                </c:pt>
                <c:pt idx="40">
                  <c:v>0.40472057819084878</c:v>
                </c:pt>
                <c:pt idx="41">
                  <c:v>0.4115350142096868</c:v>
                </c:pt>
                <c:pt idx="42">
                  <c:v>0.41837824224718523</c:v>
                </c:pt>
                <c:pt idx="43">
                  <c:v>0.42521687744617587</c:v>
                </c:pt>
                <c:pt idx="44">
                  <c:v>0.43207389246963934</c:v>
                </c:pt>
                <c:pt idx="45">
                  <c:v>0.43895889293993379</c:v>
                </c:pt>
                <c:pt idx="46">
                  <c:v>0.44587302439938631</c:v>
                </c:pt>
                <c:pt idx="47">
                  <c:v>0.45279568554072197</c:v>
                </c:pt>
                <c:pt idx="48">
                  <c:v>0.45972403741408635</c:v>
                </c:pt>
                <c:pt idx="49">
                  <c:v>0.46664760050298321</c:v>
                </c:pt>
                <c:pt idx="50">
                  <c:v>0.47357986243178296</c:v>
                </c:pt>
                <c:pt idx="51">
                  <c:v>0.48051615245046136</c:v>
                </c:pt>
                <c:pt idx="52">
                  <c:v>0.48745137401845479</c:v>
                </c:pt>
              </c:numCache>
            </c:numRef>
          </c:yVal>
          <c:smooth val="1"/>
          <c:extLst>
            <c:ext xmlns:c16="http://schemas.microsoft.com/office/drawing/2014/chart" uri="{C3380CC4-5D6E-409C-BE32-E72D297353CC}">
              <c16:uniqueId val="{00000000-1604-4CF0-A61F-CACCEF2CACE1}"/>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'CC70-Tendencial'!$K$91:$BK$91</c:f>
              <c:numCache>
                <c:formatCode>General</c:formatCode>
                <c:ptCount val="53"/>
                <c:pt idx="0">
                  <c:v>0.15438395645991049</c:v>
                </c:pt>
                <c:pt idx="1">
                  <c:v>0.2012267057146741</c:v>
                </c:pt>
                <c:pt idx="2">
                  <c:v>0.24391120485460657</c:v>
                </c:pt>
                <c:pt idx="3">
                  <c:v>0.2146640968001953</c:v>
                </c:pt>
                <c:pt idx="4">
                  <c:v>0.21361056392682454</c:v>
                </c:pt>
                <c:pt idx="5" formatCode="0.00000">
                  <c:v>0.20535829014788912</c:v>
                </c:pt>
                <c:pt idx="6" formatCode="0.00000">
                  <c:v>0.243382049296093</c:v>
                </c:pt>
                <c:pt idx="7" formatCode="0.00000">
                  <c:v>0.23864314582095539</c:v>
                </c:pt>
                <c:pt idx="8" formatCode="0.00000">
                  <c:v>0.24234977058194601</c:v>
                </c:pt>
                <c:pt idx="9" formatCode="0.00000">
                  <c:v>0.24610666352357433</c:v>
                </c:pt>
                <c:pt idx="10" formatCode="0.00000">
                  <c:v>0.24991445934697698</c:v>
                </c:pt>
                <c:pt idx="11" formatCode="0.00000">
                  <c:v>0.25377380042049535</c:v>
                </c:pt>
                <c:pt idx="12" formatCode="0.00000">
                  <c:v>0.25768533686954942</c:v>
                </c:pt>
                <c:pt idx="13" formatCode="0.00000">
                  <c:v>0.26164972666754249</c:v>
                </c:pt>
                <c:pt idx="14" formatCode="0.00000">
                  <c:v>0.26566763572780844</c:v>
                </c:pt>
                <c:pt idx="15" formatCode="0.00000">
                  <c:v>0.26973973799661294</c:v>
                </c:pt>
                <c:pt idx="16" formatCode="0.00000">
                  <c:v>0.27386671554722075</c:v>
                </c:pt>
                <c:pt idx="17" formatCode="0.00000">
                  <c:v>0.27804925867504116</c:v>
                </c:pt>
                <c:pt idx="18" formatCode="0.00000">
                  <c:v>0.28663474079559675</c:v>
                </c:pt>
                <c:pt idx="19" formatCode="0.00000">
                  <c:v>0.29358884239659877</c:v>
                </c:pt>
                <c:pt idx="20" formatCode="0.00000">
                  <c:v>0.2992103748079647</c:v>
                </c:pt>
                <c:pt idx="21" formatCode="0.00000">
                  <c:v>0.30966364742407121</c:v>
                </c:pt>
                <c:pt idx="22" formatCode="0.00000">
                  <c:v>0.31930448152729168</c:v>
                </c:pt>
                <c:pt idx="23" formatCode="0.00000">
                  <c:v>0.32843910522142628</c:v>
                </c:pt>
                <c:pt idx="24" formatCode="0.00000">
                  <c:v>0.33738635908283476</c:v>
                </c:pt>
                <c:pt idx="25" formatCode="0.00000">
                  <c:v>0.34475876865250138</c:v>
                </c:pt>
                <c:pt idx="26" formatCode="0.00000">
                  <c:v>0.3537775887205063</c:v>
                </c:pt>
                <c:pt idx="27" formatCode="0.00000">
                  <c:v>0.36198690706404668</c:v>
                </c:pt>
                <c:pt idx="28" formatCode="0.00000">
                  <c:v>0.37240229882923487</c:v>
                </c:pt>
                <c:pt idx="29" formatCode="0.00000">
                  <c:v>0.38125858264177226</c:v>
                </c:pt>
                <c:pt idx="30" formatCode="0.00000">
                  <c:v>0.38996561326496909</c:v>
                </c:pt>
                <c:pt idx="31" formatCode="0.00000">
                  <c:v>0.39895583376435456</c:v>
                </c:pt>
                <c:pt idx="32" formatCode="0.00000">
                  <c:v>0.40806823507152978</c:v>
                </c:pt>
                <c:pt idx="33" formatCode="0.00000">
                  <c:v>0.41826624767380549</c:v>
                </c:pt>
                <c:pt idx="34" formatCode="0.00000">
                  <c:v>0.42785055969040631</c:v>
                </c:pt>
                <c:pt idx="35" formatCode="0.00000">
                  <c:v>0.43754168204390959</c:v>
                </c:pt>
                <c:pt idx="36" formatCode="0.00000">
                  <c:v>0.44750657497183077</c:v>
                </c:pt>
                <c:pt idx="37" formatCode="0.00000">
                  <c:v>0.45759863598187989</c:v>
                </c:pt>
                <c:pt idx="38" formatCode="0.00000">
                  <c:v>0.46798832059180528</c:v>
                </c:pt>
                <c:pt idx="39" formatCode="0.00000">
                  <c:v>0.47820286508471943</c:v>
                </c:pt>
                <c:pt idx="40" formatCode="0.00000">
                  <c:v>0.48857868199199267</c:v>
                </c:pt>
                <c:pt idx="41" formatCode="0.00000">
                  <c:v>0.49910966523350819</c:v>
                </c:pt>
                <c:pt idx="42" formatCode="0.00000">
                  <c:v>0.50975205035397042</c:v>
                </c:pt>
                <c:pt idx="43" formatCode="0.00000">
                  <c:v>0.52046545799411925</c:v>
                </c:pt>
                <c:pt idx="44" formatCode="0.00000">
                  <c:v>0.53127805818066853</c:v>
                </c:pt>
                <c:pt idx="45" formatCode="0.00000">
                  <c:v>0.54220202455940614</c:v>
                </c:pt>
                <c:pt idx="46" formatCode="0.00000">
                  <c:v>0.55323924867475849</c:v>
                </c:pt>
                <c:pt idx="47" formatCode="0.00000">
                  <c:v>0.56436454245795586</c:v>
                </c:pt>
                <c:pt idx="48" formatCode="0.00000">
                  <c:v>0.57557449484243606</c:v>
                </c:pt>
                <c:pt idx="49" formatCode="0.00000">
                  <c:v>0.58685602239255164</c:v>
                </c:pt>
                <c:pt idx="50" formatCode="0.00000">
                  <c:v>0.59822608222382823</c:v>
                </c:pt>
                <c:pt idx="51" formatCode="0.00000">
                  <c:v>0.60967889422914534</c:v>
                </c:pt>
                <c:pt idx="52" formatCode="0.00000">
                  <c:v>0.6212080310491187</c:v>
                </c:pt>
              </c:numCache>
            </c:numRef>
          </c:yVal>
          <c:smooth val="1"/>
          <c:extLst>
            <c:ext xmlns:c16="http://schemas.microsoft.com/office/drawing/2014/chart" uri="{C3380CC4-5D6E-409C-BE32-E72D297353CC}">
              <c16:uniqueId val="{00000001-1604-4CF0-A61F-CACCEF2CACE1}"/>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Exportaciones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Cafe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'CC70-Tendencial'!$K$76:$BK$76</c:f>
              <c:numCache>
                <c:formatCode>General</c:formatCode>
                <c:ptCount val="53"/>
                <c:pt idx="0">
                  <c:v>4.5782228497500002E-3</c:v>
                </c:pt>
                <c:pt idx="1">
                  <c:v>1.83901200912E-3</c:v>
                </c:pt>
                <c:pt idx="2">
                  <c:v>1.9353822414299999E-3</c:v>
                </c:pt>
                <c:pt idx="3">
                  <c:v>4.0226835042900004E-3</c:v>
                </c:pt>
                <c:pt idx="4">
                  <c:v>4.0029408953763147E-3</c:v>
                </c:pt>
                <c:pt idx="5">
                  <c:v>3.8056744086987435E-3</c:v>
                </c:pt>
                <c:pt idx="6">
                  <c:v>4.4854855005675362E-3</c:v>
                </c:pt>
                <c:pt idx="7">
                  <c:v>4.3740583840202688E-3</c:v>
                </c:pt>
                <c:pt idx="8">
                  <c:v>5.1477137832883439E-3</c:v>
                </c:pt>
                <c:pt idx="9">
                  <c:v>5.4377728313434329E-3</c:v>
                </c:pt>
                <c:pt idx="10">
                  <c:v>5.7571744392741521E-3</c:v>
                </c:pt>
                <c:pt idx="11">
                  <c:v>6.0330377329810411E-3</c:v>
                </c:pt>
                <c:pt idx="12">
                  <c:v>6.392300531200921E-3</c:v>
                </c:pt>
                <c:pt idx="13">
                  <c:v>5.9485286303006726E-3</c:v>
                </c:pt>
                <c:pt idx="14">
                  <c:v>6.1758059284482145E-3</c:v>
                </c:pt>
                <c:pt idx="15">
                  <c:v>6.490119439948411E-3</c:v>
                </c:pt>
                <c:pt idx="16">
                  <c:v>6.6836545585732257E-3</c:v>
                </c:pt>
                <c:pt idx="17">
                  <c:v>6.8663108153792602E-3</c:v>
                </c:pt>
                <c:pt idx="18">
                  <c:v>7.0417587296776954E-3</c:v>
                </c:pt>
                <c:pt idx="19">
                  <c:v>7.1755310536532656E-3</c:v>
                </c:pt>
                <c:pt idx="20">
                  <c:v>7.2755329066779423E-3</c:v>
                </c:pt>
                <c:pt idx="21">
                  <c:v>7.4914071352565354E-3</c:v>
                </c:pt>
                <c:pt idx="22">
                  <c:v>7.6855409909604286E-3</c:v>
                </c:pt>
                <c:pt idx="23">
                  <c:v>7.8655966037490619E-3</c:v>
                </c:pt>
                <c:pt idx="24">
                  <c:v>8.0393830671640232E-3</c:v>
                </c:pt>
                <c:pt idx="25">
                  <c:v>8.1740976653173637E-3</c:v>
                </c:pt>
                <c:pt idx="26">
                  <c:v>8.3463177215002057E-3</c:v>
                </c:pt>
                <c:pt idx="27">
                  <c:v>8.4978339578101053E-3</c:v>
                </c:pt>
                <c:pt idx="28">
                  <c:v>8.6993959522368956E-3</c:v>
                </c:pt>
                <c:pt idx="29">
                  <c:v>8.862744315173544E-3</c:v>
                </c:pt>
                <c:pt idx="30">
                  <c:v>9.0210508004598799E-3</c:v>
                </c:pt>
                <c:pt idx="31">
                  <c:v>9.1843438822885211E-3</c:v>
                </c:pt>
                <c:pt idx="32">
                  <c:v>9.348862764646226E-3</c:v>
                </c:pt>
                <c:pt idx="33">
                  <c:v>9.5365562288554032E-3</c:v>
                </c:pt>
                <c:pt idx="34">
                  <c:v>9.7085327487187126E-3</c:v>
                </c:pt>
                <c:pt idx="35">
                  <c:v>9.8812880088798294E-3</c:v>
                </c:pt>
                <c:pt idx="36">
                  <c:v>1.0058563716856041E-2</c:v>
                </c:pt>
                <c:pt idx="37">
                  <c:v>1.0237016406878073E-2</c:v>
                </c:pt>
                <c:pt idx="38">
                  <c:v>1.0420424980411729E-2</c:v>
                </c:pt>
                <c:pt idx="39">
                  <c:v>1.0598242450958173E-2</c:v>
                </c:pt>
                <c:pt idx="40">
                  <c:v>1.0777967833917722E-2</c:v>
                </c:pt>
                <c:pt idx="41">
                  <c:v>1.0959440623232361E-2</c:v>
                </c:pt>
                <c:pt idx="42">
                  <c:v>1.1141680162417695E-2</c:v>
                </c:pt>
                <c:pt idx="43">
                  <c:v>1.1323797391376242E-2</c:v>
                </c:pt>
                <c:pt idx="44">
                  <c:v>1.1506404086815213E-2</c:v>
                </c:pt>
                <c:pt idx="45">
                  <c:v>1.1689756052601221E-2</c:v>
                </c:pt>
                <c:pt idx="46">
                  <c:v>1.1873883795259063E-2</c:v>
                </c:pt>
                <c:pt idx="47">
                  <c:v>1.2058238688800562E-2</c:v>
                </c:pt>
                <c:pt idx="48">
                  <c:v>1.224274513017546E-2</c:v>
                </c:pt>
                <c:pt idx="49">
                  <c:v>1.2427124043157349E-2</c:v>
                </c:pt>
                <c:pt idx="50">
                  <c:v>1.2611734611809144E-2</c:v>
                </c:pt>
                <c:pt idx="51">
                  <c:v>1.2796452451070551E-2</c:v>
                </c:pt>
                <c:pt idx="52">
                  <c:v>1.2981141836806894E-2</c:v>
                </c:pt>
              </c:numCache>
            </c:numRef>
          </c:yVal>
          <c:smooth val="1"/>
          <c:extLst>
            <c:ext xmlns:c16="http://schemas.microsoft.com/office/drawing/2014/chart" uri="{C3380CC4-5D6E-409C-BE32-E72D297353CC}">
              <c16:uniqueId val="{00000000-DB12-45E6-9600-6DC5F4521B48}"/>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'CC70-Tendencial'!$K$92:$BK$92</c:f>
              <c:numCache>
                <c:formatCode>General</c:formatCode>
                <c:ptCount val="53"/>
                <c:pt idx="0">
                  <c:v>4.5782228497500002E-3</c:v>
                </c:pt>
                <c:pt idx="1">
                  <c:v>1.83901200912E-3</c:v>
                </c:pt>
                <c:pt idx="2">
                  <c:v>1.9353822414299999E-3</c:v>
                </c:pt>
                <c:pt idx="3">
                  <c:v>4.0226835042900004E-3</c:v>
                </c:pt>
                <c:pt idx="4">
                  <c:v>4.0029408953763147E-3</c:v>
                </c:pt>
                <c:pt idx="5" formatCode="0.00000">
                  <c:v>3.813285757516141E-3</c:v>
                </c:pt>
                <c:pt idx="6" formatCode="0.00000">
                  <c:v>4.4989419570692383E-3</c:v>
                </c:pt>
                <c:pt idx="7" formatCode="0.00000">
                  <c:v>4.3915546175563496E-3</c:v>
                </c:pt>
                <c:pt idx="8" formatCode="0.00000">
                  <c:v>5.1734523522047847E-3</c:v>
                </c:pt>
                <c:pt idx="9" formatCode="0.00000">
                  <c:v>5.4703994683314933E-3</c:v>
                </c:pt>
                <c:pt idx="10" formatCode="0.00000">
                  <c:v>5.7974746603490709E-3</c:v>
                </c:pt>
                <c:pt idx="11" formatCode="0.00000">
                  <c:v>6.0813020348448894E-3</c:v>
                </c:pt>
                <c:pt idx="12" formatCode="0.00000">
                  <c:v>6.4498312359817286E-3</c:v>
                </c:pt>
                <c:pt idx="13" formatCode="0.00000">
                  <c:v>6.0080139166036797E-3</c:v>
                </c:pt>
                <c:pt idx="14" formatCode="0.00000">
                  <c:v>6.2437397936611445E-3</c:v>
                </c:pt>
                <c:pt idx="15" formatCode="0.00000">
                  <c:v>6.5680008732277922E-3</c:v>
                </c:pt>
                <c:pt idx="16" formatCode="0.00000">
                  <c:v>6.7705420678346772E-3</c:v>
                </c:pt>
                <c:pt idx="17" formatCode="0.00000">
                  <c:v>6.9624391667945703E-3</c:v>
                </c:pt>
                <c:pt idx="18" formatCode="0.00000">
                  <c:v>7.1473851106228599E-3</c:v>
                </c:pt>
                <c:pt idx="19" formatCode="0.00000">
                  <c:v>7.2903395505117177E-3</c:v>
                </c:pt>
                <c:pt idx="20" formatCode="0.00000">
                  <c:v>7.3992169660914665E-3</c:v>
                </c:pt>
                <c:pt idx="21" formatCode="0.00000">
                  <c:v>7.6262524636911532E-3</c:v>
                </c:pt>
                <c:pt idx="22" formatCode="0.00000">
                  <c:v>7.8315662697886756E-3</c:v>
                </c:pt>
                <c:pt idx="23" formatCode="0.00000">
                  <c:v>8.0229085358240436E-3</c:v>
                </c:pt>
                <c:pt idx="24" formatCode="0.00000">
                  <c:v>8.2082101115744672E-3</c:v>
                </c:pt>
                <c:pt idx="25" formatCode="0.00000">
                  <c:v>8.3539278139543455E-3</c:v>
                </c:pt>
                <c:pt idx="26" formatCode="0.00000">
                  <c:v>8.53828302909471E-3</c:v>
                </c:pt>
                <c:pt idx="27" formatCode="0.00000">
                  <c:v>8.7017819727975478E-3</c:v>
                </c:pt>
                <c:pt idx="28" formatCode="0.00000">
                  <c:v>8.9168808510428181E-3</c:v>
                </c:pt>
                <c:pt idx="29" formatCode="0.00000">
                  <c:v>9.0931756673680569E-3</c:v>
                </c:pt>
                <c:pt idx="30" formatCode="0.00000">
                  <c:v>9.2646191720722956E-3</c:v>
                </c:pt>
                <c:pt idx="31" formatCode="0.00000">
                  <c:v>9.4415055109926E-3</c:v>
                </c:pt>
                <c:pt idx="32" formatCode="0.00000">
                  <c:v>9.6199797848209659E-3</c:v>
                </c:pt>
                <c:pt idx="33" formatCode="0.00000">
                  <c:v>9.8226529157210661E-3</c:v>
                </c:pt>
                <c:pt idx="34" formatCode="0.00000">
                  <c:v>1.0009497263928992E-2</c:v>
                </c:pt>
                <c:pt idx="35" formatCode="0.00000">
                  <c:v>1.0197489225163983E-2</c:v>
                </c:pt>
                <c:pt idx="36" formatCode="0.00000">
                  <c:v>1.0390496319512289E-2</c:v>
                </c:pt>
                <c:pt idx="37" formatCode="0.00000">
                  <c:v>1.0585074964711928E-2</c:v>
                </c:pt>
                <c:pt idx="38" formatCode="0.00000">
                  <c:v>1.0785139854726138E-2</c:v>
                </c:pt>
                <c:pt idx="39" formatCode="0.00000">
                  <c:v>1.0979779179192668E-2</c:v>
                </c:pt>
                <c:pt idx="40" formatCode="0.00000">
                  <c:v>1.1176752643772677E-2</c:v>
                </c:pt>
                <c:pt idx="41" formatCode="0.00000">
                  <c:v>1.1375899366915191E-2</c:v>
                </c:pt>
                <c:pt idx="42" formatCode="0.00000">
                  <c:v>1.1576205688751983E-2</c:v>
                </c:pt>
                <c:pt idx="43" formatCode="0.00000">
                  <c:v>1.1776749287031292E-2</c:v>
                </c:pt>
                <c:pt idx="44" formatCode="0.00000">
                  <c:v>1.1978166654374636E-2</c:v>
                </c:pt>
                <c:pt idx="45" formatCode="0.00000">
                  <c:v>1.2180725806810472E-2</c:v>
                </c:pt>
                <c:pt idx="46" formatCode="0.00000">
                  <c:v>1.2384460798455203E-2</c:v>
                </c:pt>
                <c:pt idx="47" formatCode="0.00000">
                  <c:v>1.2588801191107788E-2</c:v>
                </c:pt>
                <c:pt idx="48" formatCode="0.00000">
                  <c:v>1.2793668661033354E-2</c:v>
                </c:pt>
                <c:pt idx="49" formatCode="0.00000">
                  <c:v>1.2998771749142587E-2</c:v>
                </c:pt>
                <c:pt idx="50" formatCode="0.00000">
                  <c:v>1.3204486138564174E-2</c:v>
                </c:pt>
                <c:pt idx="51" formatCode="0.00000">
                  <c:v>1.3410682168721938E-2</c:v>
                </c:pt>
                <c:pt idx="52" formatCode="0.00000">
                  <c:v>1.3617217786810432E-2</c:v>
                </c:pt>
              </c:numCache>
            </c:numRef>
          </c:yVal>
          <c:smooth val="1"/>
          <c:extLst>
            <c:ext xmlns:c16="http://schemas.microsoft.com/office/drawing/2014/chart" uri="{C3380CC4-5D6E-409C-BE32-E72D297353CC}">
              <c16:uniqueId val="{00000001-DB12-45E6-9600-6DC5F4521B48}"/>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Exportaciones M</a:t>
                </a:r>
                <a:r>
                  <a:rPr lang="en-US" sz="1000" b="0" i="0" u="none" strike="noStrike" baseline="0">
                    <a:effectLst/>
                  </a:rPr>
                  <a:t>[Ton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Caña de azúcar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'CC70-Tendencial'!$K$77:$BK$77</c:f>
              <c:numCache>
                <c:formatCode>General</c:formatCode>
                <c:ptCount val="53"/>
                <c:pt idx="0">
                  <c:v>3.8965876210799999E-3</c:v>
                </c:pt>
                <c:pt idx="1">
                  <c:v>5.9730357952980005E-2</c:v>
                </c:pt>
                <c:pt idx="2">
                  <c:v>3.4368561859499998E-2</c:v>
                </c:pt>
                <c:pt idx="3">
                  <c:v>2.1661270735499998E-2</c:v>
                </c:pt>
                <c:pt idx="4">
                  <c:v>2.1554961105063407E-2</c:v>
                </c:pt>
                <c:pt idx="5">
                  <c:v>2.0492724225028781E-2</c:v>
                </c:pt>
                <c:pt idx="6">
                  <c:v>2.4153358250614352E-2</c:v>
                </c:pt>
                <c:pt idx="7">
                  <c:v>2.3553347601943529E-2</c:v>
                </c:pt>
                <c:pt idx="8">
                  <c:v>2.7719312695059884E-2</c:v>
                </c:pt>
                <c:pt idx="9">
                  <c:v>2.7691593382364824E-2</c:v>
                </c:pt>
                <c:pt idx="10">
                  <c:v>2.766390178898246E-2</c:v>
                </c:pt>
                <c:pt idx="11">
                  <c:v>2.7636237887193479E-2</c:v>
                </c:pt>
                <c:pt idx="12">
                  <c:v>2.7608601649306286E-2</c:v>
                </c:pt>
                <c:pt idx="13">
                  <c:v>2.7580993047656981E-2</c:v>
                </c:pt>
                <c:pt idx="14">
                  <c:v>2.7553412054609323E-2</c:v>
                </c:pt>
                <c:pt idx="15">
                  <c:v>2.7525858642554715E-2</c:v>
                </c:pt>
                <c:pt idx="16">
                  <c:v>2.7498332783912161E-2</c:v>
                </c:pt>
                <c:pt idx="17">
                  <c:v>2.7470834451128249E-2</c:v>
                </c:pt>
                <c:pt idx="18">
                  <c:v>2.7443363616677121E-2</c:v>
                </c:pt>
                <c:pt idx="19">
                  <c:v>2.7415920253060444E-2</c:v>
                </c:pt>
                <c:pt idx="20">
                  <c:v>2.7388504332807383E-2</c:v>
                </c:pt>
                <c:pt idx="21">
                  <c:v>2.7361115828474575E-2</c:v>
                </c:pt>
                <c:pt idx="22">
                  <c:v>2.73337547126461E-2</c:v>
                </c:pt>
                <c:pt idx="23">
                  <c:v>2.7306420957933453E-2</c:v>
                </c:pt>
                <c:pt idx="24">
                  <c:v>2.727911453697552E-2</c:v>
                </c:pt>
                <c:pt idx="25">
                  <c:v>2.7251835422438545E-2</c:v>
                </c:pt>
                <c:pt idx="26">
                  <c:v>2.7224583587016106E-2</c:v>
                </c:pt>
                <c:pt idx="27">
                  <c:v>2.7197359003429091E-2</c:v>
                </c:pt>
                <c:pt idx="28">
                  <c:v>2.717016164442566E-2</c:v>
                </c:pt>
                <c:pt idx="29">
                  <c:v>2.7142991482781233E-2</c:v>
                </c:pt>
                <c:pt idx="30">
                  <c:v>2.7115848491298451E-2</c:v>
                </c:pt>
                <c:pt idx="31">
                  <c:v>2.7088732642807152E-2</c:v>
                </c:pt>
                <c:pt idx="32">
                  <c:v>2.7061643910164346E-2</c:v>
                </c:pt>
                <c:pt idx="33">
                  <c:v>2.7034582266254183E-2</c:v>
                </c:pt>
                <c:pt idx="34">
                  <c:v>2.7007547683987929E-2</c:v>
                </c:pt>
                <c:pt idx="35">
                  <c:v>2.6980540136303941E-2</c:v>
                </c:pt>
                <c:pt idx="36">
                  <c:v>2.6953559596167638E-2</c:v>
                </c:pt>
                <c:pt idx="37">
                  <c:v>2.692660603657147E-2</c:v>
                </c:pt>
                <c:pt idx="38">
                  <c:v>2.6899679430534899E-2</c:v>
                </c:pt>
                <c:pt idx="39">
                  <c:v>2.6872779751104362E-2</c:v>
                </c:pt>
                <c:pt idx="40">
                  <c:v>2.6845906971353257E-2</c:v>
                </c:pt>
                <c:pt idx="41">
                  <c:v>2.6819061064381904E-2</c:v>
                </c:pt>
                <c:pt idx="42">
                  <c:v>2.6792242003317521E-2</c:v>
                </c:pt>
                <c:pt idx="43">
                  <c:v>2.6765449761314203E-2</c:v>
                </c:pt>
                <c:pt idx="44">
                  <c:v>2.673868431155289E-2</c:v>
                </c:pt>
                <c:pt idx="45">
                  <c:v>2.6711945627241336E-2</c:v>
                </c:pt>
                <c:pt idx="46">
                  <c:v>2.6685233681614094E-2</c:v>
                </c:pt>
                <c:pt idx="47">
                  <c:v>2.665854844793248E-2</c:v>
                </c:pt>
                <c:pt idx="48">
                  <c:v>2.6631889899484548E-2</c:v>
                </c:pt>
                <c:pt idx="49">
                  <c:v>2.6605258009585065E-2</c:v>
                </c:pt>
                <c:pt idx="50">
                  <c:v>2.657865275157548E-2</c:v>
                </c:pt>
                <c:pt idx="51">
                  <c:v>2.6552074098823906E-2</c:v>
                </c:pt>
                <c:pt idx="52">
                  <c:v>2.6525522024725082E-2</c:v>
                </c:pt>
              </c:numCache>
            </c:numRef>
          </c:yVal>
          <c:smooth val="1"/>
          <c:extLst>
            <c:ext xmlns:c16="http://schemas.microsoft.com/office/drawing/2014/chart" uri="{C3380CC4-5D6E-409C-BE32-E72D297353CC}">
              <c16:uniqueId val="{00000000-947E-4397-8480-963098510112}"/>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'CC70-Tendencial'!$K$93:$BK$93</c:f>
              <c:numCache>
                <c:formatCode>General</c:formatCode>
                <c:ptCount val="53"/>
                <c:pt idx="0">
                  <c:v>3.8965876210799999E-3</c:v>
                </c:pt>
                <c:pt idx="1">
                  <c:v>5.9730357952980005E-2</c:v>
                </c:pt>
                <c:pt idx="2">
                  <c:v>3.4368561859499998E-2</c:v>
                </c:pt>
                <c:pt idx="3">
                  <c:v>2.1661270735499998E-2</c:v>
                </c:pt>
                <c:pt idx="4">
                  <c:v>2.1554961105063407E-2</c:v>
                </c:pt>
                <c:pt idx="5" formatCode="0.00000">
                  <c:v>2.0492724225028781E-2</c:v>
                </c:pt>
                <c:pt idx="6" formatCode="0.00000">
                  <c:v>2.4153358250614352E-2</c:v>
                </c:pt>
                <c:pt idx="7" formatCode="0.00000">
                  <c:v>2.3553347601943529E-2</c:v>
                </c:pt>
                <c:pt idx="8" formatCode="0.00000">
                  <c:v>2.7719312695059884E-2</c:v>
                </c:pt>
                <c:pt idx="9" formatCode="0.00000">
                  <c:v>2.7691593382364824E-2</c:v>
                </c:pt>
                <c:pt idx="10" formatCode="0.00000">
                  <c:v>2.766390178898246E-2</c:v>
                </c:pt>
                <c:pt idx="11" formatCode="0.00000">
                  <c:v>2.7636237887193479E-2</c:v>
                </c:pt>
                <c:pt idx="12" formatCode="0.00000">
                  <c:v>2.7608601649306286E-2</c:v>
                </c:pt>
                <c:pt idx="13" formatCode="0.00000">
                  <c:v>2.7580993047656981E-2</c:v>
                </c:pt>
                <c:pt idx="14" formatCode="0.00000">
                  <c:v>2.7553412054609323E-2</c:v>
                </c:pt>
                <c:pt idx="15" formatCode="0.00000">
                  <c:v>2.7525858642554715E-2</c:v>
                </c:pt>
                <c:pt idx="16" formatCode="0.00000">
                  <c:v>2.7498332783912161E-2</c:v>
                </c:pt>
                <c:pt idx="17" formatCode="0.00000">
                  <c:v>2.7470834451128249E-2</c:v>
                </c:pt>
                <c:pt idx="18" formatCode="0.00000">
                  <c:v>2.7443363616677121E-2</c:v>
                </c:pt>
                <c:pt idx="19" formatCode="0.00000">
                  <c:v>2.7415920253060444E-2</c:v>
                </c:pt>
                <c:pt idx="20" formatCode="0.00000">
                  <c:v>2.7388504332807383E-2</c:v>
                </c:pt>
                <c:pt idx="21" formatCode="0.00000">
                  <c:v>2.7361115828474575E-2</c:v>
                </c:pt>
                <c:pt idx="22" formatCode="0.00000">
                  <c:v>2.73337547126461E-2</c:v>
                </c:pt>
                <c:pt idx="23" formatCode="0.00000">
                  <c:v>2.7306420957933453E-2</c:v>
                </c:pt>
                <c:pt idx="24" formatCode="0.00000">
                  <c:v>2.727911453697552E-2</c:v>
                </c:pt>
                <c:pt idx="25" formatCode="0.00000">
                  <c:v>2.7251835422438545E-2</c:v>
                </c:pt>
                <c:pt idx="26" formatCode="0.00000">
                  <c:v>2.7224583587016106E-2</c:v>
                </c:pt>
                <c:pt idx="27" formatCode="0.00000">
                  <c:v>2.7197359003429091E-2</c:v>
                </c:pt>
                <c:pt idx="28" formatCode="0.00000">
                  <c:v>2.717016164442566E-2</c:v>
                </c:pt>
                <c:pt idx="29" formatCode="0.00000">
                  <c:v>2.7142991482781233E-2</c:v>
                </c:pt>
                <c:pt idx="30" formatCode="0.00000">
                  <c:v>2.7115848491298451E-2</c:v>
                </c:pt>
                <c:pt idx="31" formatCode="0.00000">
                  <c:v>2.7088732642807152E-2</c:v>
                </c:pt>
                <c:pt idx="32" formatCode="0.00000">
                  <c:v>2.7061643910164346E-2</c:v>
                </c:pt>
                <c:pt idx="33" formatCode="0.00000">
                  <c:v>2.7034582266254183E-2</c:v>
                </c:pt>
                <c:pt idx="34" formatCode="0.00000">
                  <c:v>2.7007547683987929E-2</c:v>
                </c:pt>
                <c:pt idx="35" formatCode="0.00000">
                  <c:v>2.6980540136303941E-2</c:v>
                </c:pt>
                <c:pt idx="36" formatCode="0.00000">
                  <c:v>2.6953559596167638E-2</c:v>
                </c:pt>
                <c:pt idx="37" formatCode="0.00000">
                  <c:v>2.692660603657147E-2</c:v>
                </c:pt>
                <c:pt idx="38" formatCode="0.00000">
                  <c:v>2.6899679430534899E-2</c:v>
                </c:pt>
                <c:pt idx="39" formatCode="0.00000">
                  <c:v>2.6872779751104362E-2</c:v>
                </c:pt>
                <c:pt idx="40" formatCode="0.00000">
                  <c:v>2.6845906971353257E-2</c:v>
                </c:pt>
                <c:pt idx="41" formatCode="0.00000">
                  <c:v>2.6819061064381904E-2</c:v>
                </c:pt>
                <c:pt idx="42" formatCode="0.00000">
                  <c:v>2.6792242003317521E-2</c:v>
                </c:pt>
                <c:pt idx="43" formatCode="0.00000">
                  <c:v>2.6765449761314203E-2</c:v>
                </c:pt>
                <c:pt idx="44" formatCode="0.00000">
                  <c:v>2.673868431155289E-2</c:v>
                </c:pt>
                <c:pt idx="45" formatCode="0.00000">
                  <c:v>2.6711945627241336E-2</c:v>
                </c:pt>
                <c:pt idx="46" formatCode="0.00000">
                  <c:v>2.6685233681614094E-2</c:v>
                </c:pt>
                <c:pt idx="47" formatCode="0.00000">
                  <c:v>2.665854844793248E-2</c:v>
                </c:pt>
                <c:pt idx="48" formatCode="0.00000">
                  <c:v>2.6631889899484548E-2</c:v>
                </c:pt>
                <c:pt idx="49" formatCode="0.00000">
                  <c:v>2.6605258009585065E-2</c:v>
                </c:pt>
                <c:pt idx="50" formatCode="0.00000">
                  <c:v>2.657865275157548E-2</c:v>
                </c:pt>
                <c:pt idx="51" formatCode="0.00000">
                  <c:v>2.6552074098823906E-2</c:v>
                </c:pt>
                <c:pt idx="52" formatCode="0.00000">
                  <c:v>2.6525522024725082E-2</c:v>
                </c:pt>
              </c:numCache>
            </c:numRef>
          </c:yVal>
          <c:smooth val="1"/>
          <c:extLst>
            <c:ext xmlns:c16="http://schemas.microsoft.com/office/drawing/2014/chart" uri="{C3380CC4-5D6E-409C-BE32-E72D297353CC}">
              <c16:uniqueId val="{00000001-947E-4397-8480-963098510112}"/>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Exportaciones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Maiz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'CC70-Tendencial'!$K$78:$BK$78</c:f>
              <c:numCache>
                <c:formatCode>General</c:formatCode>
                <c:ptCount val="53"/>
                <c:pt idx="0">
                  <c:v>4.4549999999999999E-5</c:v>
                </c:pt>
                <c:pt idx="1">
                  <c:v>5.1915600000000004E-3</c:v>
                </c:pt>
                <c:pt idx="2">
                  <c:v>9.9000000000000001E-6</c:v>
                </c:pt>
                <c:pt idx="3">
                  <c:v>4.6064700000000005E-3</c:v>
                </c:pt>
                <c:pt idx="4">
                  <c:v>4.5838622717047873E-3</c:v>
                </c:pt>
                <c:pt idx="5">
                  <c:v>4.3579677533026953E-3</c:v>
                </c:pt>
                <c:pt idx="6">
                  <c:v>5.1364355092226458E-3</c:v>
                </c:pt>
                <c:pt idx="7">
                  <c:v>5.0088376832902563E-3</c:v>
                </c:pt>
                <c:pt idx="8">
                  <c:v>5.8947687746291012E-3</c:v>
                </c:pt>
                <c:pt idx="9">
                  <c:v>6.2269222492112768E-3</c:v>
                </c:pt>
                <c:pt idx="10">
                  <c:v>6.5926765829329168E-3</c:v>
                </c:pt>
                <c:pt idx="11">
                  <c:v>6.9085741635421727E-3</c:v>
                </c:pt>
                <c:pt idx="12">
                  <c:v>7.319974488810374E-3</c:v>
                </c:pt>
                <c:pt idx="13">
                  <c:v>6.8118007917845197E-3</c:v>
                </c:pt>
                <c:pt idx="14">
                  <c:v>7.0720614000280438E-3</c:v>
                </c:pt>
                <c:pt idx="15">
                  <c:v>7.4319892342154022E-3</c:v>
                </c:pt>
                <c:pt idx="16">
                  <c:v>7.6536108748294085E-3</c:v>
                </c:pt>
                <c:pt idx="17">
                  <c:v>7.8627748735362376E-3</c:v>
                </c:pt>
                <c:pt idx="18">
                  <c:v>8.0636844287911846E-3</c:v>
                </c:pt>
                <c:pt idx="19">
                  <c:v>8.216870280118185E-3</c:v>
                </c:pt>
                <c:pt idx="20">
                  <c:v>8.3313847666323035E-3</c:v>
                </c:pt>
                <c:pt idx="21">
                  <c:v>8.5785874502786637E-3</c:v>
                </c:pt>
                <c:pt idx="22">
                  <c:v>8.8008947188794907E-3</c:v>
                </c:pt>
                <c:pt idx="23">
                  <c:v>9.0070806586278994E-3</c:v>
                </c:pt>
                <c:pt idx="24">
                  <c:v>9.2060876471899804E-3</c:v>
                </c:pt>
                <c:pt idx="25">
                  <c:v>9.3603525189586943E-3</c:v>
                </c:pt>
                <c:pt idx="26">
                  <c:v>9.557565777560454E-3</c:v>
                </c:pt>
                <c:pt idx="27">
                  <c:v>9.7310706024690326E-3</c:v>
                </c:pt>
                <c:pt idx="28">
                  <c:v>9.9618840083651183E-3</c:v>
                </c:pt>
                <c:pt idx="29">
                  <c:v>1.014893808125311E-2</c:v>
                </c:pt>
                <c:pt idx="30">
                  <c:v>1.0330218580824913E-2</c:v>
                </c:pt>
                <c:pt idx="31">
                  <c:v>1.0517209350008964E-2</c:v>
                </c:pt>
                <c:pt idx="32">
                  <c:v>1.070560381236378E-2</c:v>
                </c:pt>
                <c:pt idx="33">
                  <c:v>1.0920536036376331E-2</c:v>
                </c:pt>
                <c:pt idx="34">
                  <c:v>1.1117470415780003E-2</c:v>
                </c:pt>
                <c:pt idx="35">
                  <c:v>1.1315296549112567E-2</c:v>
                </c:pt>
                <c:pt idx="36">
                  <c:v>1.1518299154127429E-2</c:v>
                </c:pt>
                <c:pt idx="37">
                  <c:v>1.1722649549113544E-2</c:v>
                </c:pt>
                <c:pt idx="38">
                  <c:v>1.1932675043494241E-2</c:v>
                </c:pt>
                <c:pt idx="39">
                  <c:v>1.2136298033638639E-2</c:v>
                </c:pt>
                <c:pt idx="40">
                  <c:v>1.2342105819401242E-2</c:v>
                </c:pt>
                <c:pt idx="41">
                  <c:v>1.2549914601499734E-2</c:v>
                </c:pt>
                <c:pt idx="42">
                  <c:v>1.2758601407005511E-2</c:v>
                </c:pt>
                <c:pt idx="43">
                  <c:v>1.2967148152178481E-2</c:v>
                </c:pt>
                <c:pt idx="44">
                  <c:v>1.317625539699197E-2</c:v>
                </c:pt>
                <c:pt idx="45">
                  <c:v>1.3386216068502304E-2</c:v>
                </c:pt>
                <c:pt idx="46">
                  <c:v>1.3597065100452378E-2</c:v>
                </c:pt>
                <c:pt idx="47">
                  <c:v>1.3808174248250472E-2</c:v>
                </c:pt>
                <c:pt idx="48">
                  <c:v>1.4019456937056047E-2</c:v>
                </c:pt>
                <c:pt idx="49">
                  <c:v>1.4230593590083288E-2</c:v>
                </c:pt>
                <c:pt idx="50">
                  <c:v>1.4441995517495802E-2</c:v>
                </c:pt>
                <c:pt idx="51">
                  <c:v>1.4653520283019873E-2</c:v>
                </c:pt>
                <c:pt idx="52">
                  <c:v>1.4865012465739591E-2</c:v>
                </c:pt>
              </c:numCache>
            </c:numRef>
          </c:yVal>
          <c:smooth val="1"/>
          <c:extLst>
            <c:ext xmlns:c16="http://schemas.microsoft.com/office/drawing/2014/chart" uri="{C3380CC4-5D6E-409C-BE32-E72D297353CC}">
              <c16:uniqueId val="{00000000-B22D-4CF6-BC1D-9A1770C22A71}"/>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'CC70-Tendencial'!$K$94:$BK$94</c:f>
              <c:numCache>
                <c:formatCode>General</c:formatCode>
                <c:ptCount val="53"/>
                <c:pt idx="0">
                  <c:v>4.4549999999999999E-5</c:v>
                </c:pt>
                <c:pt idx="1">
                  <c:v>5.1915600000000004E-3</c:v>
                </c:pt>
                <c:pt idx="2">
                  <c:v>9.9000000000000001E-6</c:v>
                </c:pt>
                <c:pt idx="3">
                  <c:v>4.6064700000000005E-3</c:v>
                </c:pt>
                <c:pt idx="4">
                  <c:v>4.5838622717047873E-3</c:v>
                </c:pt>
                <c:pt idx="5" formatCode="0.00000">
                  <c:v>4.3579677533026953E-3</c:v>
                </c:pt>
                <c:pt idx="6" formatCode="0.00000">
                  <c:v>5.1364355092226458E-3</c:v>
                </c:pt>
                <c:pt idx="7" formatCode="0.00000">
                  <c:v>5.0088376832902563E-3</c:v>
                </c:pt>
                <c:pt idx="8" formatCode="0.00000">
                  <c:v>5.8947687746291012E-3</c:v>
                </c:pt>
                <c:pt idx="9" formatCode="0.00000">
                  <c:v>6.2269222492112768E-3</c:v>
                </c:pt>
                <c:pt idx="10" formatCode="0.00000">
                  <c:v>6.5926765829329168E-3</c:v>
                </c:pt>
                <c:pt idx="11" formatCode="0.00000">
                  <c:v>6.9085741635421727E-3</c:v>
                </c:pt>
                <c:pt idx="12" formatCode="0.00000">
                  <c:v>7.319974488810374E-3</c:v>
                </c:pt>
                <c:pt idx="13" formatCode="0.00000">
                  <c:v>6.8118007917845197E-3</c:v>
                </c:pt>
                <c:pt idx="14" formatCode="0.00000">
                  <c:v>7.0720614000280438E-3</c:v>
                </c:pt>
                <c:pt idx="15" formatCode="0.00000">
                  <c:v>7.4319892342154022E-3</c:v>
                </c:pt>
                <c:pt idx="16" formatCode="0.00000">
                  <c:v>7.6536108748294085E-3</c:v>
                </c:pt>
                <c:pt idx="17" formatCode="0.00000">
                  <c:v>7.8627748735362376E-3</c:v>
                </c:pt>
                <c:pt idx="18" formatCode="0.00000">
                  <c:v>8.0636844287911846E-3</c:v>
                </c:pt>
                <c:pt idx="19" formatCode="0.00000">
                  <c:v>8.216870280118185E-3</c:v>
                </c:pt>
                <c:pt idx="20" formatCode="0.00000">
                  <c:v>8.3313847666323035E-3</c:v>
                </c:pt>
                <c:pt idx="21" formatCode="0.00000">
                  <c:v>8.5785874502786637E-3</c:v>
                </c:pt>
                <c:pt idx="22" formatCode="0.00000">
                  <c:v>8.8008947188794907E-3</c:v>
                </c:pt>
                <c:pt idx="23" formatCode="0.00000">
                  <c:v>9.0070806586278994E-3</c:v>
                </c:pt>
                <c:pt idx="24" formatCode="0.00000">
                  <c:v>9.2060876471899804E-3</c:v>
                </c:pt>
                <c:pt idx="25" formatCode="0.00000">
                  <c:v>9.3603525189586943E-3</c:v>
                </c:pt>
                <c:pt idx="26" formatCode="0.00000">
                  <c:v>9.557565777560454E-3</c:v>
                </c:pt>
                <c:pt idx="27" formatCode="0.00000">
                  <c:v>9.7310706024690326E-3</c:v>
                </c:pt>
                <c:pt idx="28" formatCode="0.00000">
                  <c:v>9.9618840083651183E-3</c:v>
                </c:pt>
                <c:pt idx="29" formatCode="0.00000">
                  <c:v>1.014893808125311E-2</c:v>
                </c:pt>
                <c:pt idx="30" formatCode="0.00000">
                  <c:v>1.0330218580824913E-2</c:v>
                </c:pt>
                <c:pt idx="31" formatCode="0.00000">
                  <c:v>1.0517209350008964E-2</c:v>
                </c:pt>
                <c:pt idx="32" formatCode="0.00000">
                  <c:v>1.070560381236378E-2</c:v>
                </c:pt>
                <c:pt idx="33" formatCode="0.00000">
                  <c:v>1.0920536036376331E-2</c:v>
                </c:pt>
                <c:pt idx="34" formatCode="0.00000">
                  <c:v>1.1117470415780003E-2</c:v>
                </c:pt>
                <c:pt idx="35" formatCode="0.00000">
                  <c:v>1.1315296549112567E-2</c:v>
                </c:pt>
                <c:pt idx="36" formatCode="0.00000">
                  <c:v>1.1518299154127429E-2</c:v>
                </c:pt>
                <c:pt idx="37" formatCode="0.00000">
                  <c:v>1.1722649549113544E-2</c:v>
                </c:pt>
                <c:pt idx="38" formatCode="0.00000">
                  <c:v>1.1932675043494241E-2</c:v>
                </c:pt>
                <c:pt idx="39" formatCode="0.00000">
                  <c:v>1.2136298033638639E-2</c:v>
                </c:pt>
                <c:pt idx="40" formatCode="0.00000">
                  <c:v>1.2342105819401242E-2</c:v>
                </c:pt>
                <c:pt idx="41" formatCode="0.00000">
                  <c:v>1.2549914601499734E-2</c:v>
                </c:pt>
                <c:pt idx="42" formatCode="0.00000">
                  <c:v>1.2758601407005511E-2</c:v>
                </c:pt>
                <c:pt idx="43" formatCode="0.00000">
                  <c:v>1.2967148152178481E-2</c:v>
                </c:pt>
                <c:pt idx="44" formatCode="0.00000">
                  <c:v>1.317625539699197E-2</c:v>
                </c:pt>
                <c:pt idx="45" formatCode="0.00000">
                  <c:v>1.3386216068502304E-2</c:v>
                </c:pt>
                <c:pt idx="46" formatCode="0.00000">
                  <c:v>1.3597065100452378E-2</c:v>
                </c:pt>
                <c:pt idx="47" formatCode="0.00000">
                  <c:v>1.3808174248250472E-2</c:v>
                </c:pt>
                <c:pt idx="48" formatCode="0.00000">
                  <c:v>1.4019456937056047E-2</c:v>
                </c:pt>
                <c:pt idx="49" formatCode="0.00000">
                  <c:v>1.4230593590083288E-2</c:v>
                </c:pt>
                <c:pt idx="50" formatCode="0.00000">
                  <c:v>1.4441995517495802E-2</c:v>
                </c:pt>
                <c:pt idx="51" formatCode="0.00000">
                  <c:v>1.4653520283019873E-2</c:v>
                </c:pt>
                <c:pt idx="52" formatCode="0.00000">
                  <c:v>1.4865012465739591E-2</c:v>
                </c:pt>
              </c:numCache>
            </c:numRef>
          </c:yVal>
          <c:smooth val="1"/>
          <c:extLst>
            <c:ext xmlns:c16="http://schemas.microsoft.com/office/drawing/2014/chart" uri="{C3380CC4-5D6E-409C-BE32-E72D297353CC}">
              <c16:uniqueId val="{00000001-B22D-4CF6-BC1D-9A1770C22A71}"/>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Exportaciones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Palma africana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'CC70-Tendencial'!$K$79:$BK$79</c:f>
              <c:numCache>
                <c:formatCode>General</c:formatCode>
                <c:ptCount val="53"/>
                <c:pt idx="0">
                  <c:v>0.28023870444768001</c:v>
                </c:pt>
                <c:pt idx="1">
                  <c:v>0.18561949282305001</c:v>
                </c:pt>
                <c:pt idx="2">
                  <c:v>0.16102851381539998</c:v>
                </c:pt>
                <c:pt idx="3">
                  <c:v>0.11199071555099999</c:v>
                </c:pt>
                <c:pt idx="4">
                  <c:v>0.11144108521176765</c:v>
                </c:pt>
                <c:pt idx="5">
                  <c:v>0.10594922512043983</c:v>
                </c:pt>
                <c:pt idx="6">
                  <c:v>0.12487503187026268</c:v>
                </c:pt>
                <c:pt idx="7">
                  <c:v>0.12177292291722049</c:v>
                </c:pt>
                <c:pt idx="8">
                  <c:v>0.14331133668045254</c:v>
                </c:pt>
                <c:pt idx="9">
                  <c:v>0.15138652338333103</c:v>
                </c:pt>
                <c:pt idx="10">
                  <c:v>0.16027860116726658</c:v>
                </c:pt>
                <c:pt idx="11">
                  <c:v>0.16795858086826543</c:v>
                </c:pt>
                <c:pt idx="12">
                  <c:v>0.17796038632986616</c:v>
                </c:pt>
                <c:pt idx="13">
                  <c:v>0.16560586411347869</c:v>
                </c:pt>
                <c:pt idx="14">
                  <c:v>0.17193321927848154</c:v>
                </c:pt>
                <c:pt idx="15">
                  <c:v>0.18068364546108207</c:v>
                </c:pt>
                <c:pt idx="16">
                  <c:v>0.18607162500158686</c:v>
                </c:pt>
                <c:pt idx="17">
                  <c:v>0.19115673917419324</c:v>
                </c:pt>
                <c:pt idx="18">
                  <c:v>0.19604117451275715</c:v>
                </c:pt>
                <c:pt idx="19">
                  <c:v>0.19976536963448807</c:v>
                </c:pt>
                <c:pt idx="20">
                  <c:v>0.20254940150393938</c:v>
                </c:pt>
                <c:pt idx="21">
                  <c:v>0.20855929746064447</c:v>
                </c:pt>
                <c:pt idx="22">
                  <c:v>0.21396394572336949</c:v>
                </c:pt>
                <c:pt idx="23">
                  <c:v>0.21897665847933656</c:v>
                </c:pt>
                <c:pt idx="24">
                  <c:v>0.22381483935291593</c:v>
                </c:pt>
                <c:pt idx="25">
                  <c:v>0.22756526720195469</c:v>
                </c:pt>
                <c:pt idx="26">
                  <c:v>0.23235983960706216</c:v>
                </c:pt>
                <c:pt idx="27">
                  <c:v>0.23657802174936696</c:v>
                </c:pt>
                <c:pt idx="28">
                  <c:v>0.24218946792942805</c:v>
                </c:pt>
                <c:pt idx="29">
                  <c:v>0.24673705414391661</c:v>
                </c:pt>
                <c:pt idx="30">
                  <c:v>0.25114427547879753</c:v>
                </c:pt>
                <c:pt idx="31">
                  <c:v>0.25569032267813974</c:v>
                </c:pt>
                <c:pt idx="32">
                  <c:v>0.26027049592250295</c:v>
                </c:pt>
                <c:pt idx="33">
                  <c:v>0.26549584495595663</c:v>
                </c:pt>
                <c:pt idx="34">
                  <c:v>0.2702836373579498</c:v>
                </c:pt>
                <c:pt idx="35">
                  <c:v>0.27509310973627882</c:v>
                </c:pt>
                <c:pt idx="36">
                  <c:v>0.28002843049042059</c:v>
                </c:pt>
                <c:pt idx="37">
                  <c:v>0.28499651819263605</c:v>
                </c:pt>
                <c:pt idx="38">
                  <c:v>0.29010257671459466</c:v>
                </c:pt>
                <c:pt idx="39">
                  <c:v>0.29505298003186481</c:v>
                </c:pt>
                <c:pt idx="40">
                  <c:v>0.30005649925450617</c:v>
                </c:pt>
                <c:pt idx="41">
                  <c:v>0.30510866592551283</c:v>
                </c:pt>
                <c:pt idx="42">
                  <c:v>0.31018217876172893</c:v>
                </c:pt>
                <c:pt idx="43">
                  <c:v>0.31525228650534887</c:v>
                </c:pt>
                <c:pt idx="44">
                  <c:v>0.32033602089926888</c:v>
                </c:pt>
                <c:pt idx="45">
                  <c:v>0.32544050347269515</c:v>
                </c:pt>
                <c:pt idx="46">
                  <c:v>0.33056658352126256</c:v>
                </c:pt>
                <c:pt idx="47">
                  <c:v>0.33569898740564047</c:v>
                </c:pt>
                <c:pt idx="48">
                  <c:v>0.34083561035181742</c:v>
                </c:pt>
                <c:pt idx="49">
                  <c:v>0.34596868293267952</c:v>
                </c:pt>
                <c:pt idx="50">
                  <c:v>0.35110820476171306</c:v>
                </c:pt>
                <c:pt idx="51">
                  <c:v>0.35625071298336614</c:v>
                </c:pt>
                <c:pt idx="52">
                  <c:v>0.36139242906449204</c:v>
                </c:pt>
              </c:numCache>
            </c:numRef>
          </c:yVal>
          <c:smooth val="1"/>
          <c:extLst>
            <c:ext xmlns:c16="http://schemas.microsoft.com/office/drawing/2014/chart" uri="{C3380CC4-5D6E-409C-BE32-E72D297353CC}">
              <c16:uniqueId val="{00000000-E50E-46D0-BC0E-49D67F3932D1}"/>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'CC70-Tendencial'!$K$95:$BK$95</c:f>
              <c:numCache>
                <c:formatCode>General</c:formatCode>
                <c:ptCount val="53"/>
                <c:pt idx="0">
                  <c:v>0.28023870444768001</c:v>
                </c:pt>
                <c:pt idx="1">
                  <c:v>0.18561949282305001</c:v>
                </c:pt>
                <c:pt idx="2">
                  <c:v>0.16102851381539998</c:v>
                </c:pt>
                <c:pt idx="3">
                  <c:v>0.11199071555099999</c:v>
                </c:pt>
                <c:pt idx="4">
                  <c:v>0.11144108521176765</c:v>
                </c:pt>
                <c:pt idx="5" formatCode="0.00000">
                  <c:v>0.10629885756333729</c:v>
                </c:pt>
                <c:pt idx="6" formatCode="0.00000">
                  <c:v>0.12549316327802049</c:v>
                </c:pt>
                <c:pt idx="7" formatCode="0.00000">
                  <c:v>0.12257662420847414</c:v>
                </c:pt>
                <c:pt idx="8" formatCode="0.00000">
                  <c:v>0.14449365520806629</c:v>
                </c:pt>
                <c:pt idx="9" formatCode="0.00000">
                  <c:v>0.152885249964826</c:v>
                </c:pt>
                <c:pt idx="10" formatCode="0.00000">
                  <c:v>0.16212981901074849</c:v>
                </c:pt>
                <c:pt idx="11" formatCode="0.00000">
                  <c:v>0.17017563413572656</c:v>
                </c:pt>
                <c:pt idx="12" formatCode="0.00000">
                  <c:v>0.18060309806686467</c:v>
                </c:pt>
                <c:pt idx="13" formatCode="0.00000">
                  <c:v>0.16833836087135109</c:v>
                </c:pt>
                <c:pt idx="14" formatCode="0.00000">
                  <c:v>0.17505380720838601</c:v>
                </c:pt>
                <c:pt idx="15" formatCode="0.00000">
                  <c:v>0.1842611816412115</c:v>
                </c:pt>
                <c:pt idx="16" formatCode="0.00000">
                  <c:v>0.1900628613578709</c:v>
                </c:pt>
                <c:pt idx="17" formatCode="0.00000">
                  <c:v>0.19557245984911709</c:v>
                </c:pt>
                <c:pt idx="18" formatCode="0.00000">
                  <c:v>0.2008931935819479</c:v>
                </c:pt>
                <c:pt idx="19" formatCode="0.00000">
                  <c:v>0.20503917539283856</c:v>
                </c:pt>
                <c:pt idx="20" formatCode="0.00000">
                  <c:v>0.20823091221612486</c:v>
                </c:pt>
                <c:pt idx="21" formatCode="0.00000">
                  <c:v>0.21475350859522563</c:v>
                </c:pt>
                <c:pt idx="22" formatCode="0.00000">
                  <c:v>0.22067171542179712</c:v>
                </c:pt>
                <c:pt idx="23" formatCode="0.00000">
                  <c:v>0.22620288820915466</c:v>
                </c:pt>
                <c:pt idx="24" formatCode="0.00000">
                  <c:v>0.23157002353649447</c:v>
                </c:pt>
                <c:pt idx="25" formatCode="0.00000">
                  <c:v>0.23582588640138566</c:v>
                </c:pt>
                <c:pt idx="26" formatCode="0.00000">
                  <c:v>0.24117789552015015</c:v>
                </c:pt>
                <c:pt idx="27" formatCode="0.00000">
                  <c:v>0.24594651141064192</c:v>
                </c:pt>
                <c:pt idx="28" formatCode="0.00000">
                  <c:v>0.25217978348151698</c:v>
                </c:pt>
                <c:pt idx="29" formatCode="0.00000">
                  <c:v>0.25732207376669064</c:v>
                </c:pt>
                <c:pt idx="30" formatCode="0.00000">
                  <c:v>0.26233275295137798</c:v>
                </c:pt>
                <c:pt idx="31" formatCode="0.00000">
                  <c:v>0.26750321558586981</c:v>
                </c:pt>
                <c:pt idx="32" formatCode="0.00000">
                  <c:v>0.27272443915239469</c:v>
                </c:pt>
                <c:pt idx="33" formatCode="0.00000">
                  <c:v>0.27863788928127653</c:v>
                </c:pt>
                <c:pt idx="34" formatCode="0.00000">
                  <c:v>0.28410864540880892</c:v>
                </c:pt>
                <c:pt idx="35" formatCode="0.00000">
                  <c:v>0.28961802593035435</c:v>
                </c:pt>
                <c:pt idx="36" formatCode="0.00000">
                  <c:v>0.29527597853062404</c:v>
                </c:pt>
                <c:pt idx="37" formatCode="0.00000">
                  <c:v>0.30098482286324296</c:v>
                </c:pt>
                <c:pt idx="38" formatCode="0.00000">
                  <c:v>0.3068560005198625</c:v>
                </c:pt>
                <c:pt idx="39" formatCode="0.00000">
                  <c:v>0.31257912704575752</c:v>
                </c:pt>
                <c:pt idx="40" formatCode="0.00000">
                  <c:v>0.31837494853399378</c:v>
                </c:pt>
                <c:pt idx="41" formatCode="0.00000">
                  <c:v>0.32423897927904249</c:v>
                </c:pt>
                <c:pt idx="42" formatCode="0.00000">
                  <c:v>0.33014240196504618</c:v>
                </c:pt>
                <c:pt idx="43" formatCode="0.00000">
                  <c:v>0.33605893741470189</c:v>
                </c:pt>
                <c:pt idx="44" formatCode="0.00000">
                  <c:v>0.34200675271310443</c:v>
                </c:pt>
                <c:pt idx="45" formatCode="0.00000">
                  <c:v>0.3479935303633529</c:v>
                </c:pt>
                <c:pt idx="46" formatCode="0.00000">
                  <c:v>0.35402028262209617</c:v>
                </c:pt>
                <c:pt idx="47" formatCode="0.00000">
                  <c:v>0.36007073389128996</c:v>
                </c:pt>
                <c:pt idx="48" formatCode="0.00000">
                  <c:v>0.36614265442043986</c:v>
                </c:pt>
                <c:pt idx="49" formatCode="0.00000">
                  <c:v>0.3722277059672699</c:v>
                </c:pt>
                <c:pt idx="50" formatCode="0.00000">
                  <c:v>0.37833664604098394</c:v>
                </c:pt>
                <c:pt idx="51" formatCode="0.00000">
                  <c:v>0.38446576945164873</c:v>
                </c:pt>
                <c:pt idx="52" formatCode="0.00000">
                  <c:v>0.39061100695435624</c:v>
                </c:pt>
              </c:numCache>
            </c:numRef>
          </c:yVal>
          <c:smooth val="1"/>
          <c:extLst>
            <c:ext xmlns:c16="http://schemas.microsoft.com/office/drawing/2014/chart" uri="{C3380CC4-5D6E-409C-BE32-E72D297353CC}">
              <c16:uniqueId val="{00000001-E50E-46D0-BC0E-49D67F3932D1}"/>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Exportaciones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Demanda de leche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'CC70-Tendencial'!$K$267:$S$267</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'CC70-Tendencial'!$K$269:$S$269</c:f>
              <c:numCache>
                <c:formatCode>General</c:formatCode>
                <c:ptCount val="9"/>
                <c:pt idx="0">
                  <c:v>1.8666670008000001</c:v>
                </c:pt>
                <c:pt idx="1">
                  <c:v>1.7874890300000001</c:v>
                </c:pt>
                <c:pt idx="2">
                  <c:v>2.0055361503869946</c:v>
                </c:pt>
                <c:pt idx="3">
                  <c:v>2.097177726728642</c:v>
                </c:pt>
                <c:pt idx="4">
                  <c:v>2.2460851440772194</c:v>
                </c:pt>
                <c:pt idx="5">
                  <c:v>2.5481470889107802</c:v>
                </c:pt>
                <c:pt idx="6">
                  <c:v>2.7585341558575847</c:v>
                </c:pt>
                <c:pt idx="7">
                  <c:v>2.9444109913044518</c:v>
                </c:pt>
                <c:pt idx="8">
                  <c:v>3.0690660633869054</c:v>
                </c:pt>
              </c:numCache>
            </c:numRef>
          </c:yVal>
          <c:smooth val="1"/>
          <c:extLst>
            <c:ext xmlns:c16="http://schemas.microsoft.com/office/drawing/2014/chart" uri="{C3380CC4-5D6E-409C-BE32-E72D297353CC}">
              <c16:uniqueId val="{00000000-CD34-4154-AD47-96D794350138}"/>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'CC70-Tendencial'!$K$267:$S$267</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'CC70-Tendencial'!$K$272:$S$272</c:f>
              <c:numCache>
                <c:formatCode>General</c:formatCode>
                <c:ptCount val="9"/>
                <c:pt idx="0">
                  <c:v>1.8666670008000001</c:v>
                </c:pt>
                <c:pt idx="1">
                  <c:v>1.7874890300000001</c:v>
                </c:pt>
                <c:pt idx="2">
                  <c:v>2.0055361503869946</c:v>
                </c:pt>
                <c:pt idx="3" formatCode="0.0000">
                  <c:v>2.097176466847988</c:v>
                </c:pt>
                <c:pt idx="4" formatCode="0.0000">
                  <c:v>2.2460837947763204</c:v>
                </c:pt>
                <c:pt idx="5" formatCode="0.0000">
                  <c:v>2.6869938822667176</c:v>
                </c:pt>
                <c:pt idx="6" formatCode="0.0000">
                  <c:v>3.1834596993645321</c:v>
                </c:pt>
                <c:pt idx="7" formatCode="0.0000">
                  <c:v>3.4290718690841957</c:v>
                </c:pt>
                <c:pt idx="8" formatCode="0.0000">
                  <c:v>3.6064542028152151</c:v>
                </c:pt>
              </c:numCache>
            </c:numRef>
          </c:yVal>
          <c:smooth val="1"/>
          <c:extLst>
            <c:ext xmlns:c16="http://schemas.microsoft.com/office/drawing/2014/chart" uri="{C3380CC4-5D6E-409C-BE32-E72D297353CC}">
              <c16:uniqueId val="{00000001-CD34-4154-AD47-96D794350138}"/>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ax val="3.7"/>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a:t>
                </a:r>
                <a:r>
                  <a:rPr lang="en-US" baseline="0"/>
                  <a:t> [M</a:t>
                </a:r>
                <a:r>
                  <a:rPr lang="en-US"/>
                  <a:t>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Soya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'CC70-Tendencial'!$K$80:$BK$80</c:f>
              <c:numCache>
                <c:formatCode>General</c:formatCode>
                <c:ptCount val="53"/>
                <c:pt idx="0">
                  <c:v>8.6801219999999999E-7</c:v>
                </c:pt>
                <c:pt idx="1">
                  <c:v>4.6549205999999994E-6</c:v>
                </c:pt>
                <c:pt idx="2">
                  <c:v>4.9500000000000003E-7</c:v>
                </c:pt>
                <c:pt idx="3">
                  <c:v>8.9170784999999992E-6</c:v>
                </c:pt>
                <c:pt idx="4">
                  <c:v>8.873315078569905E-6</c:v>
                </c:pt>
                <c:pt idx="5">
                  <c:v>8.4360346548808007E-6</c:v>
                </c:pt>
                <c:pt idx="6">
                  <c:v>9.942971222199602E-6</c:v>
                </c:pt>
                <c:pt idx="7">
                  <c:v>9.695970844411739E-6</c:v>
                </c:pt>
                <c:pt idx="8">
                  <c:v>1.1410931994068451E-5</c:v>
                </c:pt>
                <c:pt idx="9">
                  <c:v>1.2053905595741101E-5</c:v>
                </c:pt>
                <c:pt idx="10">
                  <c:v>1.2761922820538193E-5</c:v>
                </c:pt>
                <c:pt idx="11">
                  <c:v>1.3373428707747445E-5</c:v>
                </c:pt>
                <c:pt idx="12">
                  <c:v>1.4169806193184686E-5</c:v>
                </c:pt>
                <c:pt idx="13">
                  <c:v>1.3186097464371786E-5</c:v>
                </c:pt>
                <c:pt idx="14">
                  <c:v>1.3689902823826043E-5</c:v>
                </c:pt>
                <c:pt idx="15">
                  <c:v>1.4386641270355306E-5</c:v>
                </c:pt>
                <c:pt idx="16">
                  <c:v>1.4815650374214419E-5</c:v>
                </c:pt>
                <c:pt idx="17">
                  <c:v>1.5220544315962154E-5</c:v>
                </c:pt>
                <c:pt idx="18">
                  <c:v>1.5609459532083924E-5</c:v>
                </c:pt>
                <c:pt idx="19">
                  <c:v>1.5905992508825808E-5</c:v>
                </c:pt>
                <c:pt idx="20">
                  <c:v>1.6127666516392032E-5</c:v>
                </c:pt>
                <c:pt idx="21">
                  <c:v>1.6606194702939487E-5</c:v>
                </c:pt>
                <c:pt idx="22">
                  <c:v>1.7036531026682866E-5</c:v>
                </c:pt>
                <c:pt idx="23">
                  <c:v>1.7435660123438695E-5</c:v>
                </c:pt>
                <c:pt idx="24">
                  <c:v>1.7820892403049043E-5</c:v>
                </c:pt>
                <c:pt idx="25">
                  <c:v>1.8119514118018218E-5</c:v>
                </c:pt>
                <c:pt idx="26">
                  <c:v>1.8501274144284033E-5</c:v>
                </c:pt>
                <c:pt idx="27">
                  <c:v>1.8837140033747886E-5</c:v>
                </c:pt>
                <c:pt idx="28">
                  <c:v>1.9283942305167816E-5</c:v>
                </c:pt>
                <c:pt idx="29">
                  <c:v>1.9646036457889301E-5</c:v>
                </c:pt>
                <c:pt idx="30">
                  <c:v>1.9996954285466813E-5</c:v>
                </c:pt>
                <c:pt idx="31">
                  <c:v>2.0358925896611481E-5</c:v>
                </c:pt>
                <c:pt idx="32">
                  <c:v>2.0723614738562732E-5</c:v>
                </c:pt>
                <c:pt idx="33">
                  <c:v>2.1139674652922211E-5</c:v>
                </c:pt>
                <c:pt idx="34">
                  <c:v>2.1520894832472132E-5</c:v>
                </c:pt>
                <c:pt idx="35">
                  <c:v>2.1903841244861213E-5</c:v>
                </c:pt>
                <c:pt idx="36">
                  <c:v>2.2296808129400137E-5</c:v>
                </c:pt>
                <c:pt idx="37">
                  <c:v>2.2692384028862674E-5</c:v>
                </c:pt>
                <c:pt idx="38">
                  <c:v>2.309894563034797E-5</c:v>
                </c:pt>
                <c:pt idx="39">
                  <c:v>2.349311343943439E-5</c:v>
                </c:pt>
                <c:pt idx="40">
                  <c:v>2.3891510516058425E-5</c:v>
                </c:pt>
                <c:pt idx="41">
                  <c:v>2.4293781066601824E-5</c:v>
                </c:pt>
                <c:pt idx="42">
                  <c:v>2.4697751270816601E-5</c:v>
                </c:pt>
                <c:pt idx="43">
                  <c:v>2.5101450350074011E-5</c:v>
                </c:pt>
                <c:pt idx="44">
                  <c:v>2.5506234429188951E-5</c:v>
                </c:pt>
                <c:pt idx="45">
                  <c:v>2.5912670548336663E-5</c:v>
                </c:pt>
                <c:pt idx="46">
                  <c:v>2.6320826331300147E-5</c:v>
                </c:pt>
                <c:pt idx="47">
                  <c:v>2.6729485639400213E-5</c:v>
                </c:pt>
                <c:pt idx="48">
                  <c:v>2.7138480883430976E-5</c:v>
                </c:pt>
                <c:pt idx="49">
                  <c:v>2.7547193435400526E-5</c:v>
                </c:pt>
                <c:pt idx="50">
                  <c:v>2.7956419498261826E-5</c:v>
                </c:pt>
                <c:pt idx="51">
                  <c:v>2.8365883347776149E-5</c:v>
                </c:pt>
                <c:pt idx="52">
                  <c:v>2.8775284124389927E-5</c:v>
                </c:pt>
              </c:numCache>
            </c:numRef>
          </c:yVal>
          <c:smooth val="1"/>
          <c:extLst>
            <c:ext xmlns:c16="http://schemas.microsoft.com/office/drawing/2014/chart" uri="{C3380CC4-5D6E-409C-BE32-E72D297353CC}">
              <c16:uniqueId val="{00000000-DFD9-474C-AC3B-3843639FBB60}"/>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'CC70-Tendencial'!$K$96:$BK$96</c:f>
              <c:numCache>
                <c:formatCode>General</c:formatCode>
                <c:ptCount val="53"/>
                <c:pt idx="0">
                  <c:v>8.6801219999999999E-7</c:v>
                </c:pt>
                <c:pt idx="1">
                  <c:v>4.6549205999999994E-6</c:v>
                </c:pt>
                <c:pt idx="2">
                  <c:v>4.9500000000000003E-7</c:v>
                </c:pt>
                <c:pt idx="3">
                  <c:v>8.9170784999999992E-6</c:v>
                </c:pt>
                <c:pt idx="4">
                  <c:v>8.873315078569905E-6</c:v>
                </c:pt>
                <c:pt idx="5" formatCode="0.00000">
                  <c:v>8.4360346548808007E-6</c:v>
                </c:pt>
                <c:pt idx="6" formatCode="0.00000">
                  <c:v>9.942971222199602E-6</c:v>
                </c:pt>
                <c:pt idx="7" formatCode="0.00000">
                  <c:v>9.695970844411739E-6</c:v>
                </c:pt>
                <c:pt idx="8" formatCode="0.00000">
                  <c:v>1.1410931994068451E-5</c:v>
                </c:pt>
                <c:pt idx="9" formatCode="0.00000">
                  <c:v>1.2053905595741101E-5</c:v>
                </c:pt>
                <c:pt idx="10" formatCode="0.00000">
                  <c:v>1.2761922820538193E-5</c:v>
                </c:pt>
                <c:pt idx="11" formatCode="0.00000">
                  <c:v>1.3373428707747445E-5</c:v>
                </c:pt>
                <c:pt idx="12" formatCode="0.00000">
                  <c:v>1.4169806193184686E-5</c:v>
                </c:pt>
                <c:pt idx="13" formatCode="0.00000">
                  <c:v>1.3186097464371786E-5</c:v>
                </c:pt>
                <c:pt idx="14" formatCode="0.00000">
                  <c:v>1.3689902823826043E-5</c:v>
                </c:pt>
                <c:pt idx="15" formatCode="0.00000">
                  <c:v>1.4386641270355306E-5</c:v>
                </c:pt>
                <c:pt idx="16" formatCode="0.00000">
                  <c:v>1.4815650374214419E-5</c:v>
                </c:pt>
                <c:pt idx="17" formatCode="0.00000">
                  <c:v>1.5220544315962154E-5</c:v>
                </c:pt>
                <c:pt idx="18" formatCode="0.00000">
                  <c:v>1.5609459532083924E-5</c:v>
                </c:pt>
                <c:pt idx="19" formatCode="0.00000">
                  <c:v>1.5905992508825808E-5</c:v>
                </c:pt>
                <c:pt idx="20" formatCode="0.00000">
                  <c:v>1.6127666516392032E-5</c:v>
                </c:pt>
                <c:pt idx="21" formatCode="0.00000">
                  <c:v>1.6606194702939487E-5</c:v>
                </c:pt>
                <c:pt idx="22" formatCode="0.00000">
                  <c:v>1.7036531026682866E-5</c:v>
                </c:pt>
                <c:pt idx="23" formatCode="0.00000">
                  <c:v>1.7435660123438695E-5</c:v>
                </c:pt>
                <c:pt idx="24" formatCode="0.00000">
                  <c:v>1.7820892403049043E-5</c:v>
                </c:pt>
                <c:pt idx="25" formatCode="0.00000">
                  <c:v>1.8119514118018218E-5</c:v>
                </c:pt>
                <c:pt idx="26" formatCode="0.00000">
                  <c:v>1.8501274144284033E-5</c:v>
                </c:pt>
                <c:pt idx="27" formatCode="0.00000">
                  <c:v>1.8837140033747886E-5</c:v>
                </c:pt>
                <c:pt idx="28" formatCode="0.00000">
                  <c:v>1.9283942305167816E-5</c:v>
                </c:pt>
                <c:pt idx="29" formatCode="0.00000">
                  <c:v>1.9646036457889301E-5</c:v>
                </c:pt>
                <c:pt idx="30" formatCode="0.00000">
                  <c:v>1.9996954285466813E-5</c:v>
                </c:pt>
                <c:pt idx="31" formatCode="0.00000">
                  <c:v>2.0358925896611481E-5</c:v>
                </c:pt>
                <c:pt idx="32" formatCode="0.00000">
                  <c:v>2.0723614738562732E-5</c:v>
                </c:pt>
                <c:pt idx="33" formatCode="0.00000">
                  <c:v>2.1139674652922211E-5</c:v>
                </c:pt>
                <c:pt idx="34" formatCode="0.00000">
                  <c:v>2.1520894832472132E-5</c:v>
                </c:pt>
                <c:pt idx="35" formatCode="0.00000">
                  <c:v>2.1903841244861213E-5</c:v>
                </c:pt>
                <c:pt idx="36" formatCode="0.00000">
                  <c:v>2.2296808129400137E-5</c:v>
                </c:pt>
                <c:pt idx="37" formatCode="0.00000">
                  <c:v>2.2692384028862674E-5</c:v>
                </c:pt>
                <c:pt idx="38" formatCode="0.00000">
                  <c:v>2.309894563034797E-5</c:v>
                </c:pt>
                <c:pt idx="39" formatCode="0.00000">
                  <c:v>2.349311343943439E-5</c:v>
                </c:pt>
                <c:pt idx="40" formatCode="0.00000">
                  <c:v>2.3891510516058425E-5</c:v>
                </c:pt>
                <c:pt idx="41" formatCode="0.00000">
                  <c:v>2.4293781066601824E-5</c:v>
                </c:pt>
                <c:pt idx="42" formatCode="0.00000">
                  <c:v>2.4697751270816601E-5</c:v>
                </c:pt>
                <c:pt idx="43" formatCode="0.00000">
                  <c:v>2.5101450350074011E-5</c:v>
                </c:pt>
                <c:pt idx="44" formatCode="0.00000">
                  <c:v>2.5506234429188951E-5</c:v>
                </c:pt>
                <c:pt idx="45" formatCode="0.00000">
                  <c:v>2.5912670548336663E-5</c:v>
                </c:pt>
                <c:pt idx="46" formatCode="0.00000">
                  <c:v>2.6320826331300147E-5</c:v>
                </c:pt>
                <c:pt idx="47" formatCode="0.00000">
                  <c:v>2.6729485639400213E-5</c:v>
                </c:pt>
                <c:pt idx="48" formatCode="0.00000">
                  <c:v>2.7138480883430976E-5</c:v>
                </c:pt>
                <c:pt idx="49" formatCode="0.00000">
                  <c:v>2.7547193435400526E-5</c:v>
                </c:pt>
                <c:pt idx="50" formatCode="0.00000">
                  <c:v>2.7956419498261826E-5</c:v>
                </c:pt>
                <c:pt idx="51" formatCode="0.00000">
                  <c:v>2.8365883347776149E-5</c:v>
                </c:pt>
                <c:pt idx="52" formatCode="0.00000">
                  <c:v>2.8775284124389927E-5</c:v>
                </c:pt>
              </c:numCache>
            </c:numRef>
          </c:yVal>
          <c:smooth val="1"/>
          <c:extLst>
            <c:ext xmlns:c16="http://schemas.microsoft.com/office/drawing/2014/chart" uri="{C3380CC4-5D6E-409C-BE32-E72D297353CC}">
              <c16:uniqueId val="{00000001-DFD9-474C-AC3B-3843639FBB60}"/>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Exportaciones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Palmito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'CC70-Tendencial'!$K$81:$BK$81</c:f>
              <c:numCache>
                <c:formatCode>General</c:formatCode>
                <c:ptCount val="53"/>
                <c:pt idx="0">
                  <c:v>3.0641323775039996E-2</c:v>
                </c:pt>
                <c:pt idx="1">
                  <c:v>5.4142762469399995E-2</c:v>
                </c:pt>
                <c:pt idx="2">
                  <c:v>6.0311352231899998E-2</c:v>
                </c:pt>
                <c:pt idx="3">
                  <c:v>6.5032651292400004E-2</c:v>
                </c:pt>
                <c:pt idx="4">
                  <c:v>6.4713482707619049E-2</c:v>
                </c:pt>
                <c:pt idx="5">
                  <c:v>6.1524377070524286E-2</c:v>
                </c:pt>
                <c:pt idx="6">
                  <c:v>7.251453268059431E-2</c:v>
                </c:pt>
                <c:pt idx="7">
                  <c:v>7.0713147906672102E-2</c:v>
                </c:pt>
                <c:pt idx="8">
                  <c:v>8.3220436075733109E-2</c:v>
                </c:pt>
                <c:pt idx="9">
                  <c:v>8.7909671235858258E-2</c:v>
                </c:pt>
                <c:pt idx="10">
                  <c:v>9.3073272441033472E-2</c:v>
                </c:pt>
                <c:pt idx="11">
                  <c:v>9.7533012155798682E-2</c:v>
                </c:pt>
                <c:pt idx="12">
                  <c:v>0.10334102868358391</c:v>
                </c:pt>
                <c:pt idx="13">
                  <c:v>9.6166797040991625E-2</c:v>
                </c:pt>
                <c:pt idx="14">
                  <c:v>9.9841072002306699E-2</c:v>
                </c:pt>
                <c:pt idx="15">
                  <c:v>0.10492241657442705</c:v>
                </c:pt>
                <c:pt idx="16">
                  <c:v>0.10805119910701715</c:v>
                </c:pt>
                <c:pt idx="17">
                  <c:v>0.11100410868654879</c:v>
                </c:pt>
                <c:pt idx="18">
                  <c:v>0.11384048470727748</c:v>
                </c:pt>
                <c:pt idx="19">
                  <c:v>0.11600311293502633</c:v>
                </c:pt>
                <c:pt idx="20">
                  <c:v>0.11761979136110982</c:v>
                </c:pt>
                <c:pt idx="21">
                  <c:v>0.12110971877279798</c:v>
                </c:pt>
                <c:pt idx="22">
                  <c:v>0.12424818077921146</c:v>
                </c:pt>
                <c:pt idx="23">
                  <c:v>0.12715904708704676</c:v>
                </c:pt>
                <c:pt idx="24">
                  <c:v>0.12996856328750145</c:v>
                </c:pt>
                <c:pt idx="25">
                  <c:v>0.13214642477632077</c:v>
                </c:pt>
                <c:pt idx="26">
                  <c:v>0.13493061767823614</c:v>
                </c:pt>
                <c:pt idx="27">
                  <c:v>0.13738010259311206</c:v>
                </c:pt>
                <c:pt idx="28">
                  <c:v>0.14063865149047844</c:v>
                </c:pt>
                <c:pt idx="29">
                  <c:v>0.14327942029933813</c:v>
                </c:pt>
                <c:pt idx="30">
                  <c:v>0.14583867967034567</c:v>
                </c:pt>
                <c:pt idx="31">
                  <c:v>0.14847855477801902</c:v>
                </c:pt>
                <c:pt idx="32">
                  <c:v>0.15113824677118079</c:v>
                </c:pt>
                <c:pt idx="33">
                  <c:v>0.15417259028708521</c:v>
                </c:pt>
                <c:pt idx="34">
                  <c:v>0.15695284606281895</c:v>
                </c:pt>
                <c:pt idx="35">
                  <c:v>0.15974569133165614</c:v>
                </c:pt>
                <c:pt idx="36">
                  <c:v>0.16261161635089655</c:v>
                </c:pt>
                <c:pt idx="37">
                  <c:v>0.16549656903236332</c:v>
                </c:pt>
                <c:pt idx="38">
                  <c:v>0.16846164092875551</c:v>
                </c:pt>
                <c:pt idx="39">
                  <c:v>0.17133632434429419</c:v>
                </c:pt>
                <c:pt idx="40">
                  <c:v>0.17424185199665279</c:v>
                </c:pt>
                <c:pt idx="41">
                  <c:v>0.17717562906710144</c:v>
                </c:pt>
                <c:pt idx="42">
                  <c:v>0.18012180178759718</c:v>
                </c:pt>
                <c:pt idx="43">
                  <c:v>0.18306599718168393</c:v>
                </c:pt>
                <c:pt idx="44">
                  <c:v>0.18601810552813361</c:v>
                </c:pt>
                <c:pt idx="45">
                  <c:v>0.18898226227624002</c:v>
                </c:pt>
                <c:pt idx="46">
                  <c:v>0.19195896060926926</c:v>
                </c:pt>
                <c:pt idx="47">
                  <c:v>0.19493933117358189</c:v>
                </c:pt>
                <c:pt idx="48">
                  <c:v>0.19792215173362324</c:v>
                </c:pt>
                <c:pt idx="49">
                  <c:v>0.20090291060785123</c:v>
                </c:pt>
                <c:pt idx="50">
                  <c:v>0.20388741453992054</c:v>
                </c:pt>
                <c:pt idx="51">
                  <c:v>0.20687365266065802</c:v>
                </c:pt>
                <c:pt idx="52">
                  <c:v>0.20985943078791813</c:v>
                </c:pt>
              </c:numCache>
            </c:numRef>
          </c:yVal>
          <c:smooth val="1"/>
          <c:extLst>
            <c:ext xmlns:c16="http://schemas.microsoft.com/office/drawing/2014/chart" uri="{C3380CC4-5D6E-409C-BE32-E72D297353CC}">
              <c16:uniqueId val="{00000000-5178-48D1-B722-EA91D08A029A}"/>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'CC70-Tendencial'!$K$97:$BK$97</c:f>
              <c:numCache>
                <c:formatCode>General</c:formatCode>
                <c:ptCount val="53"/>
                <c:pt idx="0">
                  <c:v>3.0641323775039996E-2</c:v>
                </c:pt>
                <c:pt idx="1">
                  <c:v>5.4142762469399995E-2</c:v>
                </c:pt>
                <c:pt idx="2">
                  <c:v>6.0311352231899998E-2</c:v>
                </c:pt>
                <c:pt idx="3">
                  <c:v>6.5032651292400004E-2</c:v>
                </c:pt>
                <c:pt idx="4">
                  <c:v>6.4713482707619049E-2</c:v>
                </c:pt>
                <c:pt idx="5" formatCode="0.00000">
                  <c:v>6.1770474578806384E-2</c:v>
                </c:pt>
                <c:pt idx="6" formatCode="0.00000">
                  <c:v>7.2949619876677876E-2</c:v>
                </c:pt>
                <c:pt idx="7" formatCode="0.00000">
                  <c:v>7.1278853089925473E-2</c:v>
                </c:pt>
                <c:pt idx="8" formatCode="0.00000">
                  <c:v>8.4052640436490439E-2</c:v>
                </c:pt>
                <c:pt idx="9" formatCode="0.00000">
                  <c:v>8.8964587290688554E-2</c:v>
                </c:pt>
                <c:pt idx="10" formatCode="0.00000">
                  <c:v>9.4376298255207935E-2</c:v>
                </c:pt>
                <c:pt idx="11" formatCode="0.00000">
                  <c:v>9.9093540350291456E-2</c:v>
                </c:pt>
                <c:pt idx="12" formatCode="0.00000">
                  <c:v>0.10520116719988842</c:v>
                </c:pt>
                <c:pt idx="13" formatCode="0.00000">
                  <c:v>9.8090132981811462E-2</c:v>
                </c:pt>
                <c:pt idx="14" formatCode="0.00000">
                  <c:v>0.10203757558635745</c:v>
                </c:pt>
                <c:pt idx="15" formatCode="0.00000">
                  <c:v>0.1074405545722133</c:v>
                </c:pt>
                <c:pt idx="16" formatCode="0.00000">
                  <c:v>0.11086053028379959</c:v>
                </c:pt>
                <c:pt idx="17" formatCode="0.00000">
                  <c:v>0.11411222372977216</c:v>
                </c:pt>
                <c:pt idx="18" formatCode="0.00000">
                  <c:v>0.11725569924849581</c:v>
                </c:pt>
                <c:pt idx="19" formatCode="0.00000">
                  <c:v>0.11971521254894717</c:v>
                </c:pt>
                <c:pt idx="20" formatCode="0.00000">
                  <c:v>0.12161886426738756</c:v>
                </c:pt>
                <c:pt idx="21" formatCode="0.00000">
                  <c:v>0.12546966864861872</c:v>
                </c:pt>
                <c:pt idx="22" formatCode="0.00000">
                  <c:v>0.12896961164882151</c:v>
                </c:pt>
                <c:pt idx="23" formatCode="0.00000">
                  <c:v>0.13224540897052864</c:v>
                </c:pt>
                <c:pt idx="24" formatCode="0.00000">
                  <c:v>0.13542724294557651</c:v>
                </c:pt>
                <c:pt idx="25" formatCode="0.00000">
                  <c:v>0.1379608674664789</c:v>
                </c:pt>
                <c:pt idx="26" formatCode="0.00000">
                  <c:v>0.14113742609143501</c:v>
                </c:pt>
                <c:pt idx="27" formatCode="0.00000">
                  <c:v>0.14397434751758145</c:v>
                </c:pt>
                <c:pt idx="28" formatCode="0.00000">
                  <c:v>0.14767058406500236</c:v>
                </c:pt>
                <c:pt idx="29" formatCode="0.00000">
                  <c:v>0.15072995015490373</c:v>
                </c:pt>
                <c:pt idx="30" formatCode="0.00000">
                  <c:v>0.15371396837254434</c:v>
                </c:pt>
                <c:pt idx="31" formatCode="0.00000">
                  <c:v>0.1567933538455881</c:v>
                </c:pt>
                <c:pt idx="32" formatCode="0.00000">
                  <c:v>0.15990426508390929</c:v>
                </c:pt>
                <c:pt idx="33" formatCode="0.00000">
                  <c:v>0.16342294570431035</c:v>
                </c:pt>
                <c:pt idx="34" formatCode="0.00000">
                  <c:v>0.16668392251871372</c:v>
                </c:pt>
                <c:pt idx="35" formatCode="0.00000">
                  <c:v>0.16996941557688214</c:v>
                </c:pt>
                <c:pt idx="36" formatCode="0.00000">
                  <c:v>0.17334398303005574</c:v>
                </c:pt>
                <c:pt idx="37" formatCode="0.00000">
                  <c:v>0.17675033572656404</c:v>
                </c:pt>
                <c:pt idx="38" formatCode="0.00000">
                  <c:v>0.18025395579376841</c:v>
                </c:pt>
                <c:pt idx="39" formatCode="0.00000">
                  <c:v>0.18367253969708339</c:v>
                </c:pt>
                <c:pt idx="40" formatCode="0.00000">
                  <c:v>0.18713574904440511</c:v>
                </c:pt>
                <c:pt idx="41" formatCode="0.00000">
                  <c:v>0.19064097687620116</c:v>
                </c:pt>
                <c:pt idx="42" formatCode="0.00000">
                  <c:v>0.19417130232702978</c:v>
                </c:pt>
                <c:pt idx="43" formatCode="0.00000">
                  <c:v>0.19771127695621865</c:v>
                </c:pt>
                <c:pt idx="44" formatCode="0.00000">
                  <c:v>0.20127159018144058</c:v>
                </c:pt>
                <c:pt idx="45" formatCode="0.00000">
                  <c:v>0.2048567723074442</c:v>
                </c:pt>
                <c:pt idx="46" formatCode="0.00000">
                  <c:v>0.20846743122166642</c:v>
                </c:pt>
                <c:pt idx="47" formatCode="0.00000">
                  <c:v>0.21209399231685711</c:v>
                </c:pt>
                <c:pt idx="48" formatCode="0.00000">
                  <c:v>0.21573514538964933</c:v>
                </c:pt>
                <c:pt idx="49" formatCode="0.00000">
                  <c:v>0.21938597838377355</c:v>
                </c:pt>
                <c:pt idx="50" formatCode="0.00000">
                  <c:v>0.2230528315066731</c:v>
                </c:pt>
                <c:pt idx="51" formatCode="0.00000">
                  <c:v>0.22673352331608121</c:v>
                </c:pt>
                <c:pt idx="52" formatCode="0.00000">
                  <c:v>0.23042565500513409</c:v>
                </c:pt>
              </c:numCache>
            </c:numRef>
          </c:yVal>
          <c:smooth val="1"/>
          <c:extLst>
            <c:ext xmlns:c16="http://schemas.microsoft.com/office/drawing/2014/chart" uri="{C3380CC4-5D6E-409C-BE32-E72D297353CC}">
              <c16:uniqueId val="{00000001-5178-48D1-B722-EA91D08A029A}"/>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Exportaciones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Legumbres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'CC70-Tendencial'!$K$82:$BK$82</c:f>
              <c:numCache>
                <c:formatCode>General</c:formatCode>
                <c:ptCount val="53"/>
                <c:pt idx="0">
                  <c:v>9.3159000000000002E-3</c:v>
                </c:pt>
                <c:pt idx="1">
                  <c:v>2.4482699999999998E-3</c:v>
                </c:pt>
                <c:pt idx="2">
                  <c:v>1.0963260000000001E-2</c:v>
                </c:pt>
                <c:pt idx="3">
                  <c:v>1.1109780000000001E-2</c:v>
                </c:pt>
                <c:pt idx="4">
                  <c:v>1.1055255193009053E-2</c:v>
                </c:pt>
                <c:pt idx="5">
                  <c:v>1.0510447910501363E-2</c:v>
                </c:pt>
                <c:pt idx="6">
                  <c:v>1.2387938810336669E-2</c:v>
                </c:pt>
                <c:pt idx="7">
                  <c:v>1.2080201264105576E-2</c:v>
                </c:pt>
                <c:pt idx="8">
                  <c:v>1.4216869802039064E-2</c:v>
                </c:pt>
                <c:pt idx="9">
                  <c:v>1.5017950028078431E-2</c:v>
                </c:pt>
                <c:pt idx="10">
                  <c:v>1.5900068045061933E-2</c:v>
                </c:pt>
                <c:pt idx="11">
                  <c:v>1.6661942674246775E-2</c:v>
                </c:pt>
                <c:pt idx="12">
                  <c:v>1.7654148659666882E-2</c:v>
                </c:pt>
                <c:pt idx="13">
                  <c:v>1.6428546848357161E-2</c:v>
                </c:pt>
                <c:pt idx="14">
                  <c:v>1.7056237487881949E-2</c:v>
                </c:pt>
                <c:pt idx="15">
                  <c:v>1.7924303285270844E-2</c:v>
                </c:pt>
                <c:pt idx="16">
                  <c:v>1.8458805337918681E-2</c:v>
                </c:pt>
                <c:pt idx="17">
                  <c:v>1.8963262332005942E-2</c:v>
                </c:pt>
                <c:pt idx="18">
                  <c:v>1.9447811446356041E-2</c:v>
                </c:pt>
                <c:pt idx="19">
                  <c:v>1.9817261612612564E-2</c:v>
                </c:pt>
                <c:pt idx="20">
                  <c:v>2.009344505719916E-2</c:v>
                </c:pt>
                <c:pt idx="21">
                  <c:v>2.0689642889969297E-2</c:v>
                </c:pt>
                <c:pt idx="22">
                  <c:v>2.1225798524664864E-2</c:v>
                </c:pt>
                <c:pt idx="23">
                  <c:v>2.1723073103615355E-2</c:v>
                </c:pt>
                <c:pt idx="24">
                  <c:v>2.2203033650712641E-2</c:v>
                </c:pt>
                <c:pt idx="25">
                  <c:v>2.2575086174028459E-2</c:v>
                </c:pt>
                <c:pt idx="26">
                  <c:v>2.3050720643839107E-2</c:v>
                </c:pt>
                <c:pt idx="27">
                  <c:v>2.3469175650313225E-2</c:v>
                </c:pt>
                <c:pt idx="28">
                  <c:v>2.4025846194256031E-2</c:v>
                </c:pt>
                <c:pt idx="29">
                  <c:v>2.447697897008862E-2</c:v>
                </c:pt>
                <c:pt idx="30">
                  <c:v>2.4914187172580513E-2</c:v>
                </c:pt>
                <c:pt idx="31">
                  <c:v>2.53651672739739E-2</c:v>
                </c:pt>
                <c:pt idx="32">
                  <c:v>2.5819532770760004E-2</c:v>
                </c:pt>
                <c:pt idx="33">
                  <c:v>2.6337901439977465E-2</c:v>
                </c:pt>
                <c:pt idx="34">
                  <c:v>2.6812863315255352E-2</c:v>
                </c:pt>
                <c:pt idx="35">
                  <c:v>2.7289975902458883E-2</c:v>
                </c:pt>
                <c:pt idx="36">
                  <c:v>2.7779572986808072E-2</c:v>
                </c:pt>
                <c:pt idx="37">
                  <c:v>2.8272420640479721E-2</c:v>
                </c:pt>
                <c:pt idx="38">
                  <c:v>2.8778955370318573E-2</c:v>
                </c:pt>
                <c:pt idx="39">
                  <c:v>2.9270048685470181E-2</c:v>
                </c:pt>
                <c:pt idx="40">
                  <c:v>2.9766411241203671E-2</c:v>
                </c:pt>
                <c:pt idx="41">
                  <c:v>3.0267599754573386E-2</c:v>
                </c:pt>
                <c:pt idx="42">
                  <c:v>3.0770905864907758E-2</c:v>
                </c:pt>
                <c:pt idx="43">
                  <c:v>3.1273874180904118E-2</c:v>
                </c:pt>
                <c:pt idx="44">
                  <c:v>3.1778194297237015E-2</c:v>
                </c:pt>
                <c:pt idx="45">
                  <c:v>3.2284572688745496E-2</c:v>
                </c:pt>
                <c:pt idx="46">
                  <c:v>3.2793093607839351E-2</c:v>
                </c:pt>
                <c:pt idx="47">
                  <c:v>3.3302241868443307E-2</c:v>
                </c:pt>
                <c:pt idx="48">
                  <c:v>3.3811808671318049E-2</c:v>
                </c:pt>
                <c:pt idx="49">
                  <c:v>3.4321023268410612E-2</c:v>
                </c:pt>
                <c:pt idx="50">
                  <c:v>3.483087764825657E-2</c:v>
                </c:pt>
                <c:pt idx="51">
                  <c:v>3.5341028286277443E-2</c:v>
                </c:pt>
                <c:pt idx="52">
                  <c:v>3.5851100341828847E-2</c:v>
                </c:pt>
              </c:numCache>
            </c:numRef>
          </c:yVal>
          <c:smooth val="1"/>
          <c:extLst>
            <c:ext xmlns:c16="http://schemas.microsoft.com/office/drawing/2014/chart" uri="{C3380CC4-5D6E-409C-BE32-E72D297353CC}">
              <c16:uniqueId val="{00000000-A7E1-4BA5-9D37-E3CC05EB33DA}"/>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'CC70-Tendencial'!$K$98:$BK$98</c:f>
              <c:numCache>
                <c:formatCode>General</c:formatCode>
                <c:ptCount val="53"/>
                <c:pt idx="0">
                  <c:v>9.3159000000000002E-3</c:v>
                </c:pt>
                <c:pt idx="1">
                  <c:v>2.4482699999999998E-3</c:v>
                </c:pt>
                <c:pt idx="2">
                  <c:v>1.0963260000000001E-2</c:v>
                </c:pt>
                <c:pt idx="3">
                  <c:v>1.1109780000000001E-2</c:v>
                </c:pt>
                <c:pt idx="4">
                  <c:v>1.1055255193009053E-2</c:v>
                </c:pt>
                <c:pt idx="5" formatCode="0.00000">
                  <c:v>1.0541979254232866E-2</c:v>
                </c:pt>
                <c:pt idx="6" formatCode="0.00000">
                  <c:v>1.2443684534983183E-2</c:v>
                </c:pt>
                <c:pt idx="7" formatCode="0.00000">
                  <c:v>1.2152682471690209E-2</c:v>
                </c:pt>
                <c:pt idx="8" formatCode="0.00000">
                  <c:v>1.4323496325554358E-2</c:v>
                </c:pt>
                <c:pt idx="9" formatCode="0.00000">
                  <c:v>1.5153111578331135E-2</c:v>
                </c:pt>
                <c:pt idx="10" formatCode="0.00000">
                  <c:v>1.6067018759535083E-2</c:v>
                </c:pt>
                <c:pt idx="11" formatCode="0.00000">
                  <c:v>1.6861885986337737E-2</c:v>
                </c:pt>
                <c:pt idx="12" formatCode="0.00000">
                  <c:v>1.7892479666572387E-2</c:v>
                </c:pt>
                <c:pt idx="13" formatCode="0.00000">
                  <c:v>1.6674975051082518E-2</c:v>
                </c:pt>
                <c:pt idx="14" formatCode="0.00000">
                  <c:v>1.7337665406432001E-2</c:v>
                </c:pt>
                <c:pt idx="15" formatCode="0.00000">
                  <c:v>1.8246940744405721E-2</c:v>
                </c:pt>
                <c:pt idx="16" formatCode="0.00000">
                  <c:v>1.8818752042008096E-2</c:v>
                </c:pt>
                <c:pt idx="17" formatCode="0.00000">
                  <c:v>1.9361490840978064E-2</c:v>
                </c:pt>
                <c:pt idx="18" formatCode="0.00000">
                  <c:v>1.9885387203899051E-2</c:v>
                </c:pt>
                <c:pt idx="19" formatCode="0.00000">
                  <c:v>2.0292875891315267E-2</c:v>
                </c:pt>
                <c:pt idx="20" formatCode="0.00000">
                  <c:v>2.0605827906157739E-2</c:v>
                </c:pt>
                <c:pt idx="21" formatCode="0.00000">
                  <c:v>2.1248263247998465E-2</c:v>
                </c:pt>
                <c:pt idx="22" formatCode="0.00000">
                  <c:v>2.1830733782617812E-2</c:v>
                </c:pt>
                <c:pt idx="23" formatCode="0.00000">
                  <c:v>2.2374765296723817E-2</c:v>
                </c:pt>
                <c:pt idx="24" formatCode="0.00000">
                  <c:v>2.290242921071009E-2</c:v>
                </c:pt>
                <c:pt idx="25" formatCode="0.00000">
                  <c:v>2.3320064017771397E-2</c:v>
                </c:pt>
                <c:pt idx="26" formatCode="0.00000">
                  <c:v>2.3845970506051556E-2</c:v>
                </c:pt>
                <c:pt idx="27" formatCode="0.00000">
                  <c:v>2.4314065973724503E-2</c:v>
                </c:pt>
                <c:pt idx="28" formatCode="0.00000">
                  <c:v>2.4926815426540634E-2</c:v>
                </c:pt>
                <c:pt idx="29" formatCode="0.00000">
                  <c:v>2.5431581149922076E-2</c:v>
                </c:pt>
                <c:pt idx="30" formatCode="0.00000">
                  <c:v>2.5923211753070025E-2</c:v>
                </c:pt>
                <c:pt idx="31" formatCode="0.00000">
                  <c:v>2.6430504299480805E-2</c:v>
                </c:pt>
                <c:pt idx="32" formatCode="0.00000">
                  <c:v>2.6942682446288065E-2</c:v>
                </c:pt>
                <c:pt idx="33" formatCode="0.00000">
                  <c:v>2.7523107004776448E-2</c:v>
                </c:pt>
                <c:pt idx="34" formatCode="0.00000">
                  <c:v>2.8059661459414725E-2</c:v>
                </c:pt>
                <c:pt idx="35" formatCode="0.00000">
                  <c:v>2.859989474577691E-2</c:v>
                </c:pt>
                <c:pt idx="36" formatCode="0.00000">
                  <c:v>2.9154661849655074E-2</c:v>
                </c:pt>
                <c:pt idx="37" formatCode="0.00000">
                  <c:v>2.9714314093144185E-2</c:v>
                </c:pt>
                <c:pt idx="38" formatCode="0.00000">
                  <c:v>3.0289850527260298E-2</c:v>
                </c:pt>
                <c:pt idx="39" formatCode="0.00000">
                  <c:v>3.0850631314485573E-2</c:v>
                </c:pt>
                <c:pt idx="40" formatCode="0.00000">
                  <c:v>3.1418447065090477E-2</c:v>
                </c:pt>
                <c:pt idx="41" formatCode="0.00000">
                  <c:v>3.1992852940584064E-2</c:v>
                </c:pt>
                <c:pt idx="42" formatCode="0.00000">
                  <c:v>3.2571003858004863E-2</c:v>
                </c:pt>
                <c:pt idx="43" formatCode="0.00000">
                  <c:v>3.3150306631758365E-2</c:v>
                </c:pt>
                <c:pt idx="44" formatCode="0.00000">
                  <c:v>3.3732553246517097E-2</c:v>
                </c:pt>
                <c:pt idx="45" formatCode="0.00000">
                  <c:v>3.4318500768136459E-2</c:v>
                </c:pt>
                <c:pt idx="46" formatCode="0.00000">
                  <c:v>3.4908248145544989E-2</c:v>
                </c:pt>
                <c:pt idx="47" formatCode="0.00000">
                  <c:v>3.5500189831760565E-2</c:v>
                </c:pt>
                <c:pt idx="48" formatCode="0.00000">
                  <c:v>3.6094105756632022E-2</c:v>
                </c:pt>
                <c:pt idx="49" formatCode="0.00000">
                  <c:v>3.668917387393094E-2</c:v>
                </c:pt>
                <c:pt idx="50" formatCode="0.00000">
                  <c:v>3.7286454522458656E-2</c:v>
                </c:pt>
                <c:pt idx="51" formatCode="0.00000">
                  <c:v>3.7885582322889418E-2</c:v>
                </c:pt>
                <c:pt idx="52" formatCode="0.00000">
                  <c:v>3.8486156216953268E-2</c:v>
                </c:pt>
              </c:numCache>
            </c:numRef>
          </c:yVal>
          <c:smooth val="1"/>
          <c:extLst>
            <c:ext xmlns:c16="http://schemas.microsoft.com/office/drawing/2014/chart" uri="{C3380CC4-5D6E-409C-BE32-E72D297353CC}">
              <c16:uniqueId val="{00000001-A7E1-4BA5-9D37-E3CC05EB33DA}"/>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Exportaciones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Cereales y Pseudocereales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'CC70-Tendencial'!$K$83:$BK$83</c:f>
              <c:numCache>
                <c:formatCode>General</c:formatCode>
                <c:ptCount val="53"/>
                <c:pt idx="0">
                  <c:v>1.7021578364999998E-3</c:v>
                </c:pt>
                <c:pt idx="1">
                  <c:v>2.3650077329999998E-3</c:v>
                </c:pt>
                <c:pt idx="2">
                  <c:v>1.7804449574999998E-3</c:v>
                </c:pt>
                <c:pt idx="3">
                  <c:v>1.424885517E-3</c:v>
                </c:pt>
                <c:pt idx="4">
                  <c:v>1.4178924345268436E-3</c:v>
                </c:pt>
                <c:pt idx="5">
                  <c:v>1.3480181430105998E-3</c:v>
                </c:pt>
                <c:pt idx="6">
                  <c:v>1.5888158538090698E-3</c:v>
                </c:pt>
                <c:pt idx="7">
                  <c:v>1.5493469558955375E-3</c:v>
                </c:pt>
                <c:pt idx="8">
                  <c:v>1.8233855106041807E-3</c:v>
                </c:pt>
                <c:pt idx="9">
                  <c:v>1.9261281042503718E-3</c:v>
                </c:pt>
                <c:pt idx="10">
                  <c:v>2.0392642047568224E-3</c:v>
                </c:pt>
                <c:pt idx="11">
                  <c:v>2.1369784821678264E-3</c:v>
                </c:pt>
                <c:pt idx="12">
                  <c:v>2.2642339218350224E-3</c:v>
                </c:pt>
                <c:pt idx="13">
                  <c:v>2.1070442861676926E-3</c:v>
                </c:pt>
                <c:pt idx="14">
                  <c:v>2.1875487877343605E-3</c:v>
                </c:pt>
                <c:pt idx="15">
                  <c:v>2.2988826199526846E-3</c:v>
                </c:pt>
                <c:pt idx="16">
                  <c:v>2.3674352135796216E-3</c:v>
                </c:pt>
                <c:pt idx="17">
                  <c:v>2.4321343763735108E-3</c:v>
                </c:pt>
                <c:pt idx="18">
                  <c:v>2.494280252827647E-3</c:v>
                </c:pt>
                <c:pt idx="19">
                  <c:v>2.5416641066170254E-3</c:v>
                </c:pt>
                <c:pt idx="20">
                  <c:v>2.5770860312839959E-3</c:v>
                </c:pt>
                <c:pt idx="21">
                  <c:v>2.6535514209839683E-3</c:v>
                </c:pt>
                <c:pt idx="22">
                  <c:v>2.7223160948781099E-3</c:v>
                </c:pt>
                <c:pt idx="23">
                  <c:v>2.7860940765770119E-3</c:v>
                </c:pt>
                <c:pt idx="24">
                  <c:v>2.8476514460560043E-3</c:v>
                </c:pt>
                <c:pt idx="25">
                  <c:v>2.8953690653100322E-3</c:v>
                </c:pt>
                <c:pt idx="26">
                  <c:v>2.956371593480632E-3</c:v>
                </c:pt>
                <c:pt idx="27">
                  <c:v>3.0100405660652479E-3</c:v>
                </c:pt>
                <c:pt idx="28">
                  <c:v>3.0814363809062812E-3</c:v>
                </c:pt>
                <c:pt idx="29">
                  <c:v>3.1392964428092053E-3</c:v>
                </c:pt>
                <c:pt idx="30">
                  <c:v>3.1953706077021467E-3</c:v>
                </c:pt>
                <c:pt idx="31">
                  <c:v>3.2532110883354832E-3</c:v>
                </c:pt>
                <c:pt idx="32">
                  <c:v>3.3114857630630683E-3</c:v>
                </c:pt>
                <c:pt idx="33">
                  <c:v>3.3779691686061596E-3</c:v>
                </c:pt>
                <c:pt idx="34">
                  <c:v>3.4388854331236047E-3</c:v>
                </c:pt>
                <c:pt idx="35">
                  <c:v>3.500077537331313E-3</c:v>
                </c:pt>
                <c:pt idx="36">
                  <c:v>3.5628708414880638E-3</c:v>
                </c:pt>
                <c:pt idx="37">
                  <c:v>3.6260810476131324E-3</c:v>
                </c:pt>
                <c:pt idx="38">
                  <c:v>3.6910466905335942E-3</c:v>
                </c:pt>
                <c:pt idx="39">
                  <c:v>3.7540318938639071E-3</c:v>
                </c:pt>
                <c:pt idx="40">
                  <c:v>3.8176929039690356E-3</c:v>
                </c:pt>
                <c:pt idx="41">
                  <c:v>3.8819728675675287E-3</c:v>
                </c:pt>
                <c:pt idx="42">
                  <c:v>3.9465244236949271E-3</c:v>
                </c:pt>
                <c:pt idx="43">
                  <c:v>4.011032655988735E-3</c:v>
                </c:pt>
                <c:pt idx="44">
                  <c:v>4.0757142635178224E-3</c:v>
                </c:pt>
                <c:pt idx="45">
                  <c:v>4.1406598552561104E-3</c:v>
                </c:pt>
                <c:pt idx="46">
                  <c:v>4.2058802370015967E-3</c:v>
                </c:pt>
                <c:pt idx="47">
                  <c:v>4.2711810784710333E-3</c:v>
                </c:pt>
                <c:pt idx="48">
                  <c:v>4.3365356001051443E-3</c:v>
                </c:pt>
                <c:pt idx="49">
                  <c:v>4.4018449495650059E-3</c:v>
                </c:pt>
                <c:pt idx="50">
                  <c:v>4.4672363544012422E-3</c:v>
                </c:pt>
                <c:pt idx="51">
                  <c:v>4.5326657558479181E-3</c:v>
                </c:pt>
                <c:pt idx="52">
                  <c:v>4.5980850786951407E-3</c:v>
                </c:pt>
              </c:numCache>
            </c:numRef>
          </c:yVal>
          <c:smooth val="1"/>
          <c:extLst>
            <c:ext xmlns:c16="http://schemas.microsoft.com/office/drawing/2014/chart" uri="{C3380CC4-5D6E-409C-BE32-E72D297353CC}">
              <c16:uniqueId val="{00000000-DEA7-4D0D-BC9F-0B04225B9BA5}"/>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'CC70-Tendencial'!$K$99:$BK$99</c:f>
              <c:numCache>
                <c:formatCode>General</c:formatCode>
                <c:ptCount val="53"/>
                <c:pt idx="0">
                  <c:v>1.7021578364999998E-3</c:v>
                </c:pt>
                <c:pt idx="1">
                  <c:v>2.3650077329999998E-3</c:v>
                </c:pt>
                <c:pt idx="2">
                  <c:v>1.7804449574999998E-3</c:v>
                </c:pt>
                <c:pt idx="3">
                  <c:v>1.424885517E-3</c:v>
                </c:pt>
                <c:pt idx="4">
                  <c:v>1.4178924345268436E-3</c:v>
                </c:pt>
                <c:pt idx="5" formatCode="0.00000">
                  <c:v>1.350714179296621E-3</c:v>
                </c:pt>
                <c:pt idx="6" formatCode="0.00000">
                  <c:v>1.5935823013704968E-3</c:v>
                </c:pt>
                <c:pt idx="7" formatCode="0.00000">
                  <c:v>1.5555443437191196E-3</c:v>
                </c:pt>
                <c:pt idx="8" formatCode="0.00000">
                  <c:v>1.8325024381572015E-3</c:v>
                </c:pt>
                <c:pt idx="9" formatCode="0.00000">
                  <c:v>1.9376848728758741E-3</c:v>
                </c:pt>
                <c:pt idx="10" formatCode="0.00000">
                  <c:v>2.0535390541901199E-3</c:v>
                </c:pt>
                <c:pt idx="11" formatCode="0.00000">
                  <c:v>2.1540743100251689E-3</c:v>
                </c:pt>
                <c:pt idx="12" formatCode="0.00000">
                  <c:v>2.2846120271315376E-3</c:v>
                </c:pt>
                <c:pt idx="13" formatCode="0.00000">
                  <c:v>2.1281147290293694E-3</c:v>
                </c:pt>
                <c:pt idx="14" formatCode="0.00000">
                  <c:v>2.2116118243994381E-3</c:v>
                </c:pt>
                <c:pt idx="15" formatCode="0.00000">
                  <c:v>2.3264692113921168E-3</c:v>
                </c:pt>
                <c:pt idx="16" formatCode="0.00000">
                  <c:v>2.3982118713561564E-3</c:v>
                </c:pt>
                <c:pt idx="17" formatCode="0.00000">
                  <c:v>2.4661842576427398E-3</c:v>
                </c:pt>
                <c:pt idx="18" formatCode="0.00000">
                  <c:v>2.5316944566200613E-3</c:v>
                </c:pt>
                <c:pt idx="19" formatCode="0.00000">
                  <c:v>2.5823307323228979E-3</c:v>
                </c:pt>
                <c:pt idx="20" formatCode="0.00000">
                  <c:v>2.6208964938158235E-3</c:v>
                </c:pt>
                <c:pt idx="21" formatCode="0.00000">
                  <c:v>2.7013153465616797E-3</c:v>
                </c:pt>
                <c:pt idx="22" formatCode="0.00000">
                  <c:v>2.7740401006807937E-3</c:v>
                </c:pt>
                <c:pt idx="23" formatCode="0.00000">
                  <c:v>2.8418159581085523E-3</c:v>
                </c:pt>
                <c:pt idx="24" formatCode="0.00000">
                  <c:v>2.9074521264231801E-3</c:v>
                </c:pt>
                <c:pt idx="25" formatCode="0.00000">
                  <c:v>2.9590671847468529E-3</c:v>
                </c:pt>
                <c:pt idx="26" formatCode="0.00000">
                  <c:v>3.0243681401306861E-3</c:v>
                </c:pt>
                <c:pt idx="27" formatCode="0.00000">
                  <c:v>3.0822815396508141E-3</c:v>
                </c:pt>
                <c:pt idx="28" formatCode="0.00000">
                  <c:v>3.1584722904289381E-3</c:v>
                </c:pt>
                <c:pt idx="29" formatCode="0.00000">
                  <c:v>3.2209181503222448E-3</c:v>
                </c:pt>
                <c:pt idx="30" formatCode="0.00000">
                  <c:v>3.2816456141101045E-3</c:v>
                </c:pt>
                <c:pt idx="31" formatCode="0.00000">
                  <c:v>3.3443009988088769E-3</c:v>
                </c:pt>
                <c:pt idx="32" formatCode="0.00000">
                  <c:v>3.4075188501918969E-3</c:v>
                </c:pt>
                <c:pt idx="33" formatCode="0.00000">
                  <c:v>3.4793082436643443E-3</c:v>
                </c:pt>
                <c:pt idx="34" formatCode="0.00000">
                  <c:v>3.545490881550436E-3</c:v>
                </c:pt>
                <c:pt idx="35" formatCode="0.00000">
                  <c:v>3.6120800185259153E-3</c:v>
                </c:pt>
                <c:pt idx="36" formatCode="0.00000">
                  <c:v>3.6804455792571696E-3</c:v>
                </c:pt>
                <c:pt idx="37" formatCode="0.00000">
                  <c:v>3.7493678032319792E-3</c:v>
                </c:pt>
                <c:pt idx="38" formatCode="0.00000">
                  <c:v>3.8202333247022695E-3</c:v>
                </c:pt>
                <c:pt idx="39" formatCode="0.00000">
                  <c:v>3.8891770420430077E-3</c:v>
                </c:pt>
                <c:pt idx="40" formatCode="0.00000">
                  <c:v>3.9589475414158895E-3</c:v>
                </c:pt>
                <c:pt idx="41" formatCode="0.00000">
                  <c:v>4.0294878365350947E-3</c:v>
                </c:pt>
                <c:pt idx="42" formatCode="0.00000">
                  <c:v>4.1004388762190293E-3</c:v>
                </c:pt>
                <c:pt idx="43" formatCode="0.00000">
                  <c:v>4.1714739622282842E-3</c:v>
                </c:pt>
                <c:pt idx="44" formatCode="0.00000">
                  <c:v>4.2428185483220525E-3</c:v>
                </c:pt>
                <c:pt idx="45" formatCode="0.00000">
                  <c:v>4.3145675691768672E-3</c:v>
                </c:pt>
                <c:pt idx="46" formatCode="0.00000">
                  <c:v>4.3867330871926648E-3</c:v>
                </c:pt>
                <c:pt idx="47" formatCode="0.00000">
                  <c:v>4.4591130459237585E-3</c:v>
                </c:pt>
                <c:pt idx="48" formatCode="0.00000">
                  <c:v>4.5316797021098757E-3</c:v>
                </c:pt>
                <c:pt idx="49" formatCode="0.00000">
                  <c:v>4.6043298172449964E-3</c:v>
                </c:pt>
                <c:pt idx="50" formatCode="0.00000">
                  <c:v>4.6771964630581003E-3</c:v>
                </c:pt>
                <c:pt idx="51" formatCode="0.00000">
                  <c:v>4.7502337121286186E-3</c:v>
                </c:pt>
                <c:pt idx="52" formatCode="0.00000">
                  <c:v>4.8233912475512024E-3</c:v>
                </c:pt>
              </c:numCache>
            </c:numRef>
          </c:yVal>
          <c:smooth val="1"/>
          <c:extLst>
            <c:ext xmlns:c16="http://schemas.microsoft.com/office/drawing/2014/chart" uri="{C3380CC4-5D6E-409C-BE32-E72D297353CC}">
              <c16:uniqueId val="{00000001-DEA7-4D0D-BC9F-0B04225B9BA5}"/>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Exportaciones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Tubérculos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'CC70-Tendencial'!$K$84:$BK$84</c:f>
              <c:numCache>
                <c:formatCode>General</c:formatCode>
                <c:ptCount val="53"/>
                <c:pt idx="0">
                  <c:v>3.5837999999999999E-4</c:v>
                </c:pt>
                <c:pt idx="1">
                  <c:v>2.1185999999999999E-4</c:v>
                </c:pt>
                <c:pt idx="2">
                  <c:v>1.1662199999999999E-3</c:v>
                </c:pt>
                <c:pt idx="3">
                  <c:v>5.3361000000000001E-4</c:v>
                </c:pt>
                <c:pt idx="4">
                  <c:v>5.309911378570556E-4</c:v>
                </c:pt>
                <c:pt idx="5">
                  <c:v>5.0482368773482737E-4</c:v>
                </c:pt>
                <c:pt idx="6">
                  <c:v>5.9500080366881687E-4</c:v>
                </c:pt>
                <c:pt idx="7">
                  <c:v>5.8021996804071506E-4</c:v>
                </c:pt>
                <c:pt idx="8">
                  <c:v>6.8284555545348904E-4</c:v>
                </c:pt>
                <c:pt idx="9">
                  <c:v>7.2132196267459209E-4</c:v>
                </c:pt>
                <c:pt idx="10">
                  <c:v>7.6369066799932103E-4</c:v>
                </c:pt>
                <c:pt idx="11">
                  <c:v>8.0028400476020401E-4</c:v>
                </c:pt>
                <c:pt idx="12">
                  <c:v>8.4794030721444002E-4</c:v>
                </c:pt>
                <c:pt idx="13">
                  <c:v>7.8907385058496764E-4</c:v>
                </c:pt>
                <c:pt idx="14">
                  <c:v>8.1922224255643965E-4</c:v>
                </c:pt>
                <c:pt idx="15">
                  <c:v>8.6091601058287115E-4</c:v>
                </c:pt>
                <c:pt idx="16">
                  <c:v>8.8658849377456453E-4</c:v>
                </c:pt>
                <c:pt idx="17">
                  <c:v>9.1081789315195123E-4</c:v>
                </c:pt>
                <c:pt idx="18">
                  <c:v>9.3409110404436813E-4</c:v>
                </c:pt>
                <c:pt idx="19">
                  <c:v>9.5183603717681031E-4</c:v>
                </c:pt>
                <c:pt idx="20">
                  <c:v>9.6510130866426136E-4</c:v>
                </c:pt>
                <c:pt idx="21">
                  <c:v>9.9373708052873338E-4</c:v>
                </c:pt>
                <c:pt idx="22">
                  <c:v>1.0194889863477418E-3</c:v>
                </c:pt>
                <c:pt idx="23">
                  <c:v>1.0433734096282903E-3</c:v>
                </c:pt>
                <c:pt idx="24">
                  <c:v>1.0664262286342997E-3</c:v>
                </c:pt>
                <c:pt idx="25">
                  <c:v>1.0842961546784298E-3</c:v>
                </c:pt>
                <c:pt idx="26">
                  <c:v>1.1071411893627944E-3</c:v>
                </c:pt>
                <c:pt idx="27">
                  <c:v>1.1272398570235992E-3</c:v>
                </c:pt>
                <c:pt idx="28">
                  <c:v>1.1539771073519874E-3</c:v>
                </c:pt>
                <c:pt idx="29">
                  <c:v>1.175645309648705E-3</c:v>
                </c:pt>
                <c:pt idx="30">
                  <c:v>1.1966447055801906E-3</c:v>
                </c:pt>
                <c:pt idx="31">
                  <c:v>1.2183055748237331E-3</c:v>
                </c:pt>
                <c:pt idx="32">
                  <c:v>1.2401290468222815E-3</c:v>
                </c:pt>
                <c:pt idx="33">
                  <c:v>1.2650266330554139E-3</c:v>
                </c:pt>
                <c:pt idx="34">
                  <c:v>1.2878393625844445E-3</c:v>
                </c:pt>
                <c:pt idx="35">
                  <c:v>1.3107553922139851E-3</c:v>
                </c:pt>
                <c:pt idx="36">
                  <c:v>1.3342710604071961E-3</c:v>
                </c:pt>
                <c:pt idx="37">
                  <c:v>1.3579428555710723E-3</c:v>
                </c:pt>
                <c:pt idx="38">
                  <c:v>1.3822720499555975E-3</c:v>
                </c:pt>
                <c:pt idx="39">
                  <c:v>1.4058595830928919E-3</c:v>
                </c:pt>
                <c:pt idx="40">
                  <c:v>1.4297002013017987E-3</c:v>
                </c:pt>
                <c:pt idx="41">
                  <c:v>1.4537726134124988E-3</c:v>
                </c:pt>
                <c:pt idx="42">
                  <c:v>1.477946735090473E-3</c:v>
                </c:pt>
                <c:pt idx="43">
                  <c:v>1.5021046322854508E-3</c:v>
                </c:pt>
                <c:pt idx="44">
                  <c:v>1.5263274573347673E-3</c:v>
                </c:pt>
                <c:pt idx="45">
                  <c:v>1.5506491426870283E-3</c:v>
                </c:pt>
                <c:pt idx="46">
                  <c:v>1.5750737350405828E-3</c:v>
                </c:pt>
                <c:pt idx="47">
                  <c:v>1.5995284590171943E-3</c:v>
                </c:pt>
                <c:pt idx="48">
                  <c:v>1.6240032858528283E-3</c:v>
                </c:pt>
                <c:pt idx="49">
                  <c:v>1.6484611960143763E-3</c:v>
                </c:pt>
                <c:pt idx="50">
                  <c:v>1.6729498353600341E-3</c:v>
                </c:pt>
                <c:pt idx="51">
                  <c:v>1.6974527041796073E-3</c:v>
                </c:pt>
                <c:pt idx="52">
                  <c:v>1.7219517986317731E-3</c:v>
                </c:pt>
              </c:numCache>
            </c:numRef>
          </c:yVal>
          <c:smooth val="1"/>
          <c:extLst>
            <c:ext xmlns:c16="http://schemas.microsoft.com/office/drawing/2014/chart" uri="{C3380CC4-5D6E-409C-BE32-E72D297353CC}">
              <c16:uniqueId val="{00000000-214C-4A1D-B140-D5697A7D43CB}"/>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'CC70-Tendencial'!$K$100:$BK$100</c:f>
              <c:numCache>
                <c:formatCode>General</c:formatCode>
                <c:ptCount val="53"/>
                <c:pt idx="0">
                  <c:v>3.5837999999999999E-4</c:v>
                </c:pt>
                <c:pt idx="1">
                  <c:v>2.1185999999999999E-4</c:v>
                </c:pt>
                <c:pt idx="2">
                  <c:v>1.1662199999999999E-3</c:v>
                </c:pt>
                <c:pt idx="3">
                  <c:v>5.3361000000000001E-4</c:v>
                </c:pt>
                <c:pt idx="4">
                  <c:v>5.309911378570556E-4</c:v>
                </c:pt>
                <c:pt idx="5" formatCode="0.00000">
                  <c:v>5.0997288934972258E-4</c:v>
                </c:pt>
                <c:pt idx="6" formatCode="0.00000">
                  <c:v>6.0410431596494979E-4</c:v>
                </c:pt>
                <c:pt idx="7" formatCode="0.00000">
                  <c:v>5.9205645538874569E-4</c:v>
                </c:pt>
                <c:pt idx="8" formatCode="0.00000">
                  <c:v>7.0025811711755311E-4</c:v>
                </c:pt>
                <c:pt idx="9" formatCode="0.00000">
                  <c:v>7.4339441473243457E-4</c:v>
                </c:pt>
                <c:pt idx="10" formatCode="0.00000">
                  <c:v>7.9095442484689688E-4</c:v>
                </c:pt>
                <c:pt idx="11" formatCode="0.00000">
                  <c:v>8.3293559215442026E-4</c:v>
                </c:pt>
                <c:pt idx="12" formatCode="0.00000">
                  <c:v>8.8686076731558287E-4</c:v>
                </c:pt>
                <c:pt idx="13" formatCode="0.00000">
                  <c:v>8.2931661696480094E-4</c:v>
                </c:pt>
                <c:pt idx="14" formatCode="0.00000">
                  <c:v>8.6518061036385593E-4</c:v>
                </c:pt>
                <c:pt idx="15" formatCode="0.00000">
                  <c:v>9.1360407043054284E-4</c:v>
                </c:pt>
                <c:pt idx="16" formatCode="0.00000">
                  <c:v>9.4536931091181815E-4</c:v>
                </c:pt>
                <c:pt idx="17" formatCode="0.00000">
                  <c:v>9.7585029072300047E-4</c:v>
                </c:pt>
                <c:pt idx="18" formatCode="0.00000">
                  <c:v>1.0055490735037622E-3</c:v>
                </c:pt>
                <c:pt idx="19" formatCode="0.00000">
                  <c:v>1.0295058578104379E-3</c:v>
                </c:pt>
                <c:pt idx="20" formatCode="0.00000">
                  <c:v>1.0487755921254529E-3</c:v>
                </c:pt>
                <c:pt idx="21" formatCode="0.00000">
                  <c:v>1.0849621445212709E-3</c:v>
                </c:pt>
                <c:pt idx="22" formatCode="0.00000">
                  <c:v>1.1182774691248379E-3</c:v>
                </c:pt>
                <c:pt idx="23" formatCode="0.00000">
                  <c:v>1.1497974974103758E-3</c:v>
                </c:pt>
                <c:pt idx="24" formatCode="0.00000">
                  <c:v>1.1806404777210332E-3</c:v>
                </c:pt>
                <c:pt idx="25" formatCode="0.00000">
                  <c:v>1.2059541832333497E-3</c:v>
                </c:pt>
                <c:pt idx="26" formatCode="0.00000">
                  <c:v>1.23700885087505E-3</c:v>
                </c:pt>
                <c:pt idx="27" formatCode="0.00000">
                  <c:v>1.2652140155232877E-3</c:v>
                </c:pt>
                <c:pt idx="28" formatCode="0.00000">
                  <c:v>1.3011091885393657E-3</c:v>
                </c:pt>
                <c:pt idx="29" formatCode="0.00000">
                  <c:v>1.3315358777081234E-3</c:v>
                </c:pt>
                <c:pt idx="30" formatCode="0.00000">
                  <c:v>1.3614226815385827E-3</c:v>
                </c:pt>
                <c:pt idx="31" formatCode="0.00000">
                  <c:v>1.3922796109085622E-3</c:v>
                </c:pt>
                <c:pt idx="32" formatCode="0.00000">
                  <c:v>1.4235441328472969E-3</c:v>
                </c:pt>
                <c:pt idx="33" formatCode="0.00000">
                  <c:v>1.4585757079128923E-3</c:v>
                </c:pt>
                <c:pt idx="34" formatCode="0.00000">
                  <c:v>1.4914467658090451E-3</c:v>
                </c:pt>
                <c:pt idx="35" formatCode="0.00000">
                  <c:v>1.5246706722233075E-3</c:v>
                </c:pt>
                <c:pt idx="36" formatCode="0.00000">
                  <c:v>1.558828879873727E-3</c:v>
                </c:pt>
                <c:pt idx="37" formatCode="0.00000">
                  <c:v>1.5934101467270964E-3</c:v>
                </c:pt>
                <c:pt idx="38" formatCode="0.00000">
                  <c:v>1.6290076108726719E-3</c:v>
                </c:pt>
                <c:pt idx="39" formatCode="0.00000">
                  <c:v>1.6639754025487468E-3</c:v>
                </c:pt>
                <c:pt idx="40" formatCode="0.00000">
                  <c:v>1.6994846292874481E-3</c:v>
                </c:pt>
                <c:pt idx="41" formatCode="0.00000">
                  <c:v>1.7355137458918411E-3</c:v>
                </c:pt>
                <c:pt idx="42" formatCode="0.00000">
                  <c:v>1.7719103406999683E-3</c:v>
                </c:pt>
                <c:pt idx="43" formatCode="0.00000">
                  <c:v>1.808533977271683E-3</c:v>
                </c:pt>
                <c:pt idx="44" formatCode="0.00000">
                  <c:v>1.8454825286634672E-3</c:v>
                </c:pt>
                <c:pt idx="45" formatCode="0.00000">
                  <c:v>1.8827981890505901E-3</c:v>
                </c:pt>
                <c:pt idx="46" formatCode="0.00000">
                  <c:v>1.9204874051349827E-3</c:v>
                </c:pt>
                <c:pt idx="47" formatCode="0.00000">
                  <c:v>1.9584626452206527E-3</c:v>
                </c:pt>
                <c:pt idx="48" formatCode="0.00000">
                  <c:v>1.9967120399560527E-3</c:v>
                </c:pt>
                <c:pt idx="49" formatCode="0.00000">
                  <c:v>2.0351901925993493E-3</c:v>
                </c:pt>
                <c:pt idx="50" formatCode="0.00000">
                  <c:v>2.0739559108958346E-3</c:v>
                </c:pt>
                <c:pt idx="51" formatCode="0.00000">
                  <c:v>2.1129891261627756E-3</c:v>
                </c:pt>
                <c:pt idx="52" formatCode="0.00000">
                  <c:v>2.1522675531098537E-3</c:v>
                </c:pt>
              </c:numCache>
            </c:numRef>
          </c:yVal>
          <c:smooth val="1"/>
          <c:extLst>
            <c:ext xmlns:c16="http://schemas.microsoft.com/office/drawing/2014/chart" uri="{C3380CC4-5D6E-409C-BE32-E72D297353CC}">
              <c16:uniqueId val="{00000001-214C-4A1D-B140-D5697A7D43CB}"/>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Exportaciones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Fruta fresca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'CC70-Tendencial'!$K$85:$BK$85</c:f>
              <c:numCache>
                <c:formatCode>General</c:formatCode>
                <c:ptCount val="53"/>
                <c:pt idx="0">
                  <c:v>0.19069549176</c:v>
                </c:pt>
                <c:pt idx="1">
                  <c:v>7.8028522500000003E-2</c:v>
                </c:pt>
                <c:pt idx="2">
                  <c:v>0.16121535272449858</c:v>
                </c:pt>
                <c:pt idx="3">
                  <c:v>0.27764344030629629</c:v>
                </c:pt>
                <c:pt idx="4">
                  <c:v>0.27628081611436772</c:v>
                </c:pt>
                <c:pt idx="5">
                  <c:v>0.26266558987052135</c:v>
                </c:pt>
                <c:pt idx="6">
                  <c:v>0.30958578384142249</c:v>
                </c:pt>
                <c:pt idx="7">
                  <c:v>0.30189514450859878</c:v>
                </c:pt>
                <c:pt idx="8">
                  <c:v>0.35529242183236914</c:v>
                </c:pt>
                <c:pt idx="9">
                  <c:v>0.37531214048736639</c:v>
                </c:pt>
                <c:pt idx="10">
                  <c:v>0.39735706675876581</c:v>
                </c:pt>
                <c:pt idx="11">
                  <c:v>0.41639700212462932</c:v>
                </c:pt>
                <c:pt idx="12">
                  <c:v>0.4411931261959014</c:v>
                </c:pt>
                <c:pt idx="13">
                  <c:v>0.41056422955369432</c:v>
                </c:pt>
                <c:pt idx="14">
                  <c:v>0.4262507857776448</c:v>
                </c:pt>
                <c:pt idx="15">
                  <c:v>0.44794453438466325</c:v>
                </c:pt>
                <c:pt idx="16">
                  <c:v>0.46130222362314705</c:v>
                </c:pt>
                <c:pt idx="17">
                  <c:v>0.47390905970135566</c:v>
                </c:pt>
                <c:pt idx="18">
                  <c:v>0.48601837987741048</c:v>
                </c:pt>
                <c:pt idx="19">
                  <c:v>0.49525127334435526</c:v>
                </c:pt>
                <c:pt idx="20">
                  <c:v>0.50215334716675908</c:v>
                </c:pt>
                <c:pt idx="21">
                  <c:v>0.51705286969496922</c:v>
                </c:pt>
                <c:pt idx="22">
                  <c:v>0.53045188344289973</c:v>
                </c:pt>
                <c:pt idx="23">
                  <c:v>0.54287922447725678</c:v>
                </c:pt>
                <c:pt idx="24">
                  <c:v>0.5548738722117198</c:v>
                </c:pt>
                <c:pt idx="25">
                  <c:v>0.56417180093290442</c:v>
                </c:pt>
                <c:pt idx="26">
                  <c:v>0.57605833608719992</c:v>
                </c:pt>
                <c:pt idx="27">
                  <c:v>0.58651590478890847</c:v>
                </c:pt>
                <c:pt idx="28">
                  <c:v>0.60042760465492362</c:v>
                </c:pt>
                <c:pt idx="29">
                  <c:v>0.61170182033850062</c:v>
                </c:pt>
                <c:pt idx="30">
                  <c:v>0.62262804835291508</c:v>
                </c:pt>
                <c:pt idx="31">
                  <c:v>0.63389844856430921</c:v>
                </c:pt>
                <c:pt idx="32">
                  <c:v>0.64525345286540003</c:v>
                </c:pt>
                <c:pt idx="33">
                  <c:v>0.6582079542748368</c:v>
                </c:pt>
                <c:pt idx="34">
                  <c:v>0.67007768068404405</c:v>
                </c:pt>
                <c:pt idx="35">
                  <c:v>0.6820011553275227</c:v>
                </c:pt>
                <c:pt idx="36">
                  <c:v>0.69423662883488657</c:v>
                </c:pt>
                <c:pt idx="37">
                  <c:v>0.70655333700663103</c:v>
                </c:pt>
                <c:pt idx="38">
                  <c:v>0.71921209757858462</c:v>
                </c:pt>
                <c:pt idx="39">
                  <c:v>0.73148496324560208</c:v>
                </c:pt>
                <c:pt idx="40">
                  <c:v>0.74388951199571884</c:v>
                </c:pt>
                <c:pt idx="41">
                  <c:v>0.75641466578760008</c:v>
                </c:pt>
                <c:pt idx="42">
                  <c:v>0.76899274024095698</c:v>
                </c:pt>
                <c:pt idx="43">
                  <c:v>0.78156237290859709</c:v>
                </c:pt>
                <c:pt idx="44">
                  <c:v>0.79416578828804985</c:v>
                </c:pt>
                <c:pt idx="45">
                  <c:v>0.80682064182387003</c:v>
                </c:pt>
                <c:pt idx="46">
                  <c:v>0.81952903905990337</c:v>
                </c:pt>
                <c:pt idx="47">
                  <c:v>0.8322531141271009</c:v>
                </c:pt>
                <c:pt idx="48">
                  <c:v>0.84498764894381406</c:v>
                </c:pt>
                <c:pt idx="49">
                  <c:v>0.85771338181979939</c:v>
                </c:pt>
                <c:pt idx="50">
                  <c:v>0.87045510344485988</c:v>
                </c:pt>
                <c:pt idx="51">
                  <c:v>0.88320422882939198</c:v>
                </c:pt>
                <c:pt idx="52">
                  <c:v>0.89595139036700977</c:v>
                </c:pt>
              </c:numCache>
            </c:numRef>
          </c:yVal>
          <c:smooth val="1"/>
          <c:extLst>
            <c:ext xmlns:c16="http://schemas.microsoft.com/office/drawing/2014/chart" uri="{C3380CC4-5D6E-409C-BE32-E72D297353CC}">
              <c16:uniqueId val="{00000000-731E-4DE2-AE66-A02BE2D98455}"/>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'CC70-Tendencial'!$K$101:$BK$101</c:f>
              <c:numCache>
                <c:formatCode>General</c:formatCode>
                <c:ptCount val="53"/>
                <c:pt idx="0">
                  <c:v>0.19069549176</c:v>
                </c:pt>
                <c:pt idx="1">
                  <c:v>7.8028522500000003E-2</c:v>
                </c:pt>
                <c:pt idx="2">
                  <c:v>0.16121535272449858</c:v>
                </c:pt>
                <c:pt idx="3">
                  <c:v>0.27764344030629629</c:v>
                </c:pt>
                <c:pt idx="4">
                  <c:v>0.27628081611436772</c:v>
                </c:pt>
                <c:pt idx="5" formatCode="0.00000">
                  <c:v>0.26371625223000345</c:v>
                </c:pt>
                <c:pt idx="6" formatCode="0.00000">
                  <c:v>0.311443298544471</c:v>
                </c:pt>
                <c:pt idx="7" formatCode="0.00000">
                  <c:v>0.30431030566466755</c:v>
                </c:pt>
                <c:pt idx="8" formatCode="0.00000">
                  <c:v>0.35884534605069285</c:v>
                </c:pt>
                <c:pt idx="9" formatCode="0.00000">
                  <c:v>0.37981588617321477</c:v>
                </c:pt>
                <c:pt idx="10" formatCode="0.00000">
                  <c:v>0.40292006569338856</c:v>
                </c:pt>
                <c:pt idx="11" formatCode="0.00000">
                  <c:v>0.42305935415862339</c:v>
                </c:pt>
                <c:pt idx="12" formatCode="0.00000">
                  <c:v>0.44913460246742765</c:v>
                </c:pt>
                <c:pt idx="13" formatCode="0.00000">
                  <c:v>0.41877551414476821</c:v>
                </c:pt>
                <c:pt idx="14" formatCode="0.00000">
                  <c:v>0.43562830306475298</c:v>
                </c:pt>
                <c:pt idx="15" formatCode="0.00000">
                  <c:v>0.45869520320989515</c:v>
                </c:pt>
                <c:pt idx="16" formatCode="0.00000">
                  <c:v>0.47329608143734886</c:v>
                </c:pt>
                <c:pt idx="17" formatCode="0.00000">
                  <c:v>0.48717851337299362</c:v>
                </c:pt>
                <c:pt idx="18" formatCode="0.00000">
                  <c:v>0.50059893127373278</c:v>
                </c:pt>
                <c:pt idx="19" formatCode="0.00000">
                  <c:v>0.51109931409137466</c:v>
                </c:pt>
                <c:pt idx="20" formatCode="0.00000">
                  <c:v>0.51922656097042885</c:v>
                </c:pt>
                <c:pt idx="21" formatCode="0.00000">
                  <c:v>0.53566677300398813</c:v>
                </c:pt>
                <c:pt idx="22" formatCode="0.00000">
                  <c:v>0.55060905501372992</c:v>
                </c:pt>
                <c:pt idx="23" formatCode="0.00000">
                  <c:v>0.5645943934563471</c:v>
                </c:pt>
                <c:pt idx="24" formatCode="0.00000">
                  <c:v>0.5781785748446121</c:v>
                </c:pt>
                <c:pt idx="25" formatCode="0.00000">
                  <c:v>0.58899536017395226</c:v>
                </c:pt>
                <c:pt idx="26" formatCode="0.00000">
                  <c:v>0.60255701954721119</c:v>
                </c:pt>
                <c:pt idx="27" formatCode="0.00000">
                  <c:v>0.61466866821877608</c:v>
                </c:pt>
                <c:pt idx="28" formatCode="0.00000">
                  <c:v>0.63044898488766987</c:v>
                </c:pt>
                <c:pt idx="29" formatCode="0.00000">
                  <c:v>0.64351031499610267</c:v>
                </c:pt>
                <c:pt idx="30" formatCode="0.00000">
                  <c:v>0.65624996296397253</c:v>
                </c:pt>
                <c:pt idx="31" formatCode="0.00000">
                  <c:v>0.6693967616839106</c:v>
                </c:pt>
                <c:pt idx="32" formatCode="0.00000">
                  <c:v>0.6826781531315933</c:v>
                </c:pt>
                <c:pt idx="33" formatCode="0.00000">
                  <c:v>0.69770043153132699</c:v>
                </c:pt>
                <c:pt idx="34" formatCode="0.00000">
                  <c:v>0.71162249688645485</c:v>
                </c:pt>
                <c:pt idx="35" formatCode="0.00000">
                  <c:v>0.72564922926848419</c:v>
                </c:pt>
                <c:pt idx="36" formatCode="0.00000">
                  <c:v>0.74005624633798917</c:v>
                </c:pt>
                <c:pt idx="37" formatCode="0.00000">
                  <c:v>0.75459896392308201</c:v>
                </c:pt>
                <c:pt idx="38" formatCode="0.00000">
                  <c:v>0.76955694440908562</c:v>
                </c:pt>
                <c:pt idx="39" formatCode="0.00000">
                  <c:v>0.78415188059928553</c:v>
                </c:pt>
                <c:pt idx="40" formatCode="0.00000">
                  <c:v>0.7989373358834021</c:v>
                </c:pt>
                <c:pt idx="41" formatCode="0.00000">
                  <c:v>0.81390218038745776</c:v>
                </c:pt>
                <c:pt idx="42" formatCode="0.00000">
                  <c:v>0.82897417397975171</c:v>
                </c:pt>
                <c:pt idx="43" formatCode="0.00000">
                  <c:v>0.84408736274128493</c:v>
                </c:pt>
                <c:pt idx="44" formatCode="0.00000">
                  <c:v>0.85928738292767004</c:v>
                </c:pt>
                <c:pt idx="45" formatCode="0.00000">
                  <c:v>0.87459357573707519</c:v>
                </c:pt>
                <c:pt idx="46" formatCode="0.00000">
                  <c:v>0.89000853641905509</c:v>
                </c:pt>
                <c:pt idx="47" formatCode="0.00000">
                  <c:v>0.90549138817028585</c:v>
                </c:pt>
                <c:pt idx="48" formatCode="0.00000">
                  <c:v>0.92103653734875734</c:v>
                </c:pt>
                <c:pt idx="49" formatCode="0.00000">
                  <c:v>0.93662301294722106</c:v>
                </c:pt>
                <c:pt idx="50" formatCode="0.00000">
                  <c:v>0.95227788316867679</c:v>
                </c:pt>
                <c:pt idx="51" formatCode="0.00000">
                  <c:v>0.96799183479701367</c:v>
                </c:pt>
                <c:pt idx="52" formatCode="0.00000">
                  <c:v>0.98375462662297664</c:v>
                </c:pt>
              </c:numCache>
            </c:numRef>
          </c:yVal>
          <c:smooth val="1"/>
          <c:extLst>
            <c:ext xmlns:c16="http://schemas.microsoft.com/office/drawing/2014/chart" uri="{C3380CC4-5D6E-409C-BE32-E72D297353CC}">
              <c16:uniqueId val="{00000001-731E-4DE2-AE66-A02BE2D98455}"/>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Exportaciones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Verduras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'CC70-Tendencial'!$K$86:$BK$86</c:f>
              <c:numCache>
                <c:formatCode>General</c:formatCode>
                <c:ptCount val="53"/>
                <c:pt idx="0">
                  <c:v>7.3270773777959999E-2</c:v>
                </c:pt>
                <c:pt idx="1">
                  <c:v>5.2954798881599999E-2</c:v>
                </c:pt>
                <c:pt idx="2">
                  <c:v>8.7190961052689989E-2</c:v>
                </c:pt>
                <c:pt idx="3">
                  <c:v>5.2567395942600001E-2</c:v>
                </c:pt>
                <c:pt idx="4">
                  <c:v>5.2309404594635678E-2</c:v>
                </c:pt>
                <c:pt idx="5">
                  <c:v>4.9731576758981537E-2</c:v>
                </c:pt>
                <c:pt idx="6">
                  <c:v>5.861517368981823E-2</c:v>
                </c:pt>
                <c:pt idx="7">
                  <c:v>5.7159072719399913E-2</c:v>
                </c:pt>
                <c:pt idx="8">
                  <c:v>6.7269002981893491E-2</c:v>
                </c:pt>
                <c:pt idx="9">
                  <c:v>7.1059420202036372E-2</c:v>
                </c:pt>
                <c:pt idx="10">
                  <c:v>7.5233278466274991E-2</c:v>
                </c:pt>
                <c:pt idx="11">
                  <c:v>7.8838189210770473E-2</c:v>
                </c:pt>
                <c:pt idx="12">
                  <c:v>8.3532943282605951E-2</c:v>
                </c:pt>
                <c:pt idx="13">
                  <c:v>7.7733845939266494E-2</c:v>
                </c:pt>
                <c:pt idx="14">
                  <c:v>8.0703847359399311E-2</c:v>
                </c:pt>
                <c:pt idx="15">
                  <c:v>8.4811215684926083E-2</c:v>
                </c:pt>
                <c:pt idx="16">
                  <c:v>8.7340282960216079E-2</c:v>
                </c:pt>
                <c:pt idx="17">
                  <c:v>8.9727188060424984E-2</c:v>
                </c:pt>
                <c:pt idx="18">
                  <c:v>9.2019896390173883E-2</c:v>
                </c:pt>
                <c:pt idx="19">
                  <c:v>9.3767998798202301E-2</c:v>
                </c:pt>
                <c:pt idx="20">
                  <c:v>9.5074797356263285E-2</c:v>
                </c:pt>
                <c:pt idx="21">
                  <c:v>9.7895786388930706E-2</c:v>
                </c:pt>
                <c:pt idx="22">
                  <c:v>0.10043267780675337</c:v>
                </c:pt>
                <c:pt idx="23">
                  <c:v>0.10278559835818465</c:v>
                </c:pt>
                <c:pt idx="24">
                  <c:v>0.10505659527406327</c:v>
                </c:pt>
                <c:pt idx="25">
                  <c:v>0.1068170110792895</c:v>
                </c:pt>
                <c:pt idx="26">
                  <c:v>0.10906753858734861</c:v>
                </c:pt>
                <c:pt idx="27">
                  <c:v>0.11104751388924372</c:v>
                </c:pt>
                <c:pt idx="28">
                  <c:v>0.11368147431807525</c:v>
                </c:pt>
                <c:pt idx="29">
                  <c:v>0.11581606881498482</c:v>
                </c:pt>
                <c:pt idx="30">
                  <c:v>0.11788477734834406</c:v>
                </c:pt>
                <c:pt idx="31">
                  <c:v>0.12001864944591756</c:v>
                </c:pt>
                <c:pt idx="32">
                  <c:v>0.12216853999030379</c:v>
                </c:pt>
                <c:pt idx="33">
                  <c:v>0.12462127002447125</c:v>
                </c:pt>
                <c:pt idx="34">
                  <c:v>0.12686861506239033</c:v>
                </c:pt>
                <c:pt idx="35">
                  <c:v>0.12912613647872137</c:v>
                </c:pt>
                <c:pt idx="36">
                  <c:v>0.13144272994729828</c:v>
                </c:pt>
                <c:pt idx="37">
                  <c:v>0.13377470391527416</c:v>
                </c:pt>
                <c:pt idx="38">
                  <c:v>0.1361714400974593</c:v>
                </c:pt>
                <c:pt idx="39">
                  <c:v>0.13849511318030511</c:v>
                </c:pt>
                <c:pt idx="40">
                  <c:v>0.14084371837305629</c:v>
                </c:pt>
                <c:pt idx="41">
                  <c:v>0.14321515822372741</c:v>
                </c:pt>
                <c:pt idx="42">
                  <c:v>0.14559661776498536</c:v>
                </c:pt>
                <c:pt idx="43">
                  <c:v>0.14797647898758054</c:v>
                </c:pt>
                <c:pt idx="44">
                  <c:v>0.15036273643256051</c:v>
                </c:pt>
                <c:pt idx="45">
                  <c:v>0.15275873287922312</c:v>
                </c:pt>
                <c:pt idx="46">
                  <c:v>0.15516486697900742</c:v>
                </c:pt>
                <c:pt idx="47">
                  <c:v>0.15757396942825971</c:v>
                </c:pt>
                <c:pt idx="48">
                  <c:v>0.15998505226571655</c:v>
                </c:pt>
                <c:pt idx="49">
                  <c:v>0.16239446859485324</c:v>
                </c:pt>
                <c:pt idx="50">
                  <c:v>0.16480691214084886</c:v>
                </c:pt>
                <c:pt idx="51">
                  <c:v>0.16722075747164869</c:v>
                </c:pt>
                <c:pt idx="52">
                  <c:v>0.16963423097908326</c:v>
                </c:pt>
              </c:numCache>
            </c:numRef>
          </c:yVal>
          <c:smooth val="1"/>
          <c:extLst>
            <c:ext xmlns:c16="http://schemas.microsoft.com/office/drawing/2014/chart" uri="{C3380CC4-5D6E-409C-BE32-E72D297353CC}">
              <c16:uniqueId val="{00000000-ACD3-4759-98CB-B2612CB9089F}"/>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'CC70-Tendencial'!$K$102:$BK$102</c:f>
              <c:numCache>
                <c:formatCode>General</c:formatCode>
                <c:ptCount val="53"/>
                <c:pt idx="0">
                  <c:v>7.3270773777959999E-2</c:v>
                </c:pt>
                <c:pt idx="1">
                  <c:v>5.2954798881599999E-2</c:v>
                </c:pt>
                <c:pt idx="2">
                  <c:v>8.7190961052689989E-2</c:v>
                </c:pt>
                <c:pt idx="3">
                  <c:v>5.2567395942600001E-2</c:v>
                </c:pt>
                <c:pt idx="4">
                  <c:v>5.2309404594635678E-2</c:v>
                </c:pt>
                <c:pt idx="5" formatCode="0.00000">
                  <c:v>5.023883884192315E-2</c:v>
                </c:pt>
                <c:pt idx="6" formatCode="0.00000">
                  <c:v>5.9511985847272457E-2</c:v>
                </c:pt>
                <c:pt idx="7" formatCode="0.00000">
                  <c:v>5.8325117802875671E-2</c:v>
                </c:pt>
                <c:pt idx="8" formatCode="0.00000">
                  <c:v>6.8984362557931778E-2</c:v>
                </c:pt>
                <c:pt idx="9" formatCode="0.00000">
                  <c:v>7.3233838460218678E-2</c:v>
                </c:pt>
                <c:pt idx="10" formatCode="0.00000">
                  <c:v>7.7919106507521013E-2</c:v>
                </c:pt>
                <c:pt idx="11" formatCode="0.00000">
                  <c:v>8.2054787330569909E-2</c:v>
                </c:pt>
                <c:pt idx="12" formatCode="0.00000">
                  <c:v>8.7367105379277568E-2</c:v>
                </c:pt>
                <c:pt idx="13" formatCode="0.00000">
                  <c:v>8.1698272082169079E-2</c:v>
                </c:pt>
                <c:pt idx="14" formatCode="0.00000">
                  <c:v>8.5231333196261611E-2</c:v>
                </c:pt>
                <c:pt idx="15" formatCode="0.00000">
                  <c:v>9.0001662084843559E-2</c:v>
                </c:pt>
                <c:pt idx="16" formatCode="0.00000">
                  <c:v>9.3130943720478407E-2</c:v>
                </c:pt>
                <c:pt idx="17" formatCode="0.00000">
                  <c:v>9.6133709287939323E-2</c:v>
                </c:pt>
                <c:pt idx="18" formatCode="0.00000">
                  <c:v>9.9059418464022192E-2</c:v>
                </c:pt>
                <c:pt idx="19" formatCode="0.00000">
                  <c:v>0.1014194675001356</c:v>
                </c:pt>
                <c:pt idx="20" formatCode="0.00000">
                  <c:v>0.10331778228705131</c:v>
                </c:pt>
                <c:pt idx="21" formatCode="0.00000">
                  <c:v>0.10688261957943453</c:v>
                </c:pt>
                <c:pt idx="22" formatCode="0.00000">
                  <c:v>0.11016460428622778</c:v>
                </c:pt>
                <c:pt idx="23" formatCode="0.00000">
                  <c:v>0.11326972939071947</c:v>
                </c:pt>
                <c:pt idx="24" formatCode="0.00000">
                  <c:v>0.11630815662791545</c:v>
                </c:pt>
                <c:pt idx="25" formatCode="0.00000">
                  <c:v>0.11880187972238579</c:v>
                </c:pt>
                <c:pt idx="26" formatCode="0.00000">
                  <c:v>0.1218611608636446</c:v>
                </c:pt>
                <c:pt idx="27" formatCode="0.00000">
                  <c:v>0.12463972958928717</c:v>
                </c:pt>
                <c:pt idx="28" formatCode="0.00000">
                  <c:v>0.12817586229362984</c:v>
                </c:pt>
                <c:pt idx="29" formatCode="0.00000">
                  <c:v>0.13117327953985181</c:v>
                </c:pt>
                <c:pt idx="30" formatCode="0.00000">
                  <c:v>0.13411751118921103</c:v>
                </c:pt>
                <c:pt idx="31" formatCode="0.00000">
                  <c:v>0.13715731258679459</c:v>
                </c:pt>
                <c:pt idx="32" formatCode="0.00000">
                  <c:v>0.14023726705486972</c:v>
                </c:pt>
                <c:pt idx="33" formatCode="0.00000">
                  <c:v>0.14368832433821535</c:v>
                </c:pt>
                <c:pt idx="34" formatCode="0.00000">
                  <c:v>0.14692654310375422</c:v>
                </c:pt>
                <c:pt idx="35" formatCode="0.00000">
                  <c:v>0.15019952195204869</c:v>
                </c:pt>
                <c:pt idx="36" formatCode="0.00000">
                  <c:v>0.15356454139742856</c:v>
                </c:pt>
                <c:pt idx="37" formatCode="0.00000">
                  <c:v>0.15697123757418269</c:v>
                </c:pt>
                <c:pt idx="38" formatCode="0.00000">
                  <c:v>0.16047804215485578</c:v>
                </c:pt>
                <c:pt idx="39" formatCode="0.00000">
                  <c:v>0.16392281596020913</c:v>
                </c:pt>
                <c:pt idx="40" formatCode="0.00000">
                  <c:v>0.16742092803005201</c:v>
                </c:pt>
                <c:pt idx="41" formatCode="0.00000">
                  <c:v>0.17097025588748577</c:v>
                </c:pt>
                <c:pt idx="42" formatCode="0.00000">
                  <c:v>0.17455578503844096</c:v>
                </c:pt>
                <c:pt idx="43" formatCode="0.00000">
                  <c:v>0.17816368070104699</c:v>
                </c:pt>
                <c:pt idx="44" formatCode="0.00000">
                  <c:v>0.18180358462060892</c:v>
                </c:pt>
                <c:pt idx="45" formatCode="0.00000">
                  <c:v>0.18547965346195275</c:v>
                </c:pt>
                <c:pt idx="46" formatCode="0.00000">
                  <c:v>0.18919252230750375</c:v>
                </c:pt>
                <c:pt idx="47" formatCode="0.00000">
                  <c:v>0.19293356816796123</c:v>
                </c:pt>
                <c:pt idx="48" formatCode="0.00000">
                  <c:v>0.19670162176069853</c:v>
                </c:pt>
                <c:pt idx="49" formatCode="0.00000">
                  <c:v>0.20049221092720582</c:v>
                </c:pt>
                <c:pt idx="50" formatCode="0.00000">
                  <c:v>0.20431112898101036</c:v>
                </c:pt>
                <c:pt idx="51" formatCode="0.00000">
                  <c:v>0.20815639890070831</c:v>
                </c:pt>
                <c:pt idx="52" formatCode="0.00000">
                  <c:v>0.2120258253007562</c:v>
                </c:pt>
              </c:numCache>
            </c:numRef>
          </c:yVal>
          <c:smooth val="1"/>
          <c:extLst>
            <c:ext xmlns:c16="http://schemas.microsoft.com/office/drawing/2014/chart" uri="{C3380CC4-5D6E-409C-BE32-E72D297353CC}">
              <c16:uniqueId val="{00000001-ACD3-4759-98CB-B2612CB9089F}"/>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Exportaciones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Florícola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'CC70-Tendencial'!$K$87:$BK$87</c:f>
              <c:numCache>
                <c:formatCode>General</c:formatCode>
                <c:ptCount val="53"/>
                <c:pt idx="0">
                  <c:v>0.15325496999999999</c:v>
                </c:pt>
                <c:pt idx="1">
                  <c:v>0.15681698999999999</c:v>
                </c:pt>
                <c:pt idx="2">
                  <c:v>0.15137792999999999</c:v>
                </c:pt>
                <c:pt idx="3">
                  <c:v>0.16611704999999999</c:v>
                </c:pt>
                <c:pt idx="4">
                  <c:v>0.16335</c:v>
                </c:pt>
                <c:pt idx="5">
                  <c:v>0.15530004836668918</c:v>
                </c:pt>
                <c:pt idx="6">
                  <c:v>0.1830414376999753</c:v>
                </c:pt>
                <c:pt idx="7">
                  <c:v>0.17849437593620548</c:v>
                </c:pt>
                <c:pt idx="8">
                  <c:v>0.21006531659546282</c:v>
                </c:pt>
                <c:pt idx="9">
                  <c:v>0.22190190043174365</c:v>
                </c:pt>
                <c:pt idx="10">
                  <c:v>0.23493588070253604</c:v>
                </c:pt>
                <c:pt idx="11">
                  <c:v>0.24619317133080149</c:v>
                </c:pt>
                <c:pt idx="12">
                  <c:v>0.26085378701888312</c:v>
                </c:pt>
                <c:pt idx="13">
                  <c:v>0.2427445663467051</c:v>
                </c:pt>
                <c:pt idx="14">
                  <c:v>0.25201918408969598</c:v>
                </c:pt>
                <c:pt idx="15">
                  <c:v>0.26484553187885823</c:v>
                </c:pt>
                <c:pt idx="16">
                  <c:v>0.27274321572022592</c:v>
                </c:pt>
                <c:pt idx="17">
                  <c:v>0.28019696043669912</c:v>
                </c:pt>
                <c:pt idx="18">
                  <c:v>0.28735655073536004</c:v>
                </c:pt>
                <c:pt idx="19">
                  <c:v>0.29281546449215562</c:v>
                </c:pt>
                <c:pt idx="20">
                  <c:v>0.29689628984494798</c:v>
                </c:pt>
                <c:pt idx="21">
                  <c:v>0.30570557685666594</c:v>
                </c:pt>
                <c:pt idx="22">
                  <c:v>0.31362769365980442</c:v>
                </c:pt>
                <c:pt idx="23">
                  <c:v>0.32097531260241641</c:v>
                </c:pt>
                <c:pt idx="24">
                  <c:v>0.3280671032485446</c:v>
                </c:pt>
                <c:pt idx="25">
                  <c:v>0.33356446885635715</c:v>
                </c:pt>
                <c:pt idx="26">
                  <c:v>0.34059233834350394</c:v>
                </c:pt>
                <c:pt idx="27">
                  <c:v>0.34677533675594874</c:v>
                </c:pt>
                <c:pt idx="28">
                  <c:v>0.35500057731037388</c:v>
                </c:pt>
                <c:pt idx="29">
                  <c:v>0.36166641519884291</c:v>
                </c:pt>
                <c:pt idx="30">
                  <c:v>0.36812650667843289</c:v>
                </c:pt>
                <c:pt idx="31">
                  <c:v>0.37479008868323316</c:v>
                </c:pt>
                <c:pt idx="32">
                  <c:v>0.38150369253988087</c:v>
                </c:pt>
                <c:pt idx="33">
                  <c:v>0.3891629930841341</c:v>
                </c:pt>
                <c:pt idx="34">
                  <c:v>0.39618092446356579</c:v>
                </c:pt>
                <c:pt idx="35">
                  <c:v>0.40323063428564038</c:v>
                </c:pt>
                <c:pt idx="36">
                  <c:v>0.41046481226997256</c:v>
                </c:pt>
                <c:pt idx="37">
                  <c:v>0.41774701994602631</c:v>
                </c:pt>
                <c:pt idx="38">
                  <c:v>0.425231464825372</c:v>
                </c:pt>
                <c:pt idx="39">
                  <c:v>0.43248775078435586</c:v>
                </c:pt>
                <c:pt idx="40">
                  <c:v>0.43982189387409099</c:v>
                </c:pt>
                <c:pt idx="41">
                  <c:v>0.44722734424403937</c:v>
                </c:pt>
                <c:pt idx="42">
                  <c:v>0.4546640837573081</c:v>
                </c:pt>
                <c:pt idx="43">
                  <c:v>0.46209583209632071</c:v>
                </c:pt>
                <c:pt idx="44">
                  <c:v>0.46954755433743856</c:v>
                </c:pt>
                <c:pt idx="45">
                  <c:v>0.47702968919627187</c:v>
                </c:pt>
                <c:pt idx="46">
                  <c:v>0.48454348156775057</c:v>
                </c:pt>
                <c:pt idx="47">
                  <c:v>0.49206654339831324</c:v>
                </c:pt>
                <c:pt idx="48">
                  <c:v>0.49959578951668648</c:v>
                </c:pt>
                <c:pt idx="49">
                  <c:v>0.50711983152049933</c:v>
                </c:pt>
                <c:pt idx="50">
                  <c:v>0.51465332681244913</c:v>
                </c:pt>
                <c:pt idx="51">
                  <c:v>0.52219119954951687</c:v>
                </c:pt>
                <c:pt idx="52">
                  <c:v>0.52972791116943585</c:v>
                </c:pt>
              </c:numCache>
            </c:numRef>
          </c:yVal>
          <c:smooth val="1"/>
          <c:extLst>
            <c:ext xmlns:c16="http://schemas.microsoft.com/office/drawing/2014/chart" uri="{C3380CC4-5D6E-409C-BE32-E72D297353CC}">
              <c16:uniqueId val="{00000000-73F5-42D9-B870-B834FEF002C6}"/>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'CC70-Tendencial'!$K$103:$BK$103</c:f>
              <c:numCache>
                <c:formatCode>General</c:formatCode>
                <c:ptCount val="53"/>
                <c:pt idx="0">
                  <c:v>0.15325496999999999</c:v>
                </c:pt>
                <c:pt idx="1">
                  <c:v>0.15681698999999999</c:v>
                </c:pt>
                <c:pt idx="2">
                  <c:v>0.15137792999999999</c:v>
                </c:pt>
                <c:pt idx="3">
                  <c:v>0.16611704999999999</c:v>
                </c:pt>
                <c:pt idx="4">
                  <c:v>0.16335</c:v>
                </c:pt>
                <c:pt idx="5" formatCode="0.00000">
                  <c:v>0.15561064846342254</c:v>
                </c:pt>
                <c:pt idx="6" formatCode="0.00000">
                  <c:v>0.18359056201307522</c:v>
                </c:pt>
                <c:pt idx="7" formatCode="0.00000">
                  <c:v>0.17920835343995031</c:v>
                </c:pt>
                <c:pt idx="8" formatCode="0.00000">
                  <c:v>0.21111564317844012</c:v>
                </c:pt>
                <c:pt idx="9" formatCode="0.00000">
                  <c:v>0.22323331183433412</c:v>
                </c:pt>
                <c:pt idx="10" formatCode="0.00000">
                  <c:v>0.23658043186745378</c:v>
                </c:pt>
                <c:pt idx="11" formatCode="0.00000">
                  <c:v>0.24816271670144791</c:v>
                </c:pt>
                <c:pt idx="12" formatCode="0.00000">
                  <c:v>0.26320147110205305</c:v>
                </c:pt>
                <c:pt idx="13" formatCode="0.00000">
                  <c:v>0.24517201201017216</c:v>
                </c:pt>
                <c:pt idx="14" formatCode="0.00000">
                  <c:v>0.25479139511468263</c:v>
                </c:pt>
                <c:pt idx="15" formatCode="0.00000">
                  <c:v>0.26802367826140455</c:v>
                </c:pt>
                <c:pt idx="16" formatCode="0.00000">
                  <c:v>0.27628887752458881</c:v>
                </c:pt>
                <c:pt idx="17" formatCode="0.00000">
                  <c:v>0.28411971788281293</c:v>
                </c:pt>
                <c:pt idx="18" formatCode="0.00000">
                  <c:v>0.29166689899639042</c:v>
                </c:pt>
                <c:pt idx="19" formatCode="0.00000">
                  <c:v>0.2975005119240301</c:v>
                </c:pt>
                <c:pt idx="20" formatCode="0.00000">
                  <c:v>0.30194352677231207</c:v>
                </c:pt>
                <c:pt idx="21" formatCode="0.00000">
                  <c:v>0.31120827724008593</c:v>
                </c:pt>
                <c:pt idx="22" formatCode="0.00000">
                  <c:v>0.31958661983934067</c:v>
                </c:pt>
                <c:pt idx="23" formatCode="0.00000">
                  <c:v>0.32739481885446475</c:v>
                </c:pt>
                <c:pt idx="24" formatCode="0.00000">
                  <c:v>0.334956512416764</c:v>
                </c:pt>
                <c:pt idx="25" formatCode="0.00000">
                  <c:v>0.34090288717119704</c:v>
                </c:pt>
                <c:pt idx="26" formatCode="0.00000">
                  <c:v>0.3484259621254045</c:v>
                </c:pt>
                <c:pt idx="27" formatCode="0.00000">
                  <c:v>0.35509794483809154</c:v>
                </c:pt>
                <c:pt idx="28" formatCode="0.00000">
                  <c:v>0.36387559174313322</c:v>
                </c:pt>
                <c:pt idx="29" formatCode="0.00000">
                  <c:v>0.37106974199401282</c:v>
                </c:pt>
                <c:pt idx="30" formatCode="0.00000">
                  <c:v>0.37806592235875053</c:v>
                </c:pt>
                <c:pt idx="31" formatCode="0.00000">
                  <c:v>0.38528421116636369</c:v>
                </c:pt>
                <c:pt idx="32" formatCode="0.00000">
                  <c:v>0.39256729962353737</c:v>
                </c:pt>
                <c:pt idx="33" formatCode="0.00000">
                  <c:v>0.40083788287665811</c:v>
                </c:pt>
                <c:pt idx="34" formatCode="0.00000">
                  <c:v>0.40846253312193631</c:v>
                </c:pt>
                <c:pt idx="35" formatCode="0.00000">
                  <c:v>0.41613401458278088</c:v>
                </c:pt>
                <c:pt idx="36" formatCode="0.00000">
                  <c:v>0.4240101510748816</c:v>
                </c:pt>
                <c:pt idx="37" formatCode="0.00000">
                  <c:v>0.4319504186241912</c:v>
                </c:pt>
                <c:pt idx="38" formatCode="0.00000">
                  <c:v>0.44011456609425997</c:v>
                </c:pt>
                <c:pt idx="39" formatCode="0.00000">
                  <c:v>0.44805730981259267</c:v>
                </c:pt>
                <c:pt idx="40" formatCode="0.00000">
                  <c:v>0.45609530394743231</c:v>
                </c:pt>
                <c:pt idx="41" formatCode="0.00000">
                  <c:v>0.46422198332531289</c:v>
                </c:pt>
                <c:pt idx="42" formatCode="0.00000">
                  <c:v>0.47239598302384306</c:v>
                </c:pt>
                <c:pt idx="43" formatCode="0.00000">
                  <c:v>0.48057966538017355</c:v>
                </c:pt>
                <c:pt idx="44" formatCode="0.00000">
                  <c:v>0.48879900406527349</c:v>
                </c:pt>
                <c:pt idx="45" formatCode="0.00000">
                  <c:v>0.49706493614251529</c:v>
                </c:pt>
                <c:pt idx="46" formatCode="0.00000">
                  <c:v>0.5053788512751638</c:v>
                </c:pt>
                <c:pt idx="47" formatCode="0.00000">
                  <c:v>0.51371747130783907</c:v>
                </c:pt>
                <c:pt idx="48" formatCode="0.00000">
                  <c:v>0.52207760004493731</c:v>
                </c:pt>
                <c:pt idx="49" formatCode="0.00000">
                  <c:v>0.53044734377044234</c:v>
                </c:pt>
                <c:pt idx="50" formatCode="0.00000">
                  <c:v>0.53884203317263424</c:v>
                </c:pt>
                <c:pt idx="51" formatCode="0.00000">
                  <c:v>0.54725637712789366</c:v>
                </c:pt>
                <c:pt idx="52" formatCode="0.00000">
                  <c:v>0.55568457881673816</c:v>
                </c:pt>
              </c:numCache>
            </c:numRef>
          </c:yVal>
          <c:smooth val="1"/>
          <c:extLst>
            <c:ext xmlns:c16="http://schemas.microsoft.com/office/drawing/2014/chart" uri="{C3380CC4-5D6E-409C-BE32-E72D297353CC}">
              <c16:uniqueId val="{00000001-73F5-42D9-B870-B834FEF002C6}"/>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Exportaciones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Arroz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'CC70-Tendencial'!$K$88:$BK$88</c:f>
              <c:numCache>
                <c:formatCode>General</c:formatCode>
                <c:ptCount val="53"/>
                <c:pt idx="0">
                  <c:v>3.1556059040000001E-2</c:v>
                </c:pt>
                <c:pt idx="1">
                  <c:v>2.9026780660000001E-2</c:v>
                </c:pt>
                <c:pt idx="2">
                  <c:v>4.4062796729000001E-2</c:v>
                </c:pt>
                <c:pt idx="3">
                  <c:v>1.9135541829999998E-2</c:v>
                </c:pt>
                <c:pt idx="4">
                  <c:v>1.9041628023880708E-2</c:v>
                </c:pt>
                <c:pt idx="5">
                  <c:v>1.8103249177160562E-2</c:v>
                </c:pt>
                <c:pt idx="6">
                  <c:v>2.1337049094822553E-2</c:v>
                </c:pt>
                <c:pt idx="7">
                  <c:v>2.0807000373014684E-2</c:v>
                </c:pt>
                <c:pt idx="8">
                  <c:v>2.4487209178632004E-2</c:v>
                </c:pt>
                <c:pt idx="9">
                  <c:v>2.5866993852546535E-2</c:v>
                </c:pt>
                <c:pt idx="10">
                  <c:v>2.7386358431591706E-2</c:v>
                </c:pt>
                <c:pt idx="11">
                  <c:v>2.8698615185189191E-2</c:v>
                </c:pt>
                <c:pt idx="12">
                  <c:v>3.0407595843490506E-2</c:v>
                </c:pt>
                <c:pt idx="13">
                  <c:v>2.8296613022296843E-2</c:v>
                </c:pt>
                <c:pt idx="14">
                  <c:v>2.9377750586580383E-2</c:v>
                </c:pt>
                <c:pt idx="15">
                  <c:v>3.0872911550805373E-2</c:v>
                </c:pt>
                <c:pt idx="16">
                  <c:v>3.1793540616967216E-2</c:v>
                </c:pt>
                <c:pt idx="17">
                  <c:v>3.2662419920769167E-2</c:v>
                </c:pt>
                <c:pt idx="18">
                  <c:v>3.3497009790805818E-2</c:v>
                </c:pt>
                <c:pt idx="19">
                  <c:v>3.4133352644624901E-2</c:v>
                </c:pt>
                <c:pt idx="20">
                  <c:v>3.4609052420555682E-2</c:v>
                </c:pt>
                <c:pt idx="21">
                  <c:v>3.5635946613593553E-2</c:v>
                </c:pt>
                <c:pt idx="22">
                  <c:v>3.6559423817922286E-2</c:v>
                </c:pt>
                <c:pt idx="23">
                  <c:v>3.7415932093198913E-2</c:v>
                </c:pt>
                <c:pt idx="24">
                  <c:v>3.8242618591557101E-2</c:v>
                </c:pt>
                <c:pt idx="25">
                  <c:v>3.8883443758470117E-2</c:v>
                </c:pt>
                <c:pt idx="26">
                  <c:v>3.9702678999208596E-2</c:v>
                </c:pt>
                <c:pt idx="27">
                  <c:v>4.0423428040175964E-2</c:v>
                </c:pt>
                <c:pt idx="28">
                  <c:v>4.1382240228999362E-2</c:v>
                </c:pt>
                <c:pt idx="29">
                  <c:v>4.2159273626854996E-2</c:v>
                </c:pt>
                <c:pt idx="30">
                  <c:v>4.2912323268450306E-2</c:v>
                </c:pt>
                <c:pt idx="31">
                  <c:v>4.3689093699071868E-2</c:v>
                </c:pt>
                <c:pt idx="32">
                  <c:v>4.4471695152013262E-2</c:v>
                </c:pt>
                <c:pt idx="33">
                  <c:v>4.5364535996131883E-2</c:v>
                </c:pt>
                <c:pt idx="34">
                  <c:v>4.6182612756610966E-2</c:v>
                </c:pt>
                <c:pt idx="35">
                  <c:v>4.7004393914298399E-2</c:v>
                </c:pt>
                <c:pt idx="36">
                  <c:v>4.7847678433650717E-2</c:v>
                </c:pt>
                <c:pt idx="37">
                  <c:v>4.869656175021065E-2</c:v>
                </c:pt>
                <c:pt idx="38">
                  <c:v>4.9569019756685942E-2</c:v>
                </c:pt>
                <c:pt idx="39">
                  <c:v>5.0414881391616338E-2</c:v>
                </c:pt>
                <c:pt idx="40">
                  <c:v>5.1269818793444631E-2</c:v>
                </c:pt>
                <c:pt idx="41">
                  <c:v>5.213306844936056E-2</c:v>
                </c:pt>
                <c:pt idx="42">
                  <c:v>5.2999965465106859E-2</c:v>
                </c:pt>
                <c:pt idx="43">
                  <c:v>5.3866280662159642E-2</c:v>
                </c:pt>
                <c:pt idx="44">
                  <c:v>5.4734924207018192E-2</c:v>
                </c:pt>
                <c:pt idx="45">
                  <c:v>5.5607112935554551E-2</c:v>
                </c:pt>
                <c:pt idx="46">
                  <c:v>5.6482991964549777E-2</c:v>
                </c:pt>
                <c:pt idx="47">
                  <c:v>5.735995152976698E-2</c:v>
                </c:pt>
                <c:pt idx="48">
                  <c:v>5.8237631994329644E-2</c:v>
                </c:pt>
                <c:pt idx="49">
                  <c:v>5.9114705817853726E-2</c:v>
                </c:pt>
                <c:pt idx="50">
                  <c:v>5.9992881606460796E-2</c:v>
                </c:pt>
                <c:pt idx="51">
                  <c:v>6.0871567671661873E-2</c:v>
                </c:pt>
                <c:pt idx="52">
                  <c:v>6.1750118386016066E-2</c:v>
                </c:pt>
              </c:numCache>
            </c:numRef>
          </c:yVal>
          <c:smooth val="1"/>
          <c:extLst>
            <c:ext xmlns:c16="http://schemas.microsoft.com/office/drawing/2014/chart" uri="{C3380CC4-5D6E-409C-BE32-E72D297353CC}">
              <c16:uniqueId val="{00000000-C130-4286-BD30-5021ED1A40CD}"/>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'CC70-Tendencial'!$K$104:$BK$104</c:f>
              <c:numCache>
                <c:formatCode>General</c:formatCode>
                <c:ptCount val="53"/>
                <c:pt idx="0">
                  <c:v>3.1556059040000001E-2</c:v>
                </c:pt>
                <c:pt idx="1">
                  <c:v>2.9026780660000001E-2</c:v>
                </c:pt>
                <c:pt idx="2">
                  <c:v>4.4062796729000001E-2</c:v>
                </c:pt>
                <c:pt idx="3">
                  <c:v>1.9135541829999998E-2</c:v>
                </c:pt>
                <c:pt idx="4">
                  <c:v>1.9041628023880708E-2</c:v>
                </c:pt>
                <c:pt idx="5" formatCode="0.00000">
                  <c:v>1.8121352426337722E-2</c:v>
                </c:pt>
                <c:pt idx="6" formatCode="0.00000">
                  <c:v>2.1369054668464789E-2</c:v>
                </c:pt>
                <c:pt idx="7" formatCode="0.00000">
                  <c:v>2.0848614373760715E-2</c:v>
                </c:pt>
                <c:pt idx="8" formatCode="0.00000">
                  <c:v>2.4548427201578585E-2</c:v>
                </c:pt>
                <c:pt idx="9" formatCode="0.00000">
                  <c:v>2.5944594834104173E-2</c:v>
                </c:pt>
                <c:pt idx="10" formatCode="0.00000">
                  <c:v>2.7482210686102279E-2</c:v>
                </c:pt>
                <c:pt idx="11" formatCode="0.00000">
                  <c:v>2.8813409645929947E-2</c:v>
                </c:pt>
                <c:pt idx="12" formatCode="0.00000">
                  <c:v>3.0544430024786212E-2</c:v>
                </c:pt>
                <c:pt idx="13" formatCode="0.00000">
                  <c:v>2.8438096087408323E-2</c:v>
                </c:pt>
                <c:pt idx="14" formatCode="0.00000">
                  <c:v>2.9539328214806575E-2</c:v>
                </c:pt>
                <c:pt idx="15" formatCode="0.00000">
                  <c:v>3.1058149020110205E-2</c:v>
                </c:pt>
                <c:pt idx="16" formatCode="0.00000">
                  <c:v>3.20001986309775E-2</c:v>
                </c:pt>
                <c:pt idx="17" formatCode="0.00000">
                  <c:v>3.2891056860214547E-2</c:v>
                </c:pt>
                <c:pt idx="18" formatCode="0.00000">
                  <c:v>3.3748237364236863E-2</c:v>
                </c:pt>
                <c:pt idx="19" formatCode="0.00000">
                  <c:v>3.44064194657819E-2</c:v>
                </c:pt>
                <c:pt idx="20" formatCode="0.00000">
                  <c:v>3.4903229366130405E-2</c:v>
                </c:pt>
                <c:pt idx="21" formatCode="0.00000">
                  <c:v>3.5956670133115889E-2</c:v>
                </c:pt>
                <c:pt idx="22" formatCode="0.00000">
                  <c:v>3.6906738344192551E-2</c:v>
                </c:pt>
                <c:pt idx="23" formatCode="0.00000">
                  <c:v>3.7790091414130901E-2</c:v>
                </c:pt>
                <c:pt idx="24" formatCode="0.00000">
                  <c:v>3.8644166086768447E-2</c:v>
                </c:pt>
                <c:pt idx="25" formatCode="0.00000">
                  <c:v>3.9311161639813283E-2</c:v>
                </c:pt>
                <c:pt idx="26" formatCode="0.00000">
                  <c:v>4.01592598076995E-2</c:v>
                </c:pt>
                <c:pt idx="27" formatCode="0.00000">
                  <c:v>4.0908509176658073E-2</c:v>
                </c:pt>
                <c:pt idx="28" formatCode="0.00000">
                  <c:v>4.1899518231861853E-2</c:v>
                </c:pt>
                <c:pt idx="29" formatCode="0.00000">
                  <c:v>4.2707344184004105E-2</c:v>
                </c:pt>
                <c:pt idx="30" formatCode="0.00000">
                  <c:v>4.3491639632574387E-2</c:v>
                </c:pt>
                <c:pt idx="31" formatCode="0.00000">
                  <c:v>4.4300741010858874E-2</c:v>
                </c:pt>
                <c:pt idx="32" formatCode="0.00000">
                  <c:v>4.511653473171745E-2</c:v>
                </c:pt>
                <c:pt idx="33" formatCode="0.00000">
                  <c:v>4.604500403607386E-2</c:v>
                </c:pt>
                <c:pt idx="34" formatCode="0.00000">
                  <c:v>4.6898443254338437E-2</c:v>
                </c:pt>
                <c:pt idx="35" formatCode="0.00000">
                  <c:v>4.7756464216927176E-2</c:v>
                </c:pt>
                <c:pt idx="36" formatCode="0.00000">
                  <c:v>4.8637165127805949E-2</c:v>
                </c:pt>
                <c:pt idx="37" formatCode="0.00000">
                  <c:v>4.9524403299964229E-2</c:v>
                </c:pt>
                <c:pt idx="38" formatCode="0.00000">
                  <c:v>5.0436477602427948E-2</c:v>
                </c:pt>
                <c:pt idx="39" formatCode="0.00000">
                  <c:v>5.1322349256665435E-2</c:v>
                </c:pt>
                <c:pt idx="40" formatCode="0.00000">
                  <c:v>5.2218310441123357E-2</c:v>
                </c:pt>
                <c:pt idx="41" formatCode="0.00000">
                  <c:v>5.3123596749898409E-2</c:v>
                </c:pt>
                <c:pt idx="42" formatCode="0.00000">
                  <c:v>5.403346479167645E-2</c:v>
                </c:pt>
                <c:pt idx="43" formatCode="0.00000">
                  <c:v>5.4943606275402838E-2</c:v>
                </c:pt>
                <c:pt idx="44" formatCode="0.00000">
                  <c:v>5.5856990153262065E-2</c:v>
                </c:pt>
                <c:pt idx="45" formatCode="0.00000">
                  <c:v>5.677486230720119E-2</c:v>
                </c:pt>
                <c:pt idx="46" formatCode="0.00000">
                  <c:v>5.7697376291787603E-2</c:v>
                </c:pt>
                <c:pt idx="47" formatCode="0.00000">
                  <c:v>5.8621870463421856E-2</c:v>
                </c:pt>
                <c:pt idx="48" formatCode="0.00000">
                  <c:v>5.954797871420206E-2</c:v>
                </c:pt>
                <c:pt idx="49" formatCode="0.00000">
                  <c:v>6.0474344051664353E-2</c:v>
                </c:pt>
                <c:pt idx="50" formatCode="0.00000">
                  <c:v>6.1402714324212626E-2</c:v>
                </c:pt>
                <c:pt idx="51" formatCode="0.00000">
                  <c:v>6.233248529578176E-2</c:v>
                </c:pt>
                <c:pt idx="52" formatCode="0.00000">
                  <c:v>6.3262996286473458E-2</c:v>
                </c:pt>
              </c:numCache>
            </c:numRef>
          </c:yVal>
          <c:smooth val="1"/>
          <c:extLst>
            <c:ext xmlns:c16="http://schemas.microsoft.com/office/drawing/2014/chart" uri="{C3380CC4-5D6E-409C-BE32-E72D297353CC}">
              <c16:uniqueId val="{00000001-C130-4286-BD30-5021ED1A40CD}"/>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Exportaciones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Banano </a:t>
            </a:r>
          </a:p>
        </c:rich>
      </c:tx>
      <c:layout>
        <c:manualLayout>
          <c:xMode val="edge"/>
          <c:yMode val="edge"/>
          <c:x val="0.30959027305505554"/>
          <c:y val="4.262023857265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'CC70-Tendencial'!$K$111:$BK$111</c:f>
              <c:numCache>
                <c:formatCode>General</c:formatCode>
                <c:ptCount val="53"/>
                <c:pt idx="0">
                  <c:v>6.5056349999999998</c:v>
                </c:pt>
                <c:pt idx="1">
                  <c:v>6.5834770000000002</c:v>
                </c:pt>
                <c:pt idx="2">
                  <c:v>6.544556</c:v>
                </c:pt>
                <c:pt idx="3">
                  <c:v>6.6849160000000003</c:v>
                </c:pt>
                <c:pt idx="4">
                  <c:v>6.0787890000000004</c:v>
                </c:pt>
                <c:pt idx="5">
                  <c:v>6.6176148515088835</c:v>
                </c:pt>
                <c:pt idx="6">
                  <c:v>7.0208577191704835</c:v>
                </c:pt>
                <c:pt idx="7">
                  <c:v>7.0329783540655306</c:v>
                </c:pt>
                <c:pt idx="8">
                  <c:v>7.0681432458358575</c:v>
                </c:pt>
                <c:pt idx="9">
                  <c:v>7.1034839620650363</c:v>
                </c:pt>
                <c:pt idx="10">
                  <c:v>7.1390013818753602</c:v>
                </c:pt>
                <c:pt idx="11">
                  <c:v>7.1746963887847368</c:v>
                </c:pt>
                <c:pt idx="12">
                  <c:v>7.2105698707286603</c:v>
                </c:pt>
                <c:pt idx="13">
                  <c:v>7.2466227200823026</c:v>
                </c:pt>
                <c:pt idx="14">
                  <c:v>7.2828558336827136</c:v>
                </c:pt>
                <c:pt idx="15">
                  <c:v>7.3192701128511271</c:v>
                </c:pt>
                <c:pt idx="16">
                  <c:v>7.3558664634153823</c:v>
                </c:pt>
                <c:pt idx="17">
                  <c:v>7.3926457957324585</c:v>
                </c:pt>
                <c:pt idx="18">
                  <c:v>7.4296090247111204</c:v>
                </c:pt>
                <c:pt idx="19">
                  <c:v>7.4667570698346744</c:v>
                </c:pt>
                <c:pt idx="20">
                  <c:v>7.5040908551838479</c:v>
                </c:pt>
                <c:pt idx="21">
                  <c:v>7.5416113094597659</c:v>
                </c:pt>
                <c:pt idx="22">
                  <c:v>7.5793193660070637</c:v>
                </c:pt>
                <c:pt idx="23">
                  <c:v>7.617215962837097</c:v>
                </c:pt>
                <c:pt idx="24">
                  <c:v>7.6553020426512814</c:v>
                </c:pt>
                <c:pt idx="25">
                  <c:v>7.6935785528645377</c:v>
                </c:pt>
                <c:pt idx="26">
                  <c:v>7.7320464456288596</c:v>
                </c:pt>
                <c:pt idx="27">
                  <c:v>7.770706677857004</c:v>
                </c:pt>
                <c:pt idx="28">
                  <c:v>7.8095602112462883</c:v>
                </c:pt>
                <c:pt idx="29">
                  <c:v>7.8486080123025186</c:v>
                </c:pt>
                <c:pt idx="30">
                  <c:v>7.8878510523640308</c:v>
                </c:pt>
                <c:pt idx="31">
                  <c:v>7.9272903076258503</c:v>
                </c:pt>
                <c:pt idx="32">
                  <c:v>7.9669267591639787</c:v>
                </c:pt>
                <c:pt idx="33">
                  <c:v>8.0067613929597972</c:v>
                </c:pt>
                <c:pt idx="34">
                  <c:v>8.0467951999245955</c:v>
                </c:pt>
                <c:pt idx="35">
                  <c:v>8.0870291759242185</c:v>
                </c:pt>
                <c:pt idx="36">
                  <c:v>8.1274643218038385</c:v>
                </c:pt>
                <c:pt idx="37">
                  <c:v>8.1681016434128573</c:v>
                </c:pt>
                <c:pt idx="38">
                  <c:v>8.2089421516299197</c:v>
                </c:pt>
                <c:pt idx="39">
                  <c:v>8.2499868623880683</c:v>
                </c:pt>
                <c:pt idx="40">
                  <c:v>8.2912367967000087</c:v>
                </c:pt>
                <c:pt idx="41">
                  <c:v>8.3326929806835075</c:v>
                </c:pt>
                <c:pt idx="42">
                  <c:v>8.3743564455869244</c:v>
                </c:pt>
                <c:pt idx="43">
                  <c:v>8.4162282278148588</c:v>
                </c:pt>
                <c:pt idx="44">
                  <c:v>8.4583093689539304</c:v>
                </c:pt>
                <c:pt idx="45">
                  <c:v>8.5006009157986995</c:v>
                </c:pt>
                <c:pt idx="46">
                  <c:v>8.5431039203776926</c:v>
                </c:pt>
                <c:pt idx="47">
                  <c:v>8.5858194399795806</c:v>
                </c:pt>
                <c:pt idx="48">
                  <c:v>8.6287485371794777</c:v>
                </c:pt>
                <c:pt idx="49">
                  <c:v>8.6718922798653733</c:v>
                </c:pt>
                <c:pt idx="50">
                  <c:v>8.7152517412646997</c:v>
                </c:pt>
                <c:pt idx="51">
                  <c:v>8.7588279999710217</c:v>
                </c:pt>
                <c:pt idx="52">
                  <c:v>8.8026221399708753</c:v>
                </c:pt>
              </c:numCache>
            </c:numRef>
          </c:yVal>
          <c:smooth val="1"/>
          <c:extLst>
            <c:ext xmlns:c16="http://schemas.microsoft.com/office/drawing/2014/chart" uri="{C3380CC4-5D6E-409C-BE32-E72D297353CC}">
              <c16:uniqueId val="{00000000-5963-43ED-8669-1EFEE06DC4E4}"/>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'CC70-Tendencial'!$K$127:$BK$127</c:f>
              <c:numCache>
                <c:formatCode>General</c:formatCode>
                <c:ptCount val="53"/>
                <c:pt idx="0">
                  <c:v>6.5056349999999998</c:v>
                </c:pt>
                <c:pt idx="1">
                  <c:v>6.5834770000000002</c:v>
                </c:pt>
                <c:pt idx="2">
                  <c:v>6.544556</c:v>
                </c:pt>
                <c:pt idx="3">
                  <c:v>6.6849160000000003</c:v>
                </c:pt>
                <c:pt idx="4">
                  <c:v>6.0787890000000004</c:v>
                </c:pt>
                <c:pt idx="5" formatCode="0.00000">
                  <c:v>6.6176148515088835</c:v>
                </c:pt>
                <c:pt idx="6" formatCode="0.00000">
                  <c:v>7.0208577191704835</c:v>
                </c:pt>
                <c:pt idx="7" formatCode="0.00000">
                  <c:v>7.0329783540655306</c:v>
                </c:pt>
                <c:pt idx="8" formatCode="0.00000">
                  <c:v>7.0681432458358575</c:v>
                </c:pt>
                <c:pt idx="9" formatCode="0.00000">
                  <c:v>7.1034839620650363</c:v>
                </c:pt>
                <c:pt idx="10" formatCode="0.00000">
                  <c:v>7.1390013818753602</c:v>
                </c:pt>
                <c:pt idx="11" formatCode="0.00000">
                  <c:v>7.1746963887847368</c:v>
                </c:pt>
                <c:pt idx="12" formatCode="0.00000">
                  <c:v>7.2105698707286603</c:v>
                </c:pt>
                <c:pt idx="13" formatCode="0.00000">
                  <c:v>7.2466227200823026</c:v>
                </c:pt>
                <c:pt idx="14" formatCode="0.00000">
                  <c:v>7.2828558336827136</c:v>
                </c:pt>
                <c:pt idx="15" formatCode="0.00000">
                  <c:v>7.3192701128511271</c:v>
                </c:pt>
                <c:pt idx="16" formatCode="0.00000">
                  <c:v>7.3558664634153823</c:v>
                </c:pt>
                <c:pt idx="17" formatCode="0.00000">
                  <c:v>7.3926457957324585</c:v>
                </c:pt>
                <c:pt idx="18" formatCode="0.00000">
                  <c:v>7.4296090247111204</c:v>
                </c:pt>
                <c:pt idx="19" formatCode="0.00000">
                  <c:v>7.4667570698346744</c:v>
                </c:pt>
                <c:pt idx="20" formatCode="0.00000">
                  <c:v>7.5040908551838479</c:v>
                </c:pt>
                <c:pt idx="21" formatCode="0.00000">
                  <c:v>7.5416113094597659</c:v>
                </c:pt>
                <c:pt idx="22" formatCode="0.00000">
                  <c:v>7.5793193660070637</c:v>
                </c:pt>
                <c:pt idx="23" formatCode="0.00000">
                  <c:v>7.617215962837097</c:v>
                </c:pt>
                <c:pt idx="24" formatCode="0.00000">
                  <c:v>7.6553020426512814</c:v>
                </c:pt>
                <c:pt idx="25" formatCode="0.00000">
                  <c:v>7.6935785528645377</c:v>
                </c:pt>
                <c:pt idx="26" formatCode="0.00000">
                  <c:v>7.7320464456288596</c:v>
                </c:pt>
                <c:pt idx="27" formatCode="0.00000">
                  <c:v>7.770706677857004</c:v>
                </c:pt>
                <c:pt idx="28" formatCode="0.00000">
                  <c:v>7.8095602112462883</c:v>
                </c:pt>
                <c:pt idx="29" formatCode="0.00000">
                  <c:v>7.8486080123025186</c:v>
                </c:pt>
                <c:pt idx="30" formatCode="0.00000">
                  <c:v>7.8878510523640308</c:v>
                </c:pt>
                <c:pt idx="31" formatCode="0.00000">
                  <c:v>7.9272903076258503</c:v>
                </c:pt>
                <c:pt idx="32" formatCode="0.00000">
                  <c:v>7.9669267591639787</c:v>
                </c:pt>
                <c:pt idx="33" formatCode="0.00000">
                  <c:v>8.0067613929597972</c:v>
                </c:pt>
                <c:pt idx="34" formatCode="0.00000">
                  <c:v>8.0467951999245955</c:v>
                </c:pt>
                <c:pt idx="35" formatCode="0.00000">
                  <c:v>8.0870291759242185</c:v>
                </c:pt>
                <c:pt idx="36" formatCode="0.00000">
                  <c:v>8.1274643218038385</c:v>
                </c:pt>
                <c:pt idx="37" formatCode="0.00000">
                  <c:v>8.1681016434128573</c:v>
                </c:pt>
                <c:pt idx="38" formatCode="0.00000">
                  <c:v>8.2089421516299197</c:v>
                </c:pt>
                <c:pt idx="39" formatCode="0.00000">
                  <c:v>8.2499868623880666</c:v>
                </c:pt>
                <c:pt idx="40" formatCode="0.00000">
                  <c:v>8.2912367967000087</c:v>
                </c:pt>
                <c:pt idx="41" formatCode="0.00000">
                  <c:v>8.3326929806835075</c:v>
                </c:pt>
                <c:pt idx="42" formatCode="0.00000">
                  <c:v>8.3743564455869244</c:v>
                </c:pt>
                <c:pt idx="43" formatCode="0.00000">
                  <c:v>8.4162282278148588</c:v>
                </c:pt>
                <c:pt idx="44" formatCode="0.00000">
                  <c:v>8.4583093689539304</c:v>
                </c:pt>
                <c:pt idx="45" formatCode="0.00000">
                  <c:v>8.5006009157986995</c:v>
                </c:pt>
                <c:pt idx="46" formatCode="0.00000">
                  <c:v>8.5431039203776926</c:v>
                </c:pt>
                <c:pt idx="47" formatCode="0.00000">
                  <c:v>8.5858194399795806</c:v>
                </c:pt>
                <c:pt idx="48" formatCode="0.00000">
                  <c:v>8.6287485371794777</c:v>
                </c:pt>
                <c:pt idx="49" formatCode="0.00000">
                  <c:v>8.6718922798653715</c:v>
                </c:pt>
                <c:pt idx="50" formatCode="0.00000">
                  <c:v>8.7152517412646997</c:v>
                </c:pt>
                <c:pt idx="51" formatCode="0.00000">
                  <c:v>8.7588279999710217</c:v>
                </c:pt>
                <c:pt idx="52" formatCode="0.00000">
                  <c:v>8.8026221399708753</c:v>
                </c:pt>
              </c:numCache>
            </c:numRef>
          </c:yVal>
          <c:smooth val="1"/>
          <c:extLst>
            <c:ext xmlns:c16="http://schemas.microsoft.com/office/drawing/2014/chart" uri="{C3380CC4-5D6E-409C-BE32-E72D297353CC}">
              <c16:uniqueId val="{00000001-5963-43ED-8669-1EFEE06DC4E4}"/>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Producción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Raza</a:t>
            </a:r>
            <a:r>
              <a:rPr lang="en-US" baseline="0"/>
              <a:t> importada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'CC70-Tendencial'!$K$267:$S$267</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'CC70-Tendencial'!$K$276:$S$276</c:f>
              <c:numCache>
                <c:formatCode>General</c:formatCode>
                <c:ptCount val="9"/>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numCache>
            </c:numRef>
          </c:yVal>
          <c:smooth val="1"/>
          <c:extLst>
            <c:ext xmlns:c16="http://schemas.microsoft.com/office/drawing/2014/chart" uri="{C3380CC4-5D6E-409C-BE32-E72D297353CC}">
              <c16:uniqueId val="{00000000-C8E4-4BD2-803A-EBADDDF56D03}"/>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'CC70-Tendencial'!$K$267:$S$267</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'CC70-Tendencial'!$K$280:$S$280</c:f>
              <c:numCache>
                <c:formatCode>General</c:formatCode>
                <c:ptCount val="9"/>
                <c:pt idx="0">
                  <c:v>39.299999999999997</c:v>
                </c:pt>
                <c:pt idx="1">
                  <c:v>39.299999999999997</c:v>
                </c:pt>
                <c:pt idx="2">
                  <c:v>39.299999999999997</c:v>
                </c:pt>
                <c:pt idx="3">
                  <c:v>39.299999999999997</c:v>
                </c:pt>
                <c:pt idx="4">
                  <c:v>39.299999999999997</c:v>
                </c:pt>
                <c:pt idx="5">
                  <c:v>38.049999999999997</c:v>
                </c:pt>
                <c:pt idx="6">
                  <c:v>36.799999999999997</c:v>
                </c:pt>
                <c:pt idx="7">
                  <c:v>35.549999999999997</c:v>
                </c:pt>
                <c:pt idx="8">
                  <c:v>34.299999999999997</c:v>
                </c:pt>
              </c:numCache>
            </c:numRef>
          </c:yVal>
          <c:smooth val="1"/>
          <c:extLst>
            <c:ext xmlns:c16="http://schemas.microsoft.com/office/drawing/2014/chart" uri="{C3380CC4-5D6E-409C-BE32-E72D297353CC}">
              <c16:uniqueId val="{00000001-C8E4-4BD2-803A-EBADDDF56D03}"/>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en el hato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Cacao</a:t>
            </a:r>
          </a:p>
        </c:rich>
      </c:tx>
      <c:layout>
        <c:manualLayout>
          <c:xMode val="edge"/>
          <c:yMode val="edge"/>
          <c:x val="0.30959027305505554"/>
          <c:y val="4.262023857265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'CC70-Tendencial'!$K$112:$BK$112</c:f>
              <c:numCache>
                <c:formatCode>General</c:formatCode>
                <c:ptCount val="53"/>
                <c:pt idx="0">
                  <c:v>0.235182</c:v>
                </c:pt>
                <c:pt idx="1">
                  <c:v>0.28367999999999999</c:v>
                </c:pt>
                <c:pt idx="2">
                  <c:v>0.327903</c:v>
                </c:pt>
                <c:pt idx="3">
                  <c:v>0.30209399999999997</c:v>
                </c:pt>
                <c:pt idx="4">
                  <c:v>0.33714940921686015</c:v>
                </c:pt>
                <c:pt idx="5">
                  <c:v>0.35886470240306245</c:v>
                </c:pt>
                <c:pt idx="6">
                  <c:v>0.381525233817744</c:v>
                </c:pt>
                <c:pt idx="7">
                  <c:v>0.38298010596947313</c:v>
                </c:pt>
                <c:pt idx="8">
                  <c:v>0.41494806657878391</c:v>
                </c:pt>
                <c:pt idx="9">
                  <c:v>0.43467423609182221</c:v>
                </c:pt>
                <c:pt idx="10">
                  <c:v>0.45555627027367868</c:v>
                </c:pt>
                <c:pt idx="11">
                  <c:v>0.47588825567318871</c:v>
                </c:pt>
                <c:pt idx="12">
                  <c:v>0.49867085441778475</c:v>
                </c:pt>
                <c:pt idx="13">
                  <c:v>0.50337855333280912</c:v>
                </c:pt>
                <c:pt idx="14">
                  <c:v>0.52408759556318041</c:v>
                </c:pt>
                <c:pt idx="15">
                  <c:v>0.54751235992063418</c:v>
                </c:pt>
                <c:pt idx="16">
                  <c:v>0.56845331477086447</c:v>
                </c:pt>
                <c:pt idx="17">
                  <c:v>0.58966061791681557</c:v>
                </c:pt>
                <c:pt idx="18">
                  <c:v>0.61123068354915766</c:v>
                </c:pt>
                <c:pt idx="19">
                  <c:v>0.61988187169698128</c:v>
                </c:pt>
                <c:pt idx="20">
                  <c:v>0.62762356224013671</c:v>
                </c:pt>
                <c:pt idx="21">
                  <c:v>0.63821027588962875</c:v>
                </c:pt>
                <c:pt idx="22">
                  <c:v>0.64815625490928919</c:v>
                </c:pt>
                <c:pt idx="23">
                  <c:v>0.65766685618270837</c:v>
                </c:pt>
                <c:pt idx="24">
                  <c:v>0.66693979462518593</c:v>
                </c:pt>
                <c:pt idx="25">
                  <c:v>0.67518523841270128</c:v>
                </c:pt>
                <c:pt idx="26">
                  <c:v>0.68425563639713283</c:v>
                </c:pt>
                <c:pt idx="27">
                  <c:v>0.69274367648454438</c:v>
                </c:pt>
                <c:pt idx="28">
                  <c:v>0.70233330319555287</c:v>
                </c:pt>
                <c:pt idx="29">
                  <c:v>0.7109240809816374</c:v>
                </c:pt>
                <c:pt idx="30">
                  <c:v>0.71930599887220825</c:v>
                </c:pt>
                <c:pt idx="31">
                  <c:v>0.72771352429949931</c:v>
                </c:pt>
                <c:pt idx="32">
                  <c:v>0.73605806278692554</c:v>
                </c:pt>
                <c:pt idx="33">
                  <c:v>0.74483827741175423</c:v>
                </c:pt>
                <c:pt idx="34">
                  <c:v>0.75315668971454774</c:v>
                </c:pt>
                <c:pt idx="35">
                  <c:v>0.76138997458477398</c:v>
                </c:pt>
                <c:pt idx="36">
                  <c:v>0.76961861021949074</c:v>
                </c:pt>
                <c:pt idx="37">
                  <c:v>0.77776321466429199</c:v>
                </c:pt>
                <c:pt idx="38">
                  <c:v>0.78590375598605355</c:v>
                </c:pt>
                <c:pt idx="39">
                  <c:v>0.7938038083429757</c:v>
                </c:pt>
                <c:pt idx="40">
                  <c:v>0.80162630597989104</c:v>
                </c:pt>
                <c:pt idx="41">
                  <c:v>0.80936402849926736</c:v>
                </c:pt>
                <c:pt idx="42">
                  <c:v>0.81699227335561775</c:v>
                </c:pt>
                <c:pt idx="43">
                  <c:v>0.82448891395678192</c:v>
                </c:pt>
                <c:pt idx="44">
                  <c:v>0.83186414368667627</c:v>
                </c:pt>
                <c:pt idx="45">
                  <c:v>0.83912033736241753</c:v>
                </c:pt>
                <c:pt idx="46">
                  <c:v>0.84625505045622962</c:v>
                </c:pt>
                <c:pt idx="47">
                  <c:v>0.85325386242213341</c:v>
                </c:pt>
                <c:pt idx="48">
                  <c:v>0.86011244506838935</c:v>
                </c:pt>
                <c:pt idx="49">
                  <c:v>0.86682240165161506</c:v>
                </c:pt>
                <c:pt idx="50">
                  <c:v>0.87338848029273564</c:v>
                </c:pt>
                <c:pt idx="51">
                  <c:v>0.87980553417691676</c:v>
                </c:pt>
                <c:pt idx="52">
                  <c:v>0.88606831242719475</c:v>
                </c:pt>
              </c:numCache>
            </c:numRef>
          </c:yVal>
          <c:smooth val="1"/>
          <c:extLst>
            <c:ext xmlns:c16="http://schemas.microsoft.com/office/drawing/2014/chart" uri="{C3380CC4-5D6E-409C-BE32-E72D297353CC}">
              <c16:uniqueId val="{00000000-0DB3-4D9A-9B97-F66A57FE9B68}"/>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'CC70-Tendencial'!$K$128:$BK$128</c:f>
              <c:numCache>
                <c:formatCode>General</c:formatCode>
                <c:ptCount val="53"/>
                <c:pt idx="0">
                  <c:v>0.235182</c:v>
                </c:pt>
                <c:pt idx="1">
                  <c:v>0.28367999999999999</c:v>
                </c:pt>
                <c:pt idx="2">
                  <c:v>0.327903</c:v>
                </c:pt>
                <c:pt idx="3">
                  <c:v>0.30209399999999997</c:v>
                </c:pt>
                <c:pt idx="4">
                  <c:v>0.33714940921686015</c:v>
                </c:pt>
                <c:pt idx="5" formatCode="0.00000">
                  <c:v>0.36113924042685236</c:v>
                </c:pt>
                <c:pt idx="6" formatCode="0.00000">
                  <c:v>0.38554649505709726</c:v>
                </c:pt>
                <c:pt idx="7" formatCode="0.00000">
                  <c:v>0.3882085942973188</c:v>
                </c:pt>
                <c:pt idx="8" formatCode="0.00000">
                  <c:v>0.4215490330926891</c:v>
                </c:pt>
                <c:pt idx="9" formatCode="0.00000">
                  <c:v>0.44267460750667526</c:v>
                </c:pt>
                <c:pt idx="10" formatCode="0.00000">
                  <c:v>0.46498337459084715</c:v>
                </c:pt>
                <c:pt idx="11" formatCode="0.00000">
                  <c:v>0.48676982751357745</c:v>
                </c:pt>
                <c:pt idx="12" formatCode="0.00000">
                  <c:v>0.51103504042142656</c:v>
                </c:pt>
                <c:pt idx="13" formatCode="0.00000">
                  <c:v>0.51725391762578488</c:v>
                </c:pt>
                <c:pt idx="14" formatCode="0.00000">
                  <c:v>0.53950312529267652</c:v>
                </c:pt>
                <c:pt idx="15" formatCode="0.00000">
                  <c:v>0.56449747085895163</c:v>
                </c:pt>
                <c:pt idx="16" formatCode="0.00000">
                  <c:v>0.58703785698920685</c:v>
                </c:pt>
                <c:pt idx="17" formatCode="0.00000">
                  <c:v>0.60987488152968949</c:v>
                </c:pt>
                <c:pt idx="18" formatCode="0.00000">
                  <c:v>0.63344223172889014</c:v>
                </c:pt>
                <c:pt idx="19" formatCode="0.00000">
                  <c:v>0.64402427283385288</c:v>
                </c:pt>
                <c:pt idx="20" formatCode="0.00000">
                  <c:v>0.65363235303790712</c:v>
                </c:pt>
                <c:pt idx="21" formatCode="0.00000">
                  <c:v>0.66656610406944927</c:v>
                </c:pt>
                <c:pt idx="22" formatCode="0.00000">
                  <c:v>0.67886304886672222</c:v>
                </c:pt>
                <c:pt idx="23" formatCode="0.00000">
                  <c:v>0.69074705383090962</c:v>
                </c:pt>
                <c:pt idx="24" formatCode="0.00000">
                  <c:v>0.70244143727742414</c:v>
                </c:pt>
                <c:pt idx="25" formatCode="0.00000">
                  <c:v>0.71300065890592434</c:v>
                </c:pt>
                <c:pt idx="26" formatCode="0.00000">
                  <c:v>0.7246228878386648</c:v>
                </c:pt>
                <c:pt idx="27" formatCode="0.00000">
                  <c:v>0.73563070073472758</c:v>
                </c:pt>
                <c:pt idx="28" formatCode="0.00000">
                  <c:v>0.74806691884124843</c:v>
                </c:pt>
                <c:pt idx="29" formatCode="0.00000">
                  <c:v>0.75938012989281245</c:v>
                </c:pt>
                <c:pt idx="30" formatCode="0.00000">
                  <c:v>0.77052455405433418</c:v>
                </c:pt>
                <c:pt idx="31" formatCode="0.00000">
                  <c:v>0.78179052528000659</c:v>
                </c:pt>
                <c:pt idx="32" formatCode="0.00000">
                  <c:v>0.79306966066684326</c:v>
                </c:pt>
                <c:pt idx="33" formatCode="0.00000">
                  <c:v>0.8049998609812743</c:v>
                </c:pt>
                <c:pt idx="34" formatCode="0.00000">
                  <c:v>0.81644474114796162</c:v>
                </c:pt>
                <c:pt idx="35" formatCode="0.00000">
                  <c:v>0.82788206195101255</c:v>
                </c:pt>
                <c:pt idx="36" formatCode="0.00000">
                  <c:v>0.83941875796999232</c:v>
                </c:pt>
                <c:pt idx="37" formatCode="0.00000">
                  <c:v>0.85095439434418951</c:v>
                </c:pt>
                <c:pt idx="38" formatCode="0.00000">
                  <c:v>0.86259749414323905</c:v>
                </c:pt>
                <c:pt idx="39" formatCode="0.00000">
                  <c:v>0.87403491486850782</c:v>
                </c:pt>
                <c:pt idx="40" formatCode="0.00000">
                  <c:v>0.88548440978103482</c:v>
                </c:pt>
                <c:pt idx="41" formatCode="0.00000">
                  <c:v>0.89693867952308881</c:v>
                </c:pt>
                <c:pt idx="42" formatCode="0.00000">
                  <c:v>0.90836608146240294</c:v>
                </c:pt>
                <c:pt idx="43" formatCode="0.00000">
                  <c:v>0.91973749450472531</c:v>
                </c:pt>
                <c:pt idx="44" formatCode="0.00000">
                  <c:v>0.93106830939770546</c:v>
                </c:pt>
                <c:pt idx="45" formatCode="0.00000">
                  <c:v>0.94236346898188983</c:v>
                </c:pt>
                <c:pt idx="46" formatCode="0.00000">
                  <c:v>0.95362127473160174</c:v>
                </c:pt>
                <c:pt idx="47" formatCode="0.00000">
                  <c:v>0.96482271933936725</c:v>
                </c:pt>
                <c:pt idx="48" formatCode="0.00000">
                  <c:v>0.97596290249673912</c:v>
                </c:pt>
                <c:pt idx="49" formatCode="0.00000">
                  <c:v>0.98703082354118354</c:v>
                </c:pt>
                <c:pt idx="50" formatCode="0.00000">
                  <c:v>0.9980347000847809</c:v>
                </c:pt>
                <c:pt idx="51" formatCode="0.00000">
                  <c:v>1.0089682759556009</c:v>
                </c:pt>
                <c:pt idx="52" formatCode="0.00000">
                  <c:v>1.0198249694578587</c:v>
                </c:pt>
              </c:numCache>
            </c:numRef>
          </c:yVal>
          <c:smooth val="1"/>
          <c:extLst>
            <c:ext xmlns:c16="http://schemas.microsoft.com/office/drawing/2014/chart" uri="{C3380CC4-5D6E-409C-BE32-E72D297353CC}">
              <c16:uniqueId val="{00000001-0DB3-4D9A-9B97-F66A57FE9B68}"/>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Producción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Café</a:t>
            </a:r>
          </a:p>
        </c:rich>
      </c:tx>
      <c:layout>
        <c:manualLayout>
          <c:xMode val="edge"/>
          <c:yMode val="edge"/>
          <c:x val="0.30959027305505554"/>
          <c:y val="4.262023857265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'CC70-Tendencial'!$K$113:$BK$113</c:f>
              <c:numCache>
                <c:formatCode>General</c:formatCode>
                <c:ptCount val="53"/>
                <c:pt idx="0">
                  <c:v>5.0650000000000001E-3</c:v>
                </c:pt>
                <c:pt idx="1">
                  <c:v>8.1410000000000007E-3</c:v>
                </c:pt>
                <c:pt idx="2">
                  <c:v>5.28E-3</c:v>
                </c:pt>
                <c:pt idx="3">
                  <c:v>4.9170000000000004E-3</c:v>
                </c:pt>
                <c:pt idx="4">
                  <c:v>7.9659689417556218E-3</c:v>
                </c:pt>
                <c:pt idx="5">
                  <c:v>7.4472288920733173E-3</c:v>
                </c:pt>
                <c:pt idx="6">
                  <c:v>7.9174845709715138E-3</c:v>
                </c:pt>
                <c:pt idx="7">
                  <c:v>7.9476763559257774E-3</c:v>
                </c:pt>
                <c:pt idx="8">
                  <c:v>8.4422368473998487E-3</c:v>
                </c:pt>
                <c:pt idx="9">
                  <c:v>8.6701680355968386E-3</c:v>
                </c:pt>
                <c:pt idx="10">
                  <c:v>8.908518206273721E-3</c:v>
                </c:pt>
                <c:pt idx="11">
                  <c:v>9.1236424789824192E-3</c:v>
                </c:pt>
                <c:pt idx="12">
                  <c:v>9.3729669504784702E-3</c:v>
                </c:pt>
                <c:pt idx="13">
                  <c:v>9.2759337090285617E-3</c:v>
                </c:pt>
                <c:pt idx="14">
                  <c:v>9.4681828592127464E-3</c:v>
                </c:pt>
                <c:pt idx="15">
                  <c:v>9.6974268462998534E-3</c:v>
                </c:pt>
                <c:pt idx="16">
                  <c:v>9.8709105412889721E-3</c:v>
                </c:pt>
                <c:pt idx="17">
                  <c:v>1.0038396928511634E-2</c:v>
                </c:pt>
                <c:pt idx="18">
                  <c:v>1.0201574763510855E-2</c:v>
                </c:pt>
                <c:pt idx="19">
                  <c:v>1.0345964999568309E-2</c:v>
                </c:pt>
                <c:pt idx="20">
                  <c:v>1.0475175520240108E-2</c:v>
                </c:pt>
                <c:pt idx="21">
                  <c:v>1.0651870103319703E-2</c:v>
                </c:pt>
                <c:pt idx="22">
                  <c:v>1.0817870684272569E-2</c:v>
                </c:pt>
                <c:pt idx="23">
                  <c:v>1.0976604714726267E-2</c:v>
                </c:pt>
                <c:pt idx="24">
                  <c:v>1.1131372100174055E-2</c:v>
                </c:pt>
                <c:pt idx="25">
                  <c:v>1.1268990373471847E-2</c:v>
                </c:pt>
                <c:pt idx="26">
                  <c:v>1.1420377314054866E-2</c:v>
                </c:pt>
                <c:pt idx="27">
                  <c:v>1.156204457304227E-2</c:v>
                </c:pt>
                <c:pt idx="28">
                  <c:v>1.1722097555458763E-2</c:v>
                </c:pt>
                <c:pt idx="29">
                  <c:v>1.1865479529270294E-2</c:v>
                </c:pt>
                <c:pt idx="30">
                  <c:v>1.2005375585413538E-2</c:v>
                </c:pt>
                <c:pt idx="31">
                  <c:v>1.2145699036986021E-2</c:v>
                </c:pt>
                <c:pt idx="32">
                  <c:v>1.2284971222656043E-2</c:v>
                </c:pt>
                <c:pt idx="33">
                  <c:v>1.2431514939039446E-2</c:v>
                </c:pt>
                <c:pt idx="34">
                  <c:v>1.2570351072932308E-2</c:v>
                </c:pt>
                <c:pt idx="35">
                  <c:v>1.2707766411221916E-2</c:v>
                </c:pt>
                <c:pt idx="36">
                  <c:v>1.2845104152746638E-2</c:v>
                </c:pt>
                <c:pt idx="37">
                  <c:v>1.2981039395199465E-2</c:v>
                </c:pt>
                <c:pt idx="38">
                  <c:v>1.3116906823233647E-2</c:v>
                </c:pt>
                <c:pt idx="39">
                  <c:v>1.3248760437464568E-2</c:v>
                </c:pt>
                <c:pt idx="40">
                  <c:v>1.3379319646333146E-2</c:v>
                </c:pt>
                <c:pt idx="41">
                  <c:v>1.3508463939813906E-2</c:v>
                </c:pt>
                <c:pt idx="42">
                  <c:v>1.3635781026980666E-2</c:v>
                </c:pt>
                <c:pt idx="43">
                  <c:v>1.3760901610135743E-2</c:v>
                </c:pt>
                <c:pt idx="44">
                  <c:v>1.3883995819102324E-2</c:v>
                </c:pt>
                <c:pt idx="45">
                  <c:v>1.400510329010126E-2</c:v>
                </c:pt>
                <c:pt idx="46">
                  <c:v>1.412418322342544E-2</c:v>
                </c:pt>
                <c:pt idx="47">
                  <c:v>1.4240994936985595E-2</c:v>
                </c:pt>
                <c:pt idx="48">
                  <c:v>1.435546619230809E-2</c:v>
                </c:pt>
                <c:pt idx="49">
                  <c:v>1.4467456845896056E-2</c:v>
                </c:pt>
                <c:pt idx="50">
                  <c:v>1.4577046144933749E-2</c:v>
                </c:pt>
                <c:pt idx="51">
                  <c:v>1.4684148187947735E-2</c:v>
                </c:pt>
                <c:pt idx="52">
                  <c:v>1.4788675336644718E-2</c:v>
                </c:pt>
              </c:numCache>
            </c:numRef>
          </c:yVal>
          <c:smooth val="1"/>
          <c:extLst>
            <c:ext xmlns:c16="http://schemas.microsoft.com/office/drawing/2014/chart" uri="{C3380CC4-5D6E-409C-BE32-E72D297353CC}">
              <c16:uniqueId val="{00000000-A7A6-4793-94E0-198BB4596E73}"/>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'CC70-Tendencial'!$K$129:$BK$129</c:f>
              <c:numCache>
                <c:formatCode>General</c:formatCode>
                <c:ptCount val="53"/>
                <c:pt idx="0">
                  <c:v>5.0650000000000001E-3</c:v>
                </c:pt>
                <c:pt idx="1">
                  <c:v>8.1410000000000007E-3</c:v>
                </c:pt>
                <c:pt idx="2">
                  <c:v>5.28E-3</c:v>
                </c:pt>
                <c:pt idx="3">
                  <c:v>4.9170000000000004E-3</c:v>
                </c:pt>
                <c:pt idx="4">
                  <c:v>7.9659689417556218E-3</c:v>
                </c:pt>
                <c:pt idx="5" formatCode="0.00000">
                  <c:v>7.4548402408907161E-3</c:v>
                </c:pt>
                <c:pt idx="6" formatCode="0.00000">
                  <c:v>7.9309410274732151E-3</c:v>
                </c:pt>
                <c:pt idx="7" formatCode="0.00000">
                  <c:v>7.9651725894618608E-3</c:v>
                </c:pt>
                <c:pt idx="8" formatCode="0.00000">
                  <c:v>8.4679754163162896E-3</c:v>
                </c:pt>
                <c:pt idx="9" formatCode="0.00000">
                  <c:v>8.7027946725848973E-3</c:v>
                </c:pt>
                <c:pt idx="10" formatCode="0.00000">
                  <c:v>8.9488184273486399E-3</c:v>
                </c:pt>
                <c:pt idx="11" formatCode="0.00000">
                  <c:v>9.1719067808462649E-3</c:v>
                </c:pt>
                <c:pt idx="12" formatCode="0.00000">
                  <c:v>9.4304976552592786E-3</c:v>
                </c:pt>
                <c:pt idx="13" formatCode="0.00000">
                  <c:v>9.3354189953315705E-3</c:v>
                </c:pt>
                <c:pt idx="14" formatCode="0.00000">
                  <c:v>9.5361167244256799E-3</c:v>
                </c:pt>
                <c:pt idx="15" formatCode="0.00000">
                  <c:v>9.7753082795792312E-3</c:v>
                </c:pt>
                <c:pt idx="16" formatCode="0.00000">
                  <c:v>9.9577980505504184E-3</c:v>
                </c:pt>
                <c:pt idx="17" formatCode="0.00000">
                  <c:v>1.0134525279926946E-2</c:v>
                </c:pt>
                <c:pt idx="18" formatCode="0.00000">
                  <c:v>1.0307201144456022E-2</c:v>
                </c:pt>
                <c:pt idx="19" formatCode="0.00000">
                  <c:v>1.0460773496426759E-2</c:v>
                </c:pt>
                <c:pt idx="20" formatCode="0.00000">
                  <c:v>1.0598859579653629E-2</c:v>
                </c:pt>
                <c:pt idx="21" formatCode="0.00000">
                  <c:v>1.078671543175432E-2</c:v>
                </c:pt>
                <c:pt idx="22" formatCode="0.00000">
                  <c:v>1.0963895963100816E-2</c:v>
                </c:pt>
                <c:pt idx="23" formatCode="0.00000">
                  <c:v>1.1133916646801242E-2</c:v>
                </c:pt>
                <c:pt idx="24" formatCode="0.00000">
                  <c:v>1.1300199144584496E-2</c:v>
                </c:pt>
                <c:pt idx="25" formatCode="0.00000">
                  <c:v>1.1448820522108827E-2</c:v>
                </c:pt>
                <c:pt idx="26" formatCode="0.00000">
                  <c:v>1.1612342621649358E-2</c:v>
                </c:pt>
                <c:pt idx="27" formatCode="0.00000">
                  <c:v>1.1765992588029716E-2</c:v>
                </c:pt>
                <c:pt idx="28" formatCode="0.00000">
                  <c:v>1.1939582454264682E-2</c:v>
                </c:pt>
                <c:pt idx="29" formatCode="0.00000">
                  <c:v>1.2095910881464804E-2</c:v>
                </c:pt>
                <c:pt idx="30" formatCode="0.00000">
                  <c:v>1.224894395702595E-2</c:v>
                </c:pt>
                <c:pt idx="31" formatCode="0.00000">
                  <c:v>1.240286066569009E-2</c:v>
                </c:pt>
                <c:pt idx="32" formatCode="0.00000">
                  <c:v>1.2556088242830783E-2</c:v>
                </c:pt>
                <c:pt idx="33" formatCode="0.00000">
                  <c:v>1.2717611625905092E-2</c:v>
                </c:pt>
                <c:pt idx="34" formatCode="0.00000">
                  <c:v>1.2871315588142581E-2</c:v>
                </c:pt>
                <c:pt idx="35" formatCode="0.00000">
                  <c:v>1.3023967627506081E-2</c:v>
                </c:pt>
                <c:pt idx="36" formatCode="0.00000">
                  <c:v>1.3177036755402894E-2</c:v>
                </c:pt>
                <c:pt idx="37" formatCode="0.00000">
                  <c:v>1.332909795303331E-2</c:v>
                </c:pt>
                <c:pt idx="38" formatCode="0.00000">
                  <c:v>1.3481621697548062E-2</c:v>
                </c:pt>
                <c:pt idx="39" formatCode="0.00000">
                  <c:v>1.3630297165699063E-2</c:v>
                </c:pt>
                <c:pt idx="40" formatCode="0.00000">
                  <c:v>1.377810445618812E-2</c:v>
                </c:pt>
                <c:pt idx="41" formatCode="0.00000">
                  <c:v>1.3924922683496769E-2</c:v>
                </c:pt>
                <c:pt idx="42" formatCode="0.00000">
                  <c:v>1.4070306553314959E-2</c:v>
                </c:pt>
                <c:pt idx="43" formatCode="0.00000">
                  <c:v>1.4213853505790826E-2</c:v>
                </c:pt>
                <c:pt idx="44" formatCode="0.00000">
                  <c:v>1.4355758386661768E-2</c:v>
                </c:pt>
                <c:pt idx="45" formatCode="0.00000">
                  <c:v>1.4496073044310515E-2</c:v>
                </c:pt>
                <c:pt idx="46" formatCode="0.00000">
                  <c:v>1.4634760226621605E-2</c:v>
                </c:pt>
                <c:pt idx="47" formatCode="0.00000">
                  <c:v>1.4771557439292824E-2</c:v>
                </c:pt>
                <c:pt idx="48" formatCode="0.00000">
                  <c:v>1.4906389723166026E-2</c:v>
                </c:pt>
                <c:pt idx="49" formatCode="0.00000">
                  <c:v>1.5039104551881219E-2</c:v>
                </c:pt>
                <c:pt idx="50" formatCode="0.00000">
                  <c:v>1.5169797671688799E-2</c:v>
                </c:pt>
                <c:pt idx="51" formatCode="0.00000">
                  <c:v>1.5298377905599131E-2</c:v>
                </c:pt>
                <c:pt idx="52" formatCode="0.00000">
                  <c:v>1.5424751286648298E-2</c:v>
                </c:pt>
              </c:numCache>
            </c:numRef>
          </c:yVal>
          <c:smooth val="1"/>
          <c:extLst>
            <c:ext xmlns:c16="http://schemas.microsoft.com/office/drawing/2014/chart" uri="{C3380CC4-5D6E-409C-BE32-E72D297353CC}">
              <c16:uniqueId val="{00000001-A7A6-4793-94E0-198BB4596E73}"/>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Producción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Caña de azúcar</a:t>
            </a:r>
          </a:p>
        </c:rich>
      </c:tx>
      <c:layout>
        <c:manualLayout>
          <c:xMode val="edge"/>
          <c:yMode val="edge"/>
          <c:x val="0.30959027305505554"/>
          <c:y val="4.262023857265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'CC70-Tendencial'!$K$114:$BK$114</c:f>
              <c:numCache>
                <c:formatCode>General</c:formatCode>
                <c:ptCount val="53"/>
                <c:pt idx="0">
                  <c:v>7.8406349999999998</c:v>
                </c:pt>
                <c:pt idx="1">
                  <c:v>10.08887</c:v>
                </c:pt>
                <c:pt idx="2">
                  <c:v>11.390245</c:v>
                </c:pt>
                <c:pt idx="3">
                  <c:v>11.6717</c:v>
                </c:pt>
                <c:pt idx="4">
                  <c:v>8.1132930000000005</c:v>
                </c:pt>
                <c:pt idx="5">
                  <c:v>9.1992265069613417</c:v>
                </c:pt>
                <c:pt idx="6">
                  <c:v>9.789160300550197</c:v>
                </c:pt>
                <c:pt idx="7">
                  <c:v>9.8355803911172064</c:v>
                </c:pt>
                <c:pt idx="8">
                  <c:v>10.457285267457515</c:v>
                </c:pt>
                <c:pt idx="9">
                  <c:v>10.488766053314759</c:v>
                </c:pt>
                <c:pt idx="10">
                  <c:v>10.520341609454425</c:v>
                </c:pt>
                <c:pt idx="11">
                  <c:v>10.552012221174552</c:v>
                </c:pt>
                <c:pt idx="12">
                  <c:v>10.583778174632046</c:v>
                </c:pt>
                <c:pt idx="13">
                  <c:v>10.615639756845262</c:v>
                </c:pt>
                <c:pt idx="14">
                  <c:v>10.647597255696599</c:v>
                </c:pt>
                <c:pt idx="15">
                  <c:v>10.679650959935103</c:v>
                </c:pt>
                <c:pt idx="16">
                  <c:v>10.711801159179073</c:v>
                </c:pt>
                <c:pt idx="17">
                  <c:v>10.744048143918684</c:v>
                </c:pt>
                <c:pt idx="18">
                  <c:v>10.776392205518606</c:v>
                </c:pt>
                <c:pt idx="19">
                  <c:v>10.808833636220635</c:v>
                </c:pt>
                <c:pt idx="20">
                  <c:v>10.841372729146341</c:v>
                </c:pt>
                <c:pt idx="21">
                  <c:v>10.874009778299708</c:v>
                </c:pt>
                <c:pt idx="22">
                  <c:v>10.906745078569799</c:v>
                </c:pt>
                <c:pt idx="23">
                  <c:v>10.939578925733409</c:v>
                </c:pt>
                <c:pt idx="24">
                  <c:v>10.972511616457753</c:v>
                </c:pt>
                <c:pt idx="25">
                  <c:v>11.005543448303133</c:v>
                </c:pt>
                <c:pt idx="26">
                  <c:v>11.038674719725627</c:v>
                </c:pt>
                <c:pt idx="27">
                  <c:v>11.071905730079802</c:v>
                </c:pt>
                <c:pt idx="28">
                  <c:v>11.105236779621398</c:v>
                </c:pt>
                <c:pt idx="29">
                  <c:v>11.138668169510051</c:v>
                </c:pt>
                <c:pt idx="30">
                  <c:v>11.172200201812013</c:v>
                </c:pt>
                <c:pt idx="31">
                  <c:v>11.205833179502884</c:v>
                </c:pt>
                <c:pt idx="32">
                  <c:v>11.239567406470348</c:v>
                </c:pt>
                <c:pt idx="33">
                  <c:v>11.273403187516909</c:v>
                </c:pt>
                <c:pt idx="34">
                  <c:v>11.307340828362664</c:v>
                </c:pt>
                <c:pt idx="35">
                  <c:v>11.341380635648047</c:v>
                </c:pt>
                <c:pt idx="36">
                  <c:v>11.375522916936612</c:v>
                </c:pt>
                <c:pt idx="37">
                  <c:v>11.409767980717808</c:v>
                </c:pt>
                <c:pt idx="38">
                  <c:v>11.444116136409759</c:v>
                </c:pt>
                <c:pt idx="39">
                  <c:v>11.478567694362075</c:v>
                </c:pt>
                <c:pt idx="40">
                  <c:v>11.513122965858644</c:v>
                </c:pt>
                <c:pt idx="41">
                  <c:v>11.547782263120448</c:v>
                </c:pt>
                <c:pt idx="42">
                  <c:v>11.582545899308382</c:v>
                </c:pt>
                <c:pt idx="43">
                  <c:v>11.617414188526093</c:v>
                </c:pt>
                <c:pt idx="44">
                  <c:v>11.6523874458228</c:v>
                </c:pt>
                <c:pt idx="45">
                  <c:v>11.687465987196163</c:v>
                </c:pt>
                <c:pt idx="46">
                  <c:v>11.722650129595117</c:v>
                </c:pt>
                <c:pt idx="47">
                  <c:v>11.757940190922753</c:v>
                </c:pt>
                <c:pt idx="48">
                  <c:v>11.793336490039177</c:v>
                </c:pt>
                <c:pt idx="49">
                  <c:v>11.828839346764399</c:v>
                </c:pt>
                <c:pt idx="50">
                  <c:v>11.864449081881222</c:v>
                </c:pt>
                <c:pt idx="51">
                  <c:v>11.900166017138135</c:v>
                </c:pt>
                <c:pt idx="52">
                  <c:v>11.935990475252229</c:v>
                </c:pt>
              </c:numCache>
            </c:numRef>
          </c:yVal>
          <c:smooth val="1"/>
          <c:extLst>
            <c:ext xmlns:c16="http://schemas.microsoft.com/office/drawing/2014/chart" uri="{C3380CC4-5D6E-409C-BE32-E72D297353CC}">
              <c16:uniqueId val="{00000000-CC06-448F-9C03-6155178E608D}"/>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'CC70-Tendencial'!$K$130:$BK$130</c:f>
              <c:numCache>
                <c:formatCode>General</c:formatCode>
                <c:ptCount val="53"/>
                <c:pt idx="0">
                  <c:v>7.8406349999999998</c:v>
                </c:pt>
                <c:pt idx="1">
                  <c:v>10.08887</c:v>
                </c:pt>
                <c:pt idx="2">
                  <c:v>11.390245</c:v>
                </c:pt>
                <c:pt idx="3">
                  <c:v>11.6717</c:v>
                </c:pt>
                <c:pt idx="4">
                  <c:v>8.1132930000000005</c:v>
                </c:pt>
                <c:pt idx="5" formatCode="0.00000">
                  <c:v>9.1918462572518376</c:v>
                </c:pt>
                <c:pt idx="6" formatCode="0.00000">
                  <c:v>9.7773850526807866</c:v>
                </c:pt>
                <c:pt idx="7" formatCode="0.00000">
                  <c:v>9.8198030344444778</c:v>
                </c:pt>
                <c:pt idx="8" formatCode="0.00000">
                  <c:v>10.436326251271314</c:v>
                </c:pt>
                <c:pt idx="9" formatCode="0.00000">
                  <c:v>10.463536922451556</c:v>
                </c:pt>
                <c:pt idx="10" formatCode="0.00000">
                  <c:v>10.490815994821787</c:v>
                </c:pt>
                <c:pt idx="11" formatCode="0.00000">
                  <c:v>10.518163639075933</c:v>
                </c:pt>
                <c:pt idx="12" formatCode="0.00000">
                  <c:v>10.545580026307164</c:v>
                </c:pt>
                <c:pt idx="13" formatCode="0.00000">
                  <c:v>10.573065328008765</c:v>
                </c:pt>
                <c:pt idx="14" formatCode="0.00000">
                  <c:v>10.600619716074988</c:v>
                </c:pt>
                <c:pt idx="15" formatCode="0.00000">
                  <c:v>10.628243362801911</c:v>
                </c:pt>
                <c:pt idx="16" formatCode="0.00000">
                  <c:v>10.655936440888315</c:v>
                </c:pt>
                <c:pt idx="17" formatCode="0.00000">
                  <c:v>10.683699123436526</c:v>
                </c:pt>
                <c:pt idx="18" formatCode="0.00000">
                  <c:v>10.711538671722634</c:v>
                </c:pt>
                <c:pt idx="19" formatCode="0.00000">
                  <c:v>10.739449116541039</c:v>
                </c:pt>
                <c:pt idx="20" formatCode="0.00000">
                  <c:v>10.767430632138309</c:v>
                </c:pt>
                <c:pt idx="21" formatCode="0.00000">
                  <c:v>10.795483393168128</c:v>
                </c:pt>
                <c:pt idx="22" formatCode="0.00000">
                  <c:v>10.823607574692179</c:v>
                </c:pt>
                <c:pt idx="23" formatCode="0.00000">
                  <c:v>10.851803352181006</c:v>
                </c:pt>
                <c:pt idx="24" formatCode="0.00000">
                  <c:v>10.8800709015149</c:v>
                </c:pt>
                <c:pt idx="25" formatCode="0.00000">
                  <c:v>10.908410398984762</c:v>
                </c:pt>
                <c:pt idx="26" formatCode="0.00000">
                  <c:v>10.93682202129299</c:v>
                </c:pt>
                <c:pt idx="27" formatCode="0.00000">
                  <c:v>10.965305945554356</c:v>
                </c:pt>
                <c:pt idx="28" formatCode="0.00000">
                  <c:v>10.99386234929689</c:v>
                </c:pt>
                <c:pt idx="29" formatCode="0.00000">
                  <c:v>11.02249141046275</c:v>
                </c:pt>
                <c:pt idx="30" formatCode="0.00000">
                  <c:v>11.051193307409118</c:v>
                </c:pt>
                <c:pt idx="31" formatCode="0.00000">
                  <c:v>11.079968218909087</c:v>
                </c:pt>
                <c:pt idx="32" formatCode="0.00000">
                  <c:v>11.10881632415254</c:v>
                </c:pt>
                <c:pt idx="33" formatCode="0.00000">
                  <c:v>11.137737802747035</c:v>
                </c:pt>
                <c:pt idx="34" formatCode="0.00000">
                  <c:v>11.16673283471871</c:v>
                </c:pt>
                <c:pt idx="35" formatCode="0.00000">
                  <c:v>11.195801600513162</c:v>
                </c:pt>
                <c:pt idx="36" formatCode="0.00000">
                  <c:v>11.224944280996345</c:v>
                </c:pt>
                <c:pt idx="37" formatCode="0.00000">
                  <c:v>11.254161057455466</c:v>
                </c:pt>
                <c:pt idx="38" formatCode="0.00000">
                  <c:v>11.283452111599878</c:v>
                </c:pt>
                <c:pt idx="39" formatCode="0.00000">
                  <c:v>11.312817625561983</c:v>
                </c:pt>
                <c:pt idx="40" formatCode="0.00000">
                  <c:v>11.342257781898123</c:v>
                </c:pt>
                <c:pt idx="41" formatCode="0.00000">
                  <c:v>11.371772763589492</c:v>
                </c:pt>
                <c:pt idx="42" formatCode="0.00000">
                  <c:v>11.401362754043031</c:v>
                </c:pt>
                <c:pt idx="43" formatCode="0.00000">
                  <c:v>11.431027937092338</c:v>
                </c:pt>
                <c:pt idx="44" formatCode="0.00000">
                  <c:v>11.460768496998563</c:v>
                </c:pt>
                <c:pt idx="45" formatCode="0.00000">
                  <c:v>11.490584618451333</c:v>
                </c:pt>
                <c:pt idx="46" formatCode="0.00000">
                  <c:v>11.520476486569645</c:v>
                </c:pt>
                <c:pt idx="47" formatCode="0.00000">
                  <c:v>11.550444286902788</c:v>
                </c:pt>
                <c:pt idx="48" formatCode="0.00000">
                  <c:v>11.580488205431248</c:v>
                </c:pt>
                <c:pt idx="49" formatCode="0.00000">
                  <c:v>11.610608428567621</c:v>
                </c:pt>
                <c:pt idx="50" formatCode="0.00000">
                  <c:v>11.640805143157539</c:v>
                </c:pt>
                <c:pt idx="51" formatCode="0.00000">
                  <c:v>11.671078536480573</c:v>
                </c:pt>
                <c:pt idx="52" formatCode="0.00000">
                  <c:v>11.701428796251166</c:v>
                </c:pt>
              </c:numCache>
            </c:numRef>
          </c:yVal>
          <c:smooth val="1"/>
          <c:extLst>
            <c:ext xmlns:c16="http://schemas.microsoft.com/office/drawing/2014/chart" uri="{C3380CC4-5D6E-409C-BE32-E72D297353CC}">
              <c16:uniqueId val="{00000001-CC06-448F-9C03-6155178E608D}"/>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Producción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Maiz</a:t>
            </a:r>
          </a:p>
        </c:rich>
      </c:tx>
      <c:layout>
        <c:manualLayout>
          <c:xMode val="edge"/>
          <c:yMode val="edge"/>
          <c:x val="0.30959027305505554"/>
          <c:y val="4.262023857265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'CC70-Tendencial'!$K$115:$BK$115</c:f>
              <c:numCache>
                <c:formatCode>General</c:formatCode>
                <c:ptCount val="53"/>
                <c:pt idx="0">
                  <c:v>1.4492659999999999</c:v>
                </c:pt>
                <c:pt idx="1">
                  <c:v>1.628519</c:v>
                </c:pt>
                <c:pt idx="2">
                  <c:v>1.463279</c:v>
                </c:pt>
                <c:pt idx="3">
                  <c:v>1.849405</c:v>
                </c:pt>
                <c:pt idx="4">
                  <c:v>1.736397</c:v>
                </c:pt>
                <c:pt idx="5">
                  <c:v>1.8829251028288905</c:v>
                </c:pt>
                <c:pt idx="6">
                  <c:v>2.0071079895573583</c:v>
                </c:pt>
                <c:pt idx="7">
                  <c:v>2.0200813459494822</c:v>
                </c:pt>
                <c:pt idx="8">
                  <c:v>2.151450644725716</c:v>
                </c:pt>
                <c:pt idx="9">
                  <c:v>2.2153713797596195</c:v>
                </c:pt>
                <c:pt idx="10">
                  <c:v>2.2822839118272658</c:v>
                </c:pt>
                <c:pt idx="11">
                  <c:v>2.3435683612215867</c:v>
                </c:pt>
                <c:pt idx="12">
                  <c:v>2.4139686415720769</c:v>
                </c:pt>
                <c:pt idx="13">
                  <c:v>2.3952858308906038</c:v>
                </c:pt>
                <c:pt idx="14">
                  <c:v>2.4513849576118218</c:v>
                </c:pt>
                <c:pt idx="15">
                  <c:v>2.5173671626298217</c:v>
                </c:pt>
                <c:pt idx="16">
                  <c:v>2.5691676056405601</c:v>
                </c:pt>
                <c:pt idx="17">
                  <c:v>2.6196589593152715</c:v>
                </c:pt>
                <c:pt idx="18">
                  <c:v>2.6692716851341793</c:v>
                </c:pt>
                <c:pt idx="19">
                  <c:v>2.7141993272849132</c:v>
                </c:pt>
                <c:pt idx="20">
                  <c:v>2.7553527906614863</c:v>
                </c:pt>
                <c:pt idx="21">
                  <c:v>2.8092276662483266</c:v>
                </c:pt>
                <c:pt idx="22">
                  <c:v>2.8605400426559275</c:v>
                </c:pt>
                <c:pt idx="23">
                  <c:v>2.9101772509585788</c:v>
                </c:pt>
                <c:pt idx="24">
                  <c:v>2.959002199633797</c:v>
                </c:pt>
                <c:pt idx="25">
                  <c:v>3.003493981464584</c:v>
                </c:pt>
                <c:pt idx="26">
                  <c:v>3.0518794967509071</c:v>
                </c:pt>
                <c:pt idx="27">
                  <c:v>3.0978953225357717</c:v>
                </c:pt>
                <c:pt idx="28">
                  <c:v>3.1490720824615273</c:v>
                </c:pt>
                <c:pt idx="29">
                  <c:v>3.1960071005602386</c:v>
                </c:pt>
                <c:pt idx="30">
                  <c:v>3.2422265906206706</c:v>
                </c:pt>
                <c:pt idx="31">
                  <c:v>3.2887835989542031</c:v>
                </c:pt>
                <c:pt idx="32">
                  <c:v>3.3352784456632558</c:v>
                </c:pt>
                <c:pt idx="33">
                  <c:v>3.3839752678513069</c:v>
                </c:pt>
                <c:pt idx="34">
                  <c:v>3.4308023741897391</c:v>
                </c:pt>
                <c:pt idx="35">
                  <c:v>3.4774643689669227</c:v>
                </c:pt>
                <c:pt idx="36">
                  <c:v>3.524327562450519</c:v>
                </c:pt>
                <c:pt idx="37">
                  <c:v>3.5710281606608056</c:v>
                </c:pt>
                <c:pt idx="38">
                  <c:v>3.6179320950431659</c:v>
                </c:pt>
                <c:pt idx="39">
                  <c:v>3.663948797044307</c:v>
                </c:pt>
                <c:pt idx="40">
                  <c:v>3.7098243625933165</c:v>
                </c:pt>
                <c:pt idx="41">
                  <c:v>3.7555232746400069</c:v>
                </c:pt>
                <c:pt idx="42">
                  <c:v>3.8009283171932187</c:v>
                </c:pt>
                <c:pt idx="43">
                  <c:v>3.8459330627545101</c:v>
                </c:pt>
                <c:pt idx="44">
                  <c:v>3.8905811339697642</c:v>
                </c:pt>
                <c:pt idx="45">
                  <c:v>3.934879970562422</c:v>
                </c:pt>
                <c:pt idx="46">
                  <c:v>3.9788144498938083</c:v>
                </c:pt>
                <c:pt idx="47">
                  <c:v>4.0223128513278068</c:v>
                </c:pt>
                <c:pt idx="48">
                  <c:v>4.0653504169277923</c:v>
                </c:pt>
                <c:pt idx="49">
                  <c:v>4.107882867643994</c:v>
                </c:pt>
                <c:pt idx="50">
                  <c:v>4.1499279372286351</c:v>
                </c:pt>
                <c:pt idx="51">
                  <c:v>4.1914564306462134</c:v>
                </c:pt>
                <c:pt idx="52">
                  <c:v>4.2324383707746183</c:v>
                </c:pt>
              </c:numCache>
            </c:numRef>
          </c:yVal>
          <c:smooth val="1"/>
          <c:extLst>
            <c:ext xmlns:c16="http://schemas.microsoft.com/office/drawing/2014/chart" uri="{C3380CC4-5D6E-409C-BE32-E72D297353CC}">
              <c16:uniqueId val="{00000000-1A5F-427C-9CB0-F3BB9AC37224}"/>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'CC70-Tendencial'!$K$131:$BK$131</c:f>
              <c:numCache>
                <c:formatCode>General</c:formatCode>
                <c:ptCount val="53"/>
                <c:pt idx="0">
                  <c:v>1.4492659999999999</c:v>
                </c:pt>
                <c:pt idx="1">
                  <c:v>1.628519</c:v>
                </c:pt>
                <c:pt idx="2">
                  <c:v>1.463279</c:v>
                </c:pt>
                <c:pt idx="3">
                  <c:v>1.849405</c:v>
                </c:pt>
                <c:pt idx="4">
                  <c:v>1.736397</c:v>
                </c:pt>
                <c:pt idx="5" formatCode="0.00000">
                  <c:v>1.8829251028288905</c:v>
                </c:pt>
                <c:pt idx="6" formatCode="0.00000">
                  <c:v>2.0071079895573583</c:v>
                </c:pt>
                <c:pt idx="7" formatCode="0.00000">
                  <c:v>2.0200813459494822</c:v>
                </c:pt>
                <c:pt idx="8" formatCode="0.00000">
                  <c:v>2.151450644725716</c:v>
                </c:pt>
                <c:pt idx="9" formatCode="0.00000">
                  <c:v>2.2153713797596195</c:v>
                </c:pt>
                <c:pt idx="10" formatCode="0.00000">
                  <c:v>2.2822839118272658</c:v>
                </c:pt>
                <c:pt idx="11" formatCode="0.00000">
                  <c:v>2.3435683612215867</c:v>
                </c:pt>
                <c:pt idx="12" formatCode="0.00000">
                  <c:v>2.4139686415720769</c:v>
                </c:pt>
                <c:pt idx="13" formatCode="0.00000">
                  <c:v>2.3952858308906038</c:v>
                </c:pt>
                <c:pt idx="14" formatCode="0.00000">
                  <c:v>2.4513849576118218</c:v>
                </c:pt>
                <c:pt idx="15" formatCode="0.00000">
                  <c:v>2.5173671626298217</c:v>
                </c:pt>
                <c:pt idx="16" formatCode="0.00000">
                  <c:v>2.5691676056405601</c:v>
                </c:pt>
                <c:pt idx="17" formatCode="0.00000">
                  <c:v>2.6196589593152715</c:v>
                </c:pt>
                <c:pt idx="18" formatCode="0.00000">
                  <c:v>2.6692716851341793</c:v>
                </c:pt>
                <c:pt idx="19" formatCode="0.00000">
                  <c:v>2.7141993272849132</c:v>
                </c:pt>
                <c:pt idx="20" formatCode="0.00000">
                  <c:v>2.7553527906614863</c:v>
                </c:pt>
                <c:pt idx="21" formatCode="0.00000">
                  <c:v>2.8092276662483266</c:v>
                </c:pt>
                <c:pt idx="22" formatCode="0.00000">
                  <c:v>2.8605400426559275</c:v>
                </c:pt>
                <c:pt idx="23" formatCode="0.00000">
                  <c:v>2.9101772509585788</c:v>
                </c:pt>
                <c:pt idx="24" formatCode="0.00000">
                  <c:v>2.959002199633797</c:v>
                </c:pt>
                <c:pt idx="25" formatCode="0.00000">
                  <c:v>3.003493981464584</c:v>
                </c:pt>
                <c:pt idx="26" formatCode="0.00000">
                  <c:v>3.0518794967509071</c:v>
                </c:pt>
                <c:pt idx="27" formatCode="0.00000">
                  <c:v>3.0978953225357717</c:v>
                </c:pt>
                <c:pt idx="28" formatCode="0.00000">
                  <c:v>3.1490720824615273</c:v>
                </c:pt>
                <c:pt idx="29" formatCode="0.00000">
                  <c:v>3.1960071005602386</c:v>
                </c:pt>
                <c:pt idx="30" formatCode="0.00000">
                  <c:v>3.2422265906206706</c:v>
                </c:pt>
                <c:pt idx="31" formatCode="0.00000">
                  <c:v>3.2887835989542031</c:v>
                </c:pt>
                <c:pt idx="32" formatCode="0.00000">
                  <c:v>3.3352784456632558</c:v>
                </c:pt>
                <c:pt idx="33" formatCode="0.00000">
                  <c:v>3.3839752678513069</c:v>
                </c:pt>
                <c:pt idx="34" formatCode="0.00000">
                  <c:v>3.4308023741897391</c:v>
                </c:pt>
                <c:pt idx="35" formatCode="0.00000">
                  <c:v>3.4774643689669227</c:v>
                </c:pt>
                <c:pt idx="36" formatCode="0.00000">
                  <c:v>3.524327562450519</c:v>
                </c:pt>
                <c:pt idx="37" formatCode="0.00000">
                  <c:v>3.5710281606608056</c:v>
                </c:pt>
                <c:pt idx="38" formatCode="0.00000">
                  <c:v>3.6179320950431659</c:v>
                </c:pt>
                <c:pt idx="39" formatCode="0.00000">
                  <c:v>3.663948797044307</c:v>
                </c:pt>
                <c:pt idx="40" formatCode="0.00000">
                  <c:v>3.7098243625933165</c:v>
                </c:pt>
                <c:pt idx="41" formatCode="0.00000">
                  <c:v>3.7555232746400069</c:v>
                </c:pt>
                <c:pt idx="42" formatCode="0.00000">
                  <c:v>3.8009283171932178</c:v>
                </c:pt>
                <c:pt idx="43" formatCode="0.00000">
                  <c:v>3.8459330627545101</c:v>
                </c:pt>
                <c:pt idx="44" formatCode="0.00000">
                  <c:v>3.8905811339697642</c:v>
                </c:pt>
                <c:pt idx="45" formatCode="0.00000">
                  <c:v>3.934879970562422</c:v>
                </c:pt>
                <c:pt idx="46" formatCode="0.00000">
                  <c:v>3.9788144498938087</c:v>
                </c:pt>
                <c:pt idx="47" formatCode="0.00000">
                  <c:v>4.0223128513278068</c:v>
                </c:pt>
                <c:pt idx="48" formatCode="0.00000">
                  <c:v>4.0653504169277923</c:v>
                </c:pt>
                <c:pt idx="49" formatCode="0.00000">
                  <c:v>4.107882867643994</c:v>
                </c:pt>
                <c:pt idx="50" formatCode="0.00000">
                  <c:v>4.1499279372286351</c:v>
                </c:pt>
                <c:pt idx="51" formatCode="0.00000">
                  <c:v>4.1914564306462134</c:v>
                </c:pt>
                <c:pt idx="52" formatCode="0.00000">
                  <c:v>4.2324383707746183</c:v>
                </c:pt>
              </c:numCache>
            </c:numRef>
          </c:yVal>
          <c:smooth val="1"/>
          <c:extLst>
            <c:ext xmlns:c16="http://schemas.microsoft.com/office/drawing/2014/chart" uri="{C3380CC4-5D6E-409C-BE32-E72D297353CC}">
              <c16:uniqueId val="{00000001-1A5F-427C-9CB0-F3BB9AC37224}"/>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Producción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Palma africana</a:t>
            </a:r>
          </a:p>
        </c:rich>
      </c:tx>
      <c:layout>
        <c:manualLayout>
          <c:xMode val="edge"/>
          <c:yMode val="edge"/>
          <c:x val="0.30959027305505554"/>
          <c:y val="4.262023857265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'CC70-Tendencial'!$K$116:$BK$116</c:f>
              <c:numCache>
                <c:formatCode>General</c:formatCode>
                <c:ptCount val="53"/>
                <c:pt idx="0">
                  <c:v>2.7857560000000001</c:v>
                </c:pt>
                <c:pt idx="1">
                  <c:v>2.2759480000000001</c:v>
                </c:pt>
                <c:pt idx="2">
                  <c:v>2.4463119999999998</c:v>
                </c:pt>
                <c:pt idx="3">
                  <c:v>2.4188550000000002</c:v>
                </c:pt>
                <c:pt idx="4">
                  <c:v>2.2964022335077923</c:v>
                </c:pt>
                <c:pt idx="5">
                  <c:v>2.0315144970440913</c:v>
                </c:pt>
                <c:pt idx="6">
                  <c:v>2.1613661680480512</c:v>
                </c:pt>
                <c:pt idx="7">
                  <c:v>2.1711868337849238</c:v>
                </c:pt>
                <c:pt idx="8">
                  <c:v>2.3079715717594769</c:v>
                </c:pt>
                <c:pt idx="9">
                  <c:v>2.3720090263245468</c:v>
                </c:pt>
                <c:pt idx="10">
                  <c:v>2.4389909814259396</c:v>
                </c:pt>
                <c:pt idx="11">
                  <c:v>2.499705702215298</c:v>
                </c:pt>
                <c:pt idx="12">
                  <c:v>2.5698845165371584</c:v>
                </c:pt>
                <c:pt idx="13">
                  <c:v>2.5451305159189195</c:v>
                </c:pt>
                <c:pt idx="14">
                  <c:v>2.5997701832677169</c:v>
                </c:pt>
                <c:pt idx="15">
                  <c:v>2.6646534404898263</c:v>
                </c:pt>
                <c:pt idx="16">
                  <c:v>2.7142968156006888</c:v>
                </c:pt>
                <c:pt idx="17">
                  <c:v>2.7623606899797948</c:v>
                </c:pt>
                <c:pt idx="18">
                  <c:v>2.8093065868173044</c:v>
                </c:pt>
                <c:pt idx="19">
                  <c:v>2.8511418534808293</c:v>
                </c:pt>
                <c:pt idx="20">
                  <c:v>2.8888502445138031</c:v>
                </c:pt>
                <c:pt idx="21">
                  <c:v>2.9397167152009347</c:v>
                </c:pt>
                <c:pt idx="22">
                  <c:v>2.9877021904485148</c:v>
                </c:pt>
                <c:pt idx="23">
                  <c:v>3.0337475910627982</c:v>
                </c:pt>
                <c:pt idx="24">
                  <c:v>3.0787613084853187</c:v>
                </c:pt>
                <c:pt idx="25">
                  <c:v>3.1190923038249538</c:v>
                </c:pt>
                <c:pt idx="26">
                  <c:v>3.1632941022876828</c:v>
                </c:pt>
                <c:pt idx="27">
                  <c:v>3.2048643934226964</c:v>
                </c:pt>
                <c:pt idx="28">
                  <c:v>3.2515935241832943</c:v>
                </c:pt>
                <c:pt idx="29">
                  <c:v>3.2937612257574496</c:v>
                </c:pt>
                <c:pt idx="30">
                  <c:v>3.3350202057162575</c:v>
                </c:pt>
                <c:pt idx="31">
                  <c:v>3.3764563002016299</c:v>
                </c:pt>
                <c:pt idx="32">
                  <c:v>3.4176584704660598</c:v>
                </c:pt>
                <c:pt idx="33">
                  <c:v>3.4609432142388887</c:v>
                </c:pt>
                <c:pt idx="34">
                  <c:v>3.5021417825773646</c:v>
                </c:pt>
                <c:pt idx="35">
                  <c:v>3.5430023483360347</c:v>
                </c:pt>
                <c:pt idx="36">
                  <c:v>3.583898874045961</c:v>
                </c:pt>
                <c:pt idx="37">
                  <c:v>3.6244614460819604</c:v>
                </c:pt>
                <c:pt idx="38">
                  <c:v>3.6650622029266482</c:v>
                </c:pt>
                <c:pt idx="39">
                  <c:v>3.7045977906741494</c:v>
                </c:pt>
                <c:pt idx="40">
                  <c:v>3.7438267710789539</c:v>
                </c:pt>
                <c:pt idx="41">
                  <c:v>3.7827146675617569</c:v>
                </c:pt>
                <c:pt idx="42">
                  <c:v>3.8211451386770041</c:v>
                </c:pt>
                <c:pt idx="43">
                  <c:v>3.8590135622266848</c:v>
                </c:pt>
                <c:pt idx="44">
                  <c:v>3.8963663964668376</c:v>
                </c:pt>
                <c:pt idx="45">
                  <c:v>3.9332135887055664</c:v>
                </c:pt>
                <c:pt idx="46">
                  <c:v>3.9695425107183722</c:v>
                </c:pt>
                <c:pt idx="47">
                  <c:v>4.0052842822053174</c:v>
                </c:pt>
                <c:pt idx="48">
                  <c:v>4.0404172333773474</c:v>
                </c:pt>
                <c:pt idx="49">
                  <c:v>4.0749005071804891</c:v>
                </c:pt>
                <c:pt idx="50">
                  <c:v>4.1087549681221889</c:v>
                </c:pt>
                <c:pt idx="51">
                  <c:v>4.1419549601038428</c:v>
                </c:pt>
                <c:pt idx="52">
                  <c:v>4.1744742641408541</c:v>
                </c:pt>
              </c:numCache>
            </c:numRef>
          </c:yVal>
          <c:smooth val="1"/>
          <c:extLst>
            <c:ext xmlns:c16="http://schemas.microsoft.com/office/drawing/2014/chart" uri="{C3380CC4-5D6E-409C-BE32-E72D297353CC}">
              <c16:uniqueId val="{00000000-0545-491A-9E19-7B04833857A9}"/>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'CC70-Tendencial'!$K$132:$BK$132</c:f>
              <c:numCache>
                <c:formatCode>General</c:formatCode>
                <c:ptCount val="53"/>
                <c:pt idx="0">
                  <c:v>2.7857560000000001</c:v>
                </c:pt>
                <c:pt idx="1">
                  <c:v>2.2759480000000001</c:v>
                </c:pt>
                <c:pt idx="2">
                  <c:v>2.4463119999999998</c:v>
                </c:pt>
                <c:pt idx="3">
                  <c:v>2.4188550000000002</c:v>
                </c:pt>
                <c:pt idx="4">
                  <c:v>2.2964022335077923</c:v>
                </c:pt>
                <c:pt idx="5" formatCode="0.00000">
                  <c:v>2.0318641294869884</c:v>
                </c:pt>
                <c:pt idx="6" formatCode="0.00000">
                  <c:v>2.1619842994558089</c:v>
                </c:pt>
                <c:pt idx="7" formatCode="0.00000">
                  <c:v>2.1719905350761777</c:v>
                </c:pt>
                <c:pt idx="8" formatCode="0.00000">
                  <c:v>2.3091538902870905</c:v>
                </c:pt>
                <c:pt idx="9" formatCode="0.00000">
                  <c:v>2.373507752906042</c:v>
                </c:pt>
                <c:pt idx="10" formatCode="0.00000">
                  <c:v>2.4408421992694214</c:v>
                </c:pt>
                <c:pt idx="11" formatCode="0.00000">
                  <c:v>2.501922755482759</c:v>
                </c:pt>
                <c:pt idx="12" formatCode="0.00000">
                  <c:v>2.5725272282741569</c:v>
                </c:pt>
                <c:pt idx="13" formatCode="0.00000">
                  <c:v>2.5478630126767916</c:v>
                </c:pt>
                <c:pt idx="14" formatCode="0.00000">
                  <c:v>2.6028907711976212</c:v>
                </c:pt>
                <c:pt idx="15" formatCode="0.00000">
                  <c:v>2.6682309766699559</c:v>
                </c:pt>
                <c:pt idx="16" formatCode="0.00000">
                  <c:v>2.7182880519569728</c:v>
                </c:pt>
                <c:pt idx="17" formatCode="0.00000">
                  <c:v>2.7667764106547184</c:v>
                </c:pt>
                <c:pt idx="18" formatCode="0.00000">
                  <c:v>2.8141586058864951</c:v>
                </c:pt>
                <c:pt idx="19" formatCode="0.00000">
                  <c:v>2.8564156592391798</c:v>
                </c:pt>
                <c:pt idx="20" formatCode="0.00000">
                  <c:v>2.8945317552259886</c:v>
                </c:pt>
                <c:pt idx="21" formatCode="0.00000">
                  <c:v>2.9459109263355159</c:v>
                </c:pt>
                <c:pt idx="22" formatCode="0.00000">
                  <c:v>2.9944099601469425</c:v>
                </c:pt>
                <c:pt idx="23" formatCode="0.00000">
                  <c:v>3.0409738207926162</c:v>
                </c:pt>
                <c:pt idx="24" formatCode="0.00000">
                  <c:v>3.0865164926688973</c:v>
                </c:pt>
                <c:pt idx="25" formatCode="0.00000">
                  <c:v>3.1273529230243851</c:v>
                </c:pt>
                <c:pt idx="26" formatCode="0.00000">
                  <c:v>3.1721121582007705</c:v>
                </c:pt>
                <c:pt idx="27" formatCode="0.00000">
                  <c:v>3.2142328830839713</c:v>
                </c:pt>
                <c:pt idx="28" formatCode="0.00000">
                  <c:v>3.2615838397353833</c:v>
                </c:pt>
                <c:pt idx="29" formatCode="0.00000">
                  <c:v>3.3043462453802239</c:v>
                </c:pt>
                <c:pt idx="30" formatCode="0.00000">
                  <c:v>3.3462086831888378</c:v>
                </c:pt>
                <c:pt idx="31" formatCode="0.00000">
                  <c:v>3.3882691931093598</c:v>
                </c:pt>
                <c:pt idx="32" formatCode="0.00000">
                  <c:v>3.4301124136959515</c:v>
                </c:pt>
                <c:pt idx="33" formatCode="0.00000">
                  <c:v>3.4740852585642084</c:v>
                </c:pt>
                <c:pt idx="34" formatCode="0.00000">
                  <c:v>3.5159667906282239</c:v>
                </c:pt>
                <c:pt idx="35" formatCode="0.00000">
                  <c:v>3.5575272645301101</c:v>
                </c:pt>
                <c:pt idx="36" formatCode="0.00000">
                  <c:v>3.5991464220861644</c:v>
                </c:pt>
                <c:pt idx="37" formatCode="0.00000">
                  <c:v>3.6404497507525675</c:v>
                </c:pt>
                <c:pt idx="38" formatCode="0.00000">
                  <c:v>3.681815626731916</c:v>
                </c:pt>
                <c:pt idx="39" formatCode="0.00000">
                  <c:v>3.7221239376880422</c:v>
                </c:pt>
                <c:pt idx="40" formatCode="0.00000">
                  <c:v>3.7621452203584416</c:v>
                </c:pt>
                <c:pt idx="41" formatCode="0.00000">
                  <c:v>3.8018449809152868</c:v>
                </c:pt>
                <c:pt idx="42" formatCode="0.00000">
                  <c:v>3.8411053618803215</c:v>
                </c:pt>
                <c:pt idx="43" formatCode="0.00000">
                  <c:v>3.8798202131360378</c:v>
                </c:pt>
                <c:pt idx="44" formatCode="0.00000">
                  <c:v>3.9180371282806732</c:v>
                </c:pt>
                <c:pt idx="45" formatCode="0.00000">
                  <c:v>3.9557666155962243</c:v>
                </c:pt>
                <c:pt idx="46" formatCode="0.00000">
                  <c:v>3.9929962098192058</c:v>
                </c:pt>
                <c:pt idx="47" formatCode="0.00000">
                  <c:v>4.0296560286909671</c:v>
                </c:pt>
                <c:pt idx="48" formatCode="0.00000">
                  <c:v>4.0657242774459696</c:v>
                </c:pt>
                <c:pt idx="49" formatCode="0.00000">
                  <c:v>4.1011595302150798</c:v>
                </c:pt>
                <c:pt idx="50" formatCode="0.00000">
                  <c:v>4.1359834094014598</c:v>
                </c:pt>
                <c:pt idx="51" formatCode="0.00000">
                  <c:v>4.1701700165721247</c:v>
                </c:pt>
                <c:pt idx="52" formatCode="0.00000">
                  <c:v>4.2036928420307182</c:v>
                </c:pt>
              </c:numCache>
            </c:numRef>
          </c:yVal>
          <c:smooth val="1"/>
          <c:extLst>
            <c:ext xmlns:c16="http://schemas.microsoft.com/office/drawing/2014/chart" uri="{C3380CC4-5D6E-409C-BE32-E72D297353CC}">
              <c16:uniqueId val="{00000001-0545-491A-9E19-7B04833857A9}"/>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Producción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Soya</a:t>
            </a:r>
          </a:p>
        </c:rich>
      </c:tx>
      <c:layout>
        <c:manualLayout>
          <c:xMode val="edge"/>
          <c:yMode val="edge"/>
          <c:x val="0.30959027305505554"/>
          <c:y val="4.262023857265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'CC70-Tendencial'!$K$117:$BK$117</c:f>
              <c:numCache>
                <c:formatCode>General</c:formatCode>
                <c:ptCount val="53"/>
                <c:pt idx="0">
                  <c:v>2.5503999999999999E-2</c:v>
                </c:pt>
                <c:pt idx="1">
                  <c:v>3.9515000000000002E-2</c:v>
                </c:pt>
                <c:pt idx="2">
                  <c:v>2.7237999999999998E-2</c:v>
                </c:pt>
                <c:pt idx="3">
                  <c:v>2.0077000000000001E-2</c:v>
                </c:pt>
                <c:pt idx="4">
                  <c:v>2.9453725766288387E-2</c:v>
                </c:pt>
                <c:pt idx="5">
                  <c:v>2.6954272462386786E-2</c:v>
                </c:pt>
                <c:pt idx="6">
                  <c:v>2.856693671726622E-2</c:v>
                </c:pt>
                <c:pt idx="7">
                  <c:v>2.8586445371470835E-2</c:v>
                </c:pt>
                <c:pt idx="8">
                  <c:v>3.0270601402522322E-2</c:v>
                </c:pt>
                <c:pt idx="9">
                  <c:v>3.0990926994803512E-2</c:v>
                </c:pt>
                <c:pt idx="10">
                  <c:v>3.1743591334776201E-2</c:v>
                </c:pt>
                <c:pt idx="11">
                  <c:v>3.2408757503608339E-2</c:v>
                </c:pt>
                <c:pt idx="12">
                  <c:v>3.3190572493659247E-2</c:v>
                </c:pt>
                <c:pt idx="13">
                  <c:v>3.2744535130764515E-2</c:v>
                </c:pt>
                <c:pt idx="14">
                  <c:v>3.3318954462652414E-2</c:v>
                </c:pt>
                <c:pt idx="15">
                  <c:v>3.4019253176190895E-2</c:v>
                </c:pt>
                <c:pt idx="16">
                  <c:v>3.4519859093420785E-2</c:v>
                </c:pt>
                <c:pt idx="17">
                  <c:v>3.4996103928644023E-2</c:v>
                </c:pt>
                <c:pt idx="18">
                  <c:v>3.5454068976098041E-2</c:v>
                </c:pt>
                <c:pt idx="19">
                  <c:v>3.5843747441412971E-2</c:v>
                </c:pt>
                <c:pt idx="20">
                  <c:v>3.6178224343330512E-2</c:v>
                </c:pt>
                <c:pt idx="21">
                  <c:v>3.6673751313294478E-2</c:v>
                </c:pt>
                <c:pt idx="22">
                  <c:v>3.7129131853215459E-2</c:v>
                </c:pt>
                <c:pt idx="23">
                  <c:v>3.7556453024845921E-2</c:v>
                </c:pt>
                <c:pt idx="24">
                  <c:v>3.7967218356617503E-2</c:v>
                </c:pt>
                <c:pt idx="25">
                  <c:v>3.8316746206421476E-2</c:v>
                </c:pt>
                <c:pt idx="26">
                  <c:v>3.8710394950090557E-2</c:v>
                </c:pt>
                <c:pt idx="27">
                  <c:v>3.9068372878727081E-2</c:v>
                </c:pt>
                <c:pt idx="28">
                  <c:v>3.9485673612661996E-2</c:v>
                </c:pt>
                <c:pt idx="29">
                  <c:v>3.9844010828634716E-2</c:v>
                </c:pt>
                <c:pt idx="30">
                  <c:v>4.0188059964220355E-2</c:v>
                </c:pt>
                <c:pt idx="31">
                  <c:v>4.0531002024589084E-2</c:v>
                </c:pt>
                <c:pt idx="32">
                  <c:v>4.0867917118047728E-2</c:v>
                </c:pt>
                <c:pt idx="33">
                  <c:v>4.1226451174426228E-2</c:v>
                </c:pt>
                <c:pt idx="34">
                  <c:v>4.1556870776191059E-2</c:v>
                </c:pt>
                <c:pt idx="35">
                  <c:v>4.1880146196855643E-2</c:v>
                </c:pt>
                <c:pt idx="36">
                  <c:v>4.2200746270537902E-2</c:v>
                </c:pt>
                <c:pt idx="37">
                  <c:v>4.2514346132285857E-2</c:v>
                </c:pt>
                <c:pt idx="38">
                  <c:v>4.2825358257742849E-2</c:v>
                </c:pt>
                <c:pt idx="39">
                  <c:v>4.3120953319762463E-2</c:v>
                </c:pt>
                <c:pt idx="40">
                  <c:v>4.3410088490379417E-2</c:v>
                </c:pt>
                <c:pt idx="41">
                  <c:v>4.3692424498921877E-2</c:v>
                </c:pt>
                <c:pt idx="42">
                  <c:v>4.3966685836742618E-2</c:v>
                </c:pt>
                <c:pt idx="43">
                  <c:v>4.4231751456886681E-2</c:v>
                </c:pt>
                <c:pt idx="44">
                  <c:v>4.4488243207258832E-2</c:v>
                </c:pt>
                <c:pt idx="45">
                  <c:v>4.4736358843610498E-2</c:v>
                </c:pt>
                <c:pt idx="46">
                  <c:v>4.4976037984449338E-2</c:v>
                </c:pt>
                <c:pt idx="47">
                  <c:v>4.5206586948683784E-2</c:v>
                </c:pt>
                <c:pt idx="48">
                  <c:v>4.5427854205778773E-2</c:v>
                </c:pt>
                <c:pt idx="49">
                  <c:v>4.563947639959804E-2</c:v>
                </c:pt>
                <c:pt idx="50">
                  <c:v>4.5841785154048624E-2</c:v>
                </c:pt>
                <c:pt idx="51">
                  <c:v>4.6034590749395241E-2</c:v>
                </c:pt>
                <c:pt idx="52">
                  <c:v>4.6217700918018099E-2</c:v>
                </c:pt>
              </c:numCache>
            </c:numRef>
          </c:yVal>
          <c:smooth val="1"/>
          <c:extLst>
            <c:ext xmlns:c16="http://schemas.microsoft.com/office/drawing/2014/chart" uri="{C3380CC4-5D6E-409C-BE32-E72D297353CC}">
              <c16:uniqueId val="{00000000-4AB4-415F-89A2-8E66183540CE}"/>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'CC70-Tendencial'!$K$133:$BK$133</c:f>
              <c:numCache>
                <c:formatCode>General</c:formatCode>
                <c:ptCount val="53"/>
                <c:pt idx="0">
                  <c:v>2.5503999999999999E-2</c:v>
                </c:pt>
                <c:pt idx="1">
                  <c:v>3.9515000000000002E-2</c:v>
                </c:pt>
                <c:pt idx="2">
                  <c:v>2.7237999999999998E-2</c:v>
                </c:pt>
                <c:pt idx="3">
                  <c:v>2.0077000000000001E-2</c:v>
                </c:pt>
                <c:pt idx="4">
                  <c:v>2.9453725766288387E-2</c:v>
                </c:pt>
                <c:pt idx="5" formatCode="0.00000">
                  <c:v>2.6954272462386786E-2</c:v>
                </c:pt>
                <c:pt idx="6" formatCode="0.00000">
                  <c:v>2.856693671726622E-2</c:v>
                </c:pt>
                <c:pt idx="7" formatCode="0.00000">
                  <c:v>2.8586445371470835E-2</c:v>
                </c:pt>
                <c:pt idx="8" formatCode="0.00000">
                  <c:v>3.0270601402522322E-2</c:v>
                </c:pt>
                <c:pt idx="9" formatCode="0.00000">
                  <c:v>3.0990926994803512E-2</c:v>
                </c:pt>
                <c:pt idx="10" formatCode="0.00000">
                  <c:v>3.1743591334776201E-2</c:v>
                </c:pt>
                <c:pt idx="11" formatCode="0.00000">
                  <c:v>3.2408757503608339E-2</c:v>
                </c:pt>
                <c:pt idx="12" formatCode="0.00000">
                  <c:v>3.3190572493659247E-2</c:v>
                </c:pt>
                <c:pt idx="13" formatCode="0.00000">
                  <c:v>3.2744535130764515E-2</c:v>
                </c:pt>
                <c:pt idx="14" formatCode="0.00000">
                  <c:v>3.3318954462652414E-2</c:v>
                </c:pt>
                <c:pt idx="15" formatCode="0.00000">
                  <c:v>3.4019253176190895E-2</c:v>
                </c:pt>
                <c:pt idx="16" formatCode="0.00000">
                  <c:v>3.4519859093420785E-2</c:v>
                </c:pt>
                <c:pt idx="17" formatCode="0.00000">
                  <c:v>3.4996103928644023E-2</c:v>
                </c:pt>
                <c:pt idx="18" formatCode="0.00000">
                  <c:v>3.5454068976098041E-2</c:v>
                </c:pt>
                <c:pt idx="19" formatCode="0.00000">
                  <c:v>3.5843747441412971E-2</c:v>
                </c:pt>
                <c:pt idx="20" formatCode="0.00000">
                  <c:v>3.6178224343330512E-2</c:v>
                </c:pt>
                <c:pt idx="21" formatCode="0.00000">
                  <c:v>3.6673751313294478E-2</c:v>
                </c:pt>
                <c:pt idx="22" formatCode="0.00000">
                  <c:v>3.7129131853215459E-2</c:v>
                </c:pt>
                <c:pt idx="23" formatCode="0.00000">
                  <c:v>3.7556453024845921E-2</c:v>
                </c:pt>
                <c:pt idx="24" formatCode="0.00000">
                  <c:v>3.7967218356617503E-2</c:v>
                </c:pt>
                <c:pt idx="25" formatCode="0.00000">
                  <c:v>3.8316746206421476E-2</c:v>
                </c:pt>
                <c:pt idx="26" formatCode="0.00000">
                  <c:v>3.8710394950090557E-2</c:v>
                </c:pt>
                <c:pt idx="27" formatCode="0.00000">
                  <c:v>3.9068372878727081E-2</c:v>
                </c:pt>
                <c:pt idx="28" formatCode="0.00000">
                  <c:v>3.9485673612661996E-2</c:v>
                </c:pt>
                <c:pt idx="29" formatCode="0.00000">
                  <c:v>3.9844010828634716E-2</c:v>
                </c:pt>
                <c:pt idx="30" formatCode="0.00000">
                  <c:v>4.0188059964220355E-2</c:v>
                </c:pt>
                <c:pt idx="31" formatCode="0.00000">
                  <c:v>4.0531002024589084E-2</c:v>
                </c:pt>
                <c:pt idx="32" formatCode="0.00000">
                  <c:v>4.0867917118047728E-2</c:v>
                </c:pt>
                <c:pt idx="33" formatCode="0.00000">
                  <c:v>4.1226451174426228E-2</c:v>
                </c:pt>
                <c:pt idx="34" formatCode="0.00000">
                  <c:v>4.1556870776191059E-2</c:v>
                </c:pt>
                <c:pt idx="35" formatCode="0.00000">
                  <c:v>4.1880146196855643E-2</c:v>
                </c:pt>
                <c:pt idx="36" formatCode="0.00000">
                  <c:v>4.2200746270537902E-2</c:v>
                </c:pt>
                <c:pt idx="37" formatCode="0.00000">
                  <c:v>4.2514346132285857E-2</c:v>
                </c:pt>
                <c:pt idx="38" formatCode="0.00000">
                  <c:v>4.2825358257742849E-2</c:v>
                </c:pt>
                <c:pt idx="39" formatCode="0.00000">
                  <c:v>4.3120953319762463E-2</c:v>
                </c:pt>
                <c:pt idx="40" formatCode="0.00000">
                  <c:v>4.3410088490379417E-2</c:v>
                </c:pt>
                <c:pt idx="41" formatCode="0.00000">
                  <c:v>4.3692424498921877E-2</c:v>
                </c:pt>
                <c:pt idx="42" formatCode="0.00000">
                  <c:v>4.3966685836742618E-2</c:v>
                </c:pt>
                <c:pt idx="43" formatCode="0.00000">
                  <c:v>4.4231751456886681E-2</c:v>
                </c:pt>
                <c:pt idx="44" formatCode="0.00000">
                  <c:v>4.4488243207258832E-2</c:v>
                </c:pt>
                <c:pt idx="45" formatCode="0.00000">
                  <c:v>4.4736358843610498E-2</c:v>
                </c:pt>
                <c:pt idx="46" formatCode="0.00000">
                  <c:v>4.4976037984449338E-2</c:v>
                </c:pt>
                <c:pt idx="47" formatCode="0.00000">
                  <c:v>4.5206586948683784E-2</c:v>
                </c:pt>
                <c:pt idx="48" formatCode="0.00000">
                  <c:v>4.5427854205778773E-2</c:v>
                </c:pt>
                <c:pt idx="49" formatCode="0.00000">
                  <c:v>4.563947639959804E-2</c:v>
                </c:pt>
                <c:pt idx="50" formatCode="0.00000">
                  <c:v>4.5841785154048624E-2</c:v>
                </c:pt>
                <c:pt idx="51" formatCode="0.00000">
                  <c:v>4.6034590749395241E-2</c:v>
                </c:pt>
                <c:pt idx="52" formatCode="0.00000">
                  <c:v>4.6217700918018099E-2</c:v>
                </c:pt>
              </c:numCache>
            </c:numRef>
          </c:yVal>
          <c:smooth val="1"/>
          <c:extLst>
            <c:ext xmlns:c16="http://schemas.microsoft.com/office/drawing/2014/chart" uri="{C3380CC4-5D6E-409C-BE32-E72D297353CC}">
              <c16:uniqueId val="{00000001-4AB4-415F-89A2-8E66183540CE}"/>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Producción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Palmito</a:t>
            </a:r>
          </a:p>
        </c:rich>
      </c:tx>
      <c:layout>
        <c:manualLayout>
          <c:xMode val="edge"/>
          <c:yMode val="edge"/>
          <c:x val="0.30959027305505554"/>
          <c:y val="4.262023857265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'CC70-Tendencial'!$K$118:$BK$118</c:f>
              <c:numCache>
                <c:formatCode>General</c:formatCode>
                <c:ptCount val="53"/>
                <c:pt idx="0">
                  <c:v>4.3652640246656008E-2</c:v>
                </c:pt>
                <c:pt idx="1">
                  <c:v>3.5010121222727224E-2</c:v>
                </c:pt>
                <c:pt idx="2">
                  <c:v>3.7421596562221979E-2</c:v>
                </c:pt>
                <c:pt idx="3">
                  <c:v>2.7855525305192988E-2</c:v>
                </c:pt>
                <c:pt idx="4">
                  <c:v>2.3652076736890879E-2</c:v>
                </c:pt>
                <c:pt idx="5">
                  <c:v>2.5810647019040598E-2</c:v>
                </c:pt>
                <c:pt idx="6">
                  <c:v>2.7354888582265913E-2</c:v>
                </c:pt>
                <c:pt idx="7">
                  <c:v>2.7373569516362523E-2</c:v>
                </c:pt>
                <c:pt idx="8">
                  <c:v>2.8986269577294131E-2</c:v>
                </c:pt>
                <c:pt idx="9">
                  <c:v>2.9676032939562409E-2</c:v>
                </c:pt>
                <c:pt idx="10">
                  <c:v>3.0396762969651821E-2</c:v>
                </c:pt>
                <c:pt idx="11">
                  <c:v>3.1033707232075953E-2</c:v>
                </c:pt>
                <c:pt idx="12">
                  <c:v>3.1782351098110839E-2</c:v>
                </c:pt>
                <c:pt idx="13">
                  <c:v>3.1355238366834383E-2</c:v>
                </c:pt>
                <c:pt idx="14">
                  <c:v>3.1905286031335842E-2</c:v>
                </c:pt>
                <c:pt idx="15">
                  <c:v>3.2575872222384138E-2</c:v>
                </c:pt>
                <c:pt idx="16">
                  <c:v>3.3055238253995423E-2</c:v>
                </c:pt>
                <c:pt idx="17">
                  <c:v>3.3511276804237926E-2</c:v>
                </c:pt>
                <c:pt idx="18">
                  <c:v>3.3949811148037731E-2</c:v>
                </c:pt>
                <c:pt idx="19">
                  <c:v>3.4322956197053632E-2</c:v>
                </c:pt>
                <c:pt idx="20">
                  <c:v>3.4643241794205727E-2</c:v>
                </c:pt>
                <c:pt idx="21">
                  <c:v>3.5117744369929191E-2</c:v>
                </c:pt>
                <c:pt idx="22">
                  <c:v>3.555380386259932E-2</c:v>
                </c:pt>
                <c:pt idx="23">
                  <c:v>3.5962994499820475E-2</c:v>
                </c:pt>
                <c:pt idx="24">
                  <c:v>3.6356331734235171E-2</c:v>
                </c:pt>
                <c:pt idx="25">
                  <c:v>3.669102969231227E-2</c:v>
                </c:pt>
                <c:pt idx="26">
                  <c:v>3.7067976567302492E-2</c:v>
                </c:pt>
                <c:pt idx="27">
                  <c:v>3.7410766081266859E-2</c:v>
                </c:pt>
                <c:pt idx="28">
                  <c:v>3.7810361431481213E-2</c:v>
                </c:pt>
                <c:pt idx="29">
                  <c:v>3.8153494988811099E-2</c:v>
                </c:pt>
                <c:pt idx="30">
                  <c:v>3.848294668550218E-2</c:v>
                </c:pt>
                <c:pt idx="31">
                  <c:v>3.8811338278356762E-2</c:v>
                </c:pt>
                <c:pt idx="32">
                  <c:v>3.9133958618593465E-2</c:v>
                </c:pt>
                <c:pt idx="33">
                  <c:v>3.9477280664714488E-2</c:v>
                </c:pt>
                <c:pt idx="34">
                  <c:v>3.9793681106285478E-2</c:v>
                </c:pt>
                <c:pt idx="35">
                  <c:v>4.0103240482608798E-2</c:v>
                </c:pt>
                <c:pt idx="36">
                  <c:v>4.0410238022521569E-2</c:v>
                </c:pt>
                <c:pt idx="37">
                  <c:v>4.0710532357977718E-2</c:v>
                </c:pt>
                <c:pt idx="38">
                  <c:v>4.1008348750537139E-2</c:v>
                </c:pt>
                <c:pt idx="39">
                  <c:v>4.1291402200301225E-2</c:v>
                </c:pt>
                <c:pt idx="40">
                  <c:v>4.1568269841228953E-2</c:v>
                </c:pt>
                <c:pt idx="41">
                  <c:v>4.1838626797345027E-2</c:v>
                </c:pt>
                <c:pt idx="42">
                  <c:v>4.210125167773604E-2</c:v>
                </c:pt>
                <c:pt idx="43">
                  <c:v>4.2355070999625308E-2</c:v>
                </c:pt>
                <c:pt idx="44">
                  <c:v>4.2600680226933876E-2</c:v>
                </c:pt>
                <c:pt idx="45">
                  <c:v>4.2838268724961936E-2</c:v>
                </c:pt>
                <c:pt idx="46">
                  <c:v>4.306777867410453E-2</c:v>
                </c:pt>
                <c:pt idx="47">
                  <c:v>4.3288545825017788E-2</c:v>
                </c:pt>
                <c:pt idx="48">
                  <c:v>4.3500425076357985E-2</c:v>
                </c:pt>
                <c:pt idx="49">
                  <c:v>4.3703068488592019E-2</c:v>
                </c:pt>
                <c:pt idx="50">
                  <c:v>4.3896793615370064E-2</c:v>
                </c:pt>
                <c:pt idx="51">
                  <c:v>4.4081418786453122E-2</c:v>
                </c:pt>
                <c:pt idx="52">
                  <c:v>4.4256759891820249E-2</c:v>
                </c:pt>
              </c:numCache>
            </c:numRef>
          </c:yVal>
          <c:smooth val="1"/>
          <c:extLst>
            <c:ext xmlns:c16="http://schemas.microsoft.com/office/drawing/2014/chart" uri="{C3380CC4-5D6E-409C-BE32-E72D297353CC}">
              <c16:uniqueId val="{00000000-E356-4806-85F2-A78473EF9F33}"/>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'CC70-Tendencial'!$K$134:$BK$134</c:f>
              <c:numCache>
                <c:formatCode>General</c:formatCode>
                <c:ptCount val="53"/>
                <c:pt idx="0">
                  <c:v>4.3652640246656008E-2</c:v>
                </c:pt>
                <c:pt idx="1">
                  <c:v>3.5010121222727224E-2</c:v>
                </c:pt>
                <c:pt idx="2">
                  <c:v>3.7421596562221979E-2</c:v>
                </c:pt>
                <c:pt idx="3">
                  <c:v>2.7855525305192988E-2</c:v>
                </c:pt>
                <c:pt idx="4">
                  <c:v>2.3652076736890879E-2</c:v>
                </c:pt>
                <c:pt idx="5" formatCode="0.00000">
                  <c:v>2.6056744527322692E-2</c:v>
                </c:pt>
                <c:pt idx="6" formatCode="0.00000">
                  <c:v>2.7789975778349477E-2</c:v>
                </c:pt>
                <c:pt idx="7" formatCode="0.00000">
                  <c:v>2.7939274699615893E-2</c:v>
                </c:pt>
                <c:pt idx="8" formatCode="0.00000">
                  <c:v>2.9818473938051468E-2</c:v>
                </c:pt>
                <c:pt idx="9" formatCode="0.00000">
                  <c:v>3.0730948994392701E-2</c:v>
                </c:pt>
                <c:pt idx="10" formatCode="0.00000">
                  <c:v>3.1699788783826288E-2</c:v>
                </c:pt>
                <c:pt idx="11" formatCode="0.00000">
                  <c:v>3.2594235426568724E-2</c:v>
                </c:pt>
                <c:pt idx="12" formatCode="0.00000">
                  <c:v>3.3642489614415336E-2</c:v>
                </c:pt>
                <c:pt idx="13" formatCode="0.00000">
                  <c:v>3.3278574307654213E-2</c:v>
                </c:pt>
                <c:pt idx="14" formatCode="0.00000">
                  <c:v>3.4101789615386596E-2</c:v>
                </c:pt>
                <c:pt idx="15" formatCode="0.00000">
                  <c:v>3.5094010220170391E-2</c:v>
                </c:pt>
                <c:pt idx="16" formatCode="0.00000">
                  <c:v>3.5864569430777871E-2</c:v>
                </c:pt>
                <c:pt idx="17" formatCode="0.00000">
                  <c:v>3.6619391847461297E-2</c:v>
                </c:pt>
                <c:pt idx="18" formatCode="0.00000">
                  <c:v>3.7365025689256065E-2</c:v>
                </c:pt>
                <c:pt idx="19" formatCode="0.00000">
                  <c:v>3.803505581097448E-2</c:v>
                </c:pt>
                <c:pt idx="20" formatCode="0.00000">
                  <c:v>3.864231470048346E-2</c:v>
                </c:pt>
                <c:pt idx="21" formatCode="0.00000">
                  <c:v>3.9477694245749914E-2</c:v>
                </c:pt>
                <c:pt idx="22" formatCode="0.00000">
                  <c:v>4.027523473220937E-2</c:v>
                </c:pt>
                <c:pt idx="23" formatCode="0.00000">
                  <c:v>4.1049356383302343E-2</c:v>
                </c:pt>
                <c:pt idx="24" formatCode="0.00000">
                  <c:v>4.1815011392310225E-2</c:v>
                </c:pt>
                <c:pt idx="25" formatCode="0.00000">
                  <c:v>4.2505472382470405E-2</c:v>
                </c:pt>
                <c:pt idx="26" formatCode="0.00000">
                  <c:v>4.3274784980501357E-2</c:v>
                </c:pt>
                <c:pt idx="27" formatCode="0.00000">
                  <c:v>4.4005011005736255E-2</c:v>
                </c:pt>
                <c:pt idx="28" formatCode="0.00000">
                  <c:v>4.4842294006005118E-2</c:v>
                </c:pt>
                <c:pt idx="29" formatCode="0.00000">
                  <c:v>4.56040248443767E-2</c:v>
                </c:pt>
                <c:pt idx="30" formatCode="0.00000">
                  <c:v>4.6358235387700841E-2</c:v>
                </c:pt>
                <c:pt idx="31" formatCode="0.00000">
                  <c:v>4.7126137345925828E-2</c:v>
                </c:pt>
                <c:pt idx="32" formatCode="0.00000">
                  <c:v>4.7899976931321947E-2</c:v>
                </c:pt>
                <c:pt idx="33" formatCode="0.00000">
                  <c:v>4.8727636081939613E-2</c:v>
                </c:pt>
                <c:pt idx="34" formatCode="0.00000">
                  <c:v>4.9524757562180249E-2</c:v>
                </c:pt>
                <c:pt idx="35" formatCode="0.00000">
                  <c:v>5.0326964727834794E-2</c:v>
                </c:pt>
                <c:pt idx="36" formatCode="0.00000">
                  <c:v>5.1142604701680777E-2</c:v>
                </c:pt>
                <c:pt idx="37" formatCode="0.00000">
                  <c:v>5.1964299052178448E-2</c:v>
                </c:pt>
                <c:pt idx="38" formatCode="0.00000">
                  <c:v>5.2800663615550025E-2</c:v>
                </c:pt>
                <c:pt idx="39" formatCode="0.00000">
                  <c:v>5.3627617553090423E-2</c:v>
                </c:pt>
                <c:pt idx="40" formatCode="0.00000">
                  <c:v>5.4462166888981284E-2</c:v>
                </c:pt>
                <c:pt idx="41" formatCode="0.00000">
                  <c:v>5.5303974606444734E-2</c:v>
                </c:pt>
                <c:pt idx="42" formatCode="0.00000">
                  <c:v>5.6150752217168642E-2</c:v>
                </c:pt>
                <c:pt idx="43" formatCode="0.00000">
                  <c:v>5.7000350774160019E-2</c:v>
                </c:pt>
                <c:pt idx="44" formatCode="0.00000">
                  <c:v>5.7854164880240866E-2</c:v>
                </c:pt>
                <c:pt idx="45" formatCode="0.00000">
                  <c:v>5.8712778756166095E-2</c:v>
                </c:pt>
                <c:pt idx="46" formatCode="0.00000">
                  <c:v>5.9576249286501681E-2</c:v>
                </c:pt>
                <c:pt idx="47" formatCode="0.00000">
                  <c:v>6.0443206968293001E-2</c:v>
                </c:pt>
                <c:pt idx="48" formatCode="0.00000">
                  <c:v>6.1313418732384051E-2</c:v>
                </c:pt>
                <c:pt idx="49" formatCode="0.00000">
                  <c:v>6.2186136264514358E-2</c:v>
                </c:pt>
                <c:pt idx="50" formatCode="0.00000">
                  <c:v>6.3062210582122635E-2</c:v>
                </c:pt>
                <c:pt idx="51" formatCode="0.00000">
                  <c:v>6.3941289441876326E-2</c:v>
                </c:pt>
                <c:pt idx="52" formatCode="0.00000">
                  <c:v>6.4822984109036225E-2</c:v>
                </c:pt>
              </c:numCache>
            </c:numRef>
          </c:yVal>
          <c:smooth val="1"/>
          <c:extLst>
            <c:ext xmlns:c16="http://schemas.microsoft.com/office/drawing/2014/chart" uri="{C3380CC4-5D6E-409C-BE32-E72D297353CC}">
              <c16:uniqueId val="{00000001-E356-4806-85F2-A78473EF9F33}"/>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Producción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Legumbres</a:t>
            </a:r>
          </a:p>
        </c:rich>
      </c:tx>
      <c:layout>
        <c:manualLayout>
          <c:xMode val="edge"/>
          <c:yMode val="edge"/>
          <c:x val="0.30959027305505554"/>
          <c:y val="4.262023857265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'CC70-Tendencial'!$K$119:$BK$119</c:f>
              <c:numCache>
                <c:formatCode>General</c:formatCode>
                <c:ptCount val="53"/>
                <c:pt idx="0">
                  <c:v>6.6623000000000002E-2</c:v>
                </c:pt>
                <c:pt idx="1">
                  <c:v>6.9685999999999998E-2</c:v>
                </c:pt>
                <c:pt idx="2">
                  <c:v>7.7360999999999999E-2</c:v>
                </c:pt>
                <c:pt idx="3">
                  <c:v>8.7922E-2</c:v>
                </c:pt>
                <c:pt idx="4">
                  <c:v>6.8358373950290235E-2</c:v>
                </c:pt>
                <c:pt idx="5">
                  <c:v>8.3786134204488563E-2</c:v>
                </c:pt>
                <c:pt idx="6">
                  <c:v>8.8984218826287306E-2</c:v>
                </c:pt>
                <c:pt idx="7">
                  <c:v>8.9230690893579587E-2</c:v>
                </c:pt>
                <c:pt idx="8">
                  <c:v>9.4684726687222137E-2</c:v>
                </c:pt>
                <c:pt idx="9">
                  <c:v>9.7140028813314572E-2</c:v>
                </c:pt>
                <c:pt idx="10">
                  <c:v>9.9706736341853106E-2</c:v>
                </c:pt>
                <c:pt idx="11">
                  <c:v>0.10200832190343508</c:v>
                </c:pt>
                <c:pt idx="12">
                  <c:v>0.10468699794915136</c:v>
                </c:pt>
                <c:pt idx="13">
                  <c:v>0.10349553459271671</c:v>
                </c:pt>
                <c:pt idx="14">
                  <c:v>0.10553072661453251</c:v>
                </c:pt>
                <c:pt idx="15">
                  <c:v>0.10797348505469334</c:v>
                </c:pt>
                <c:pt idx="16">
                  <c:v>0.10979084781922875</c:v>
                </c:pt>
                <c:pt idx="17">
                  <c:v>0.11153767889643459</c:v>
                </c:pt>
                <c:pt idx="18">
                  <c:v>0.11323293666144521</c:v>
                </c:pt>
                <c:pt idx="19">
                  <c:v>0.11471623224860215</c:v>
                </c:pt>
                <c:pt idx="20">
                  <c:v>0.11602818373032196</c:v>
                </c:pt>
                <c:pt idx="21">
                  <c:v>0.11786269374491201</c:v>
                </c:pt>
                <c:pt idx="22">
                  <c:v>0.11957505855307204</c:v>
                </c:pt>
                <c:pt idx="23">
                  <c:v>0.12120349885543599</c:v>
                </c:pt>
                <c:pt idx="24">
                  <c:v>0.1227846703159001</c:v>
                </c:pt>
                <c:pt idx="25">
                  <c:v>0.12417345679523067</c:v>
                </c:pt>
                <c:pt idx="26">
                  <c:v>0.12571078309450753</c:v>
                </c:pt>
                <c:pt idx="27">
                  <c:v>0.12713790009943374</c:v>
                </c:pt>
                <c:pt idx="28">
                  <c:v>0.12876387618003787</c:v>
                </c:pt>
                <c:pt idx="29">
                  <c:v>0.13020339858927005</c:v>
                </c:pt>
                <c:pt idx="30">
                  <c:v>0.13160157685361759</c:v>
                </c:pt>
                <c:pt idx="31">
                  <c:v>0.13300138780004678</c:v>
                </c:pt>
                <c:pt idx="32">
                  <c:v>0.13438664641998371</c:v>
                </c:pt>
                <c:pt idx="33">
                  <c:v>0.13584834275322946</c:v>
                </c:pt>
                <c:pt idx="34">
                  <c:v>0.13722271611218295</c:v>
                </c:pt>
                <c:pt idx="35">
                  <c:v>0.13857859153280955</c:v>
                </c:pt>
                <c:pt idx="36">
                  <c:v>0.13993065449237313</c:v>
                </c:pt>
                <c:pt idx="37">
                  <c:v>0.14126449425136864</c:v>
                </c:pt>
                <c:pt idx="38">
                  <c:v>0.14259467253635702</c:v>
                </c:pt>
                <c:pt idx="39">
                  <c:v>0.14387834368276875</c:v>
                </c:pt>
                <c:pt idx="40">
                  <c:v>0.14514514967383305</c:v>
                </c:pt>
                <c:pt idx="41">
                  <c:v>0.14639383279173837</c:v>
                </c:pt>
                <c:pt idx="42">
                  <c:v>0.14761998185269315</c:v>
                </c:pt>
                <c:pt idx="43">
                  <c:v>0.14881966908402783</c:v>
                </c:pt>
                <c:pt idx="44">
                  <c:v>0.14999481085386362</c:v>
                </c:pt>
                <c:pt idx="45">
                  <c:v>0.15114590741458689</c:v>
                </c:pt>
                <c:pt idx="46">
                  <c:v>0.1522725899136744</c:v>
                </c:pt>
                <c:pt idx="47">
                  <c:v>0.15337233849406906</c:v>
                </c:pt>
                <c:pt idx="48">
                  <c:v>0.15444445614363209</c:v>
                </c:pt>
                <c:pt idx="49">
                  <c:v>0.15548751911546635</c:v>
                </c:pt>
                <c:pt idx="50">
                  <c:v>0.15650246518462832</c:v>
                </c:pt>
                <c:pt idx="51">
                  <c:v>0.15748845718003915</c:v>
                </c:pt>
                <c:pt idx="52">
                  <c:v>0.15844464298086219</c:v>
                </c:pt>
              </c:numCache>
            </c:numRef>
          </c:yVal>
          <c:smooth val="1"/>
          <c:extLst>
            <c:ext xmlns:c16="http://schemas.microsoft.com/office/drawing/2014/chart" uri="{C3380CC4-5D6E-409C-BE32-E72D297353CC}">
              <c16:uniqueId val="{00000000-45A4-4F7D-964B-05DD96D6A790}"/>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'CC70-Tendencial'!$K$135:$BK$135</c:f>
              <c:numCache>
                <c:formatCode>General</c:formatCode>
                <c:ptCount val="53"/>
                <c:pt idx="0">
                  <c:v>6.6623000000000002E-2</c:v>
                </c:pt>
                <c:pt idx="1">
                  <c:v>6.9685999999999998E-2</c:v>
                </c:pt>
                <c:pt idx="2">
                  <c:v>7.7360999999999999E-2</c:v>
                </c:pt>
                <c:pt idx="3">
                  <c:v>8.7922E-2</c:v>
                </c:pt>
                <c:pt idx="4">
                  <c:v>6.8358373950290235E-2</c:v>
                </c:pt>
                <c:pt idx="5" formatCode="0.00000">
                  <c:v>8.3817665548220066E-2</c:v>
                </c:pt>
                <c:pt idx="6" formatCode="0.00000">
                  <c:v>8.9039964550933812E-2</c:v>
                </c:pt>
                <c:pt idx="7" formatCode="0.00000">
                  <c:v>8.9303172101164216E-2</c:v>
                </c:pt>
                <c:pt idx="8" formatCode="0.00000">
                  <c:v>9.4791353210737422E-2</c:v>
                </c:pt>
                <c:pt idx="9" formatCode="0.00000">
                  <c:v>9.7275190363567271E-2</c:v>
                </c:pt>
                <c:pt idx="10" formatCode="0.00000">
                  <c:v>9.9873687056326266E-2</c:v>
                </c:pt>
                <c:pt idx="11" formatCode="0.00000">
                  <c:v>0.10220826521552603</c:v>
                </c:pt>
                <c:pt idx="12" formatCode="0.00000">
                  <c:v>0.10492532895605686</c:v>
                </c:pt>
                <c:pt idx="13" formatCode="0.00000">
                  <c:v>0.10374196279544207</c:v>
                </c:pt>
                <c:pt idx="14" formatCode="0.00000">
                  <c:v>0.10581215453308257</c:v>
                </c:pt>
                <c:pt idx="15" formatCode="0.00000">
                  <c:v>0.10829612251382821</c:v>
                </c:pt>
                <c:pt idx="16" formatCode="0.00000">
                  <c:v>0.11015079452331818</c:v>
                </c:pt>
                <c:pt idx="17" formatCode="0.00000">
                  <c:v>0.11193590740540671</c:v>
                </c:pt>
                <c:pt idx="18" formatCode="0.00000">
                  <c:v>0.11367051241898822</c:v>
                </c:pt>
                <c:pt idx="19" formatCode="0.00000">
                  <c:v>0.11519184652730488</c:v>
                </c:pt>
                <c:pt idx="20" formatCode="0.00000">
                  <c:v>0.11654056657928055</c:v>
                </c:pt>
                <c:pt idx="21" formatCode="0.00000">
                  <c:v>0.11842131410294118</c:v>
                </c:pt>
                <c:pt idx="22" formatCode="0.00000">
                  <c:v>0.120179993811025</c:v>
                </c:pt>
                <c:pt idx="23" formatCode="0.00000">
                  <c:v>0.12185519104854446</c:v>
                </c:pt>
                <c:pt idx="24" formatCode="0.00000">
                  <c:v>0.12348406587589755</c:v>
                </c:pt>
                <c:pt idx="25" formatCode="0.00000">
                  <c:v>0.12491843463897363</c:v>
                </c:pt>
                <c:pt idx="26" formatCode="0.00000">
                  <c:v>0.12650603295672</c:v>
                </c:pt>
                <c:pt idx="27" formatCode="0.00000">
                  <c:v>0.12798279042284499</c:v>
                </c:pt>
                <c:pt idx="28" formatCode="0.00000">
                  <c:v>0.12966484541232248</c:v>
                </c:pt>
                <c:pt idx="29" formatCode="0.00000">
                  <c:v>0.1311580007691035</c:v>
                </c:pt>
                <c:pt idx="30" formatCode="0.00000">
                  <c:v>0.13261060143410713</c:v>
                </c:pt>
                <c:pt idx="31" formatCode="0.00000">
                  <c:v>0.13406672482555371</c:v>
                </c:pt>
                <c:pt idx="32" formatCode="0.00000">
                  <c:v>0.13550979609551178</c:v>
                </c:pt>
                <c:pt idx="33" formatCode="0.00000">
                  <c:v>0.13703354831802844</c:v>
                </c:pt>
                <c:pt idx="34" formatCode="0.00000">
                  <c:v>0.13846951425634232</c:v>
                </c:pt>
                <c:pt idx="35" formatCode="0.00000">
                  <c:v>0.13988851037612757</c:v>
                </c:pt>
                <c:pt idx="36" formatCode="0.00000">
                  <c:v>0.14130574335522011</c:v>
                </c:pt>
                <c:pt idx="37" formatCode="0.00000">
                  <c:v>0.14270638770403313</c:v>
                </c:pt>
                <c:pt idx="38" formatCode="0.00000">
                  <c:v>0.14410556769329874</c:v>
                </c:pt>
                <c:pt idx="39" formatCode="0.00000">
                  <c:v>0.14545892631178414</c:v>
                </c:pt>
                <c:pt idx="40" formatCode="0.00000">
                  <c:v>0.14679718549771986</c:v>
                </c:pt>
                <c:pt idx="41" formatCode="0.00000">
                  <c:v>0.14811908597774906</c:v>
                </c:pt>
                <c:pt idx="42" formatCode="0.00000">
                  <c:v>0.14942007984579025</c:v>
                </c:pt>
                <c:pt idx="43" formatCode="0.00000">
                  <c:v>0.15069610153488208</c:v>
                </c:pt>
                <c:pt idx="44" formatCode="0.00000">
                  <c:v>0.15194916980314371</c:v>
                </c:pt>
                <c:pt idx="45" formatCode="0.00000">
                  <c:v>0.15317983549397785</c:v>
                </c:pt>
                <c:pt idx="46" formatCode="0.00000">
                  <c:v>0.15438774445138004</c:v>
                </c:pt>
                <c:pt idx="47" formatCode="0.00000">
                  <c:v>0.15557028645738633</c:v>
                </c:pt>
                <c:pt idx="48" formatCode="0.00000">
                  <c:v>0.15672675322894603</c:v>
                </c:pt>
                <c:pt idx="49" formatCode="0.00000">
                  <c:v>0.15785566972098669</c:v>
                </c:pt>
                <c:pt idx="50" formatCode="0.00000">
                  <c:v>0.15895804205883041</c:v>
                </c:pt>
                <c:pt idx="51" formatCode="0.00000">
                  <c:v>0.16003301121665114</c:v>
                </c:pt>
                <c:pt idx="52" formatCode="0.00000">
                  <c:v>0.16107969885598664</c:v>
                </c:pt>
              </c:numCache>
            </c:numRef>
          </c:yVal>
          <c:smooth val="1"/>
          <c:extLst>
            <c:ext xmlns:c16="http://schemas.microsoft.com/office/drawing/2014/chart" uri="{C3380CC4-5D6E-409C-BE32-E72D297353CC}">
              <c16:uniqueId val="{00000001-45A4-4F7D-964B-05DD96D6A790}"/>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Producción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Cereales y pseudocereales</a:t>
            </a:r>
          </a:p>
        </c:rich>
      </c:tx>
      <c:layout>
        <c:manualLayout>
          <c:xMode val="edge"/>
          <c:yMode val="edge"/>
          <c:x val="0.30959027305505554"/>
          <c:y val="4.262023857265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'CC70-Tendencial'!$K$120:$BK$120</c:f>
              <c:numCache>
                <c:formatCode>General</c:formatCode>
                <c:ptCount val="53"/>
                <c:pt idx="0">
                  <c:v>2.1217E-2</c:v>
                </c:pt>
                <c:pt idx="1">
                  <c:v>2.3028E-2</c:v>
                </c:pt>
                <c:pt idx="2">
                  <c:v>3.3656999999999999E-2</c:v>
                </c:pt>
                <c:pt idx="3">
                  <c:v>2.7061000000000002E-2</c:v>
                </c:pt>
                <c:pt idx="4">
                  <c:v>1.9469815087454573E-2</c:v>
                </c:pt>
                <c:pt idx="5">
                  <c:v>2.3147915967647342E-2</c:v>
                </c:pt>
                <c:pt idx="6">
                  <c:v>2.4584010700511524E-2</c:v>
                </c:pt>
                <c:pt idx="7">
                  <c:v>2.4652104481854027E-2</c:v>
                </c:pt>
                <c:pt idx="8">
                  <c:v>2.6158911824554112E-2</c:v>
                </c:pt>
                <c:pt idx="9">
                  <c:v>2.6837247539999127E-2</c:v>
                </c:pt>
                <c:pt idx="10">
                  <c:v>2.7546361652354901E-2</c:v>
                </c:pt>
                <c:pt idx="11">
                  <c:v>2.8182229504209982E-2</c:v>
                </c:pt>
                <c:pt idx="12">
                  <c:v>2.8922277587338615E-2</c:v>
                </c:pt>
                <c:pt idx="13">
                  <c:v>2.8593107445821293E-2</c:v>
                </c:pt>
                <c:pt idx="14">
                  <c:v>2.9155377734888945E-2</c:v>
                </c:pt>
                <c:pt idx="15">
                  <c:v>2.9830247958213738E-2</c:v>
                </c:pt>
                <c:pt idx="16">
                  <c:v>3.033233772468423E-2</c:v>
                </c:pt>
                <c:pt idx="17">
                  <c:v>3.0814941431953371E-2</c:v>
                </c:pt>
                <c:pt idx="18">
                  <c:v>3.128329678287807E-2</c:v>
                </c:pt>
                <c:pt idx="19">
                  <c:v>3.1693092531693653E-2</c:v>
                </c:pt>
                <c:pt idx="20">
                  <c:v>3.2055550388722376E-2</c:v>
                </c:pt>
                <c:pt idx="21">
                  <c:v>3.2562377491592374E-2</c:v>
                </c:pt>
                <c:pt idx="22">
                  <c:v>3.3035459070800993E-2</c:v>
                </c:pt>
                <c:pt idx="23">
                  <c:v>3.3485354505592778E-2</c:v>
                </c:pt>
                <c:pt idx="24">
                  <c:v>3.3922190796522936E-2</c:v>
                </c:pt>
                <c:pt idx="25">
                  <c:v>3.4305876152408793E-2</c:v>
                </c:pt>
                <c:pt idx="26">
                  <c:v>3.4730599172851102E-2</c:v>
                </c:pt>
                <c:pt idx="27">
                  <c:v>3.512487424974399E-2</c:v>
                </c:pt>
                <c:pt idx="28">
                  <c:v>3.5574088884558978E-2</c:v>
                </c:pt>
                <c:pt idx="29">
                  <c:v>3.5971791249978131E-2</c:v>
                </c:pt>
                <c:pt idx="30">
                  <c:v>3.6358071310255383E-2</c:v>
                </c:pt>
                <c:pt idx="31">
                  <c:v>3.6744802437860019E-2</c:v>
                </c:pt>
                <c:pt idx="32">
                  <c:v>3.7127513138529175E-2</c:v>
                </c:pt>
                <c:pt idx="33">
                  <c:v>3.7531341578800836E-2</c:v>
                </c:pt>
                <c:pt idx="34">
                  <c:v>3.7911044966757401E-2</c:v>
                </c:pt>
                <c:pt idx="35">
                  <c:v>3.8285637858496063E-2</c:v>
                </c:pt>
                <c:pt idx="36">
                  <c:v>3.8659177467025588E-2</c:v>
                </c:pt>
                <c:pt idx="37">
                  <c:v>3.9027682482189317E-2</c:v>
                </c:pt>
                <c:pt idx="38">
                  <c:v>3.9395175927915693E-2</c:v>
                </c:pt>
                <c:pt idx="39">
                  <c:v>3.9749820668472782E-2</c:v>
                </c:pt>
                <c:pt idx="40">
                  <c:v>4.0099806008014764E-2</c:v>
                </c:pt>
                <c:pt idx="41">
                  <c:v>4.0444784472028247E-2</c:v>
                </c:pt>
                <c:pt idx="42">
                  <c:v>4.0783537365884408E-2</c:v>
                </c:pt>
                <c:pt idx="43">
                  <c:v>4.1114979548795234E-2</c:v>
                </c:pt>
                <c:pt idx="44">
                  <c:v>4.1439640463115997E-2</c:v>
                </c:pt>
                <c:pt idx="45">
                  <c:v>4.1757658315488069E-2</c:v>
                </c:pt>
                <c:pt idx="46">
                  <c:v>4.2068931201613174E-2</c:v>
                </c:pt>
                <c:pt idx="47">
                  <c:v>4.2372762950938003E-2</c:v>
                </c:pt>
                <c:pt idx="48">
                  <c:v>4.2668960997251336E-2</c:v>
                </c:pt>
                <c:pt idx="49">
                  <c:v>4.2957131996548867E-2</c:v>
                </c:pt>
                <c:pt idx="50">
                  <c:v>4.3237535031534532E-2</c:v>
                </c:pt>
                <c:pt idx="51">
                  <c:v>4.3509938813750322E-2</c:v>
                </c:pt>
                <c:pt idx="52">
                  <c:v>4.3774107924511411E-2</c:v>
                </c:pt>
              </c:numCache>
            </c:numRef>
          </c:yVal>
          <c:smooth val="1"/>
          <c:extLst>
            <c:ext xmlns:c16="http://schemas.microsoft.com/office/drawing/2014/chart" uri="{C3380CC4-5D6E-409C-BE32-E72D297353CC}">
              <c16:uniqueId val="{00000000-D670-4FA0-B675-D1DCDEA4B8B4}"/>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'CC70-Tendencial'!$K$136:$BK$136</c:f>
              <c:numCache>
                <c:formatCode>General</c:formatCode>
                <c:ptCount val="53"/>
                <c:pt idx="0">
                  <c:v>2.1217E-2</c:v>
                </c:pt>
                <c:pt idx="1">
                  <c:v>2.3028E-2</c:v>
                </c:pt>
                <c:pt idx="2">
                  <c:v>3.3656999999999999E-2</c:v>
                </c:pt>
                <c:pt idx="3">
                  <c:v>2.7061000000000002E-2</c:v>
                </c:pt>
                <c:pt idx="4">
                  <c:v>1.9469815087454573E-2</c:v>
                </c:pt>
                <c:pt idx="5" formatCode="0.00000">
                  <c:v>2.3147915967647342E-2</c:v>
                </c:pt>
                <c:pt idx="6" formatCode="0.00000">
                  <c:v>3.1607871657460269E-2</c:v>
                </c:pt>
                <c:pt idx="7" formatCode="0.00000">
                  <c:v>4.0144587760213568E-2</c:v>
                </c:pt>
                <c:pt idx="8" formatCode="0.00000">
                  <c:v>4.8758064275907245E-2</c:v>
                </c:pt>
                <c:pt idx="9" formatCode="0.00000">
                  <c:v>5.7448301204541294E-2</c:v>
                </c:pt>
                <c:pt idx="10" formatCode="0.00000">
                  <c:v>6.6215298546115714E-2</c:v>
                </c:pt>
                <c:pt idx="11" formatCode="0.00000">
                  <c:v>7.5059056300630506E-2</c:v>
                </c:pt>
                <c:pt idx="12" formatCode="0.00000">
                  <c:v>8.3979574468085655E-2</c:v>
                </c:pt>
                <c:pt idx="13" formatCode="0.00000">
                  <c:v>8.4589404787234576E-2</c:v>
                </c:pt>
                <c:pt idx="14" formatCode="0.00000">
                  <c:v>8.5201321276596284E-2</c:v>
                </c:pt>
                <c:pt idx="15" formatCode="0.00000">
                  <c:v>8.5815323936170723E-2</c:v>
                </c:pt>
                <c:pt idx="16" formatCode="0.00000">
                  <c:v>8.6431412765957949E-2</c:v>
                </c:pt>
                <c:pt idx="17" formatCode="0.00000">
                  <c:v>8.7049587765957948E-2</c:v>
                </c:pt>
                <c:pt idx="18" formatCode="0.00000">
                  <c:v>8.7669848936170691E-2</c:v>
                </c:pt>
                <c:pt idx="19" formatCode="0.00000">
                  <c:v>8.8292196276596221E-2</c:v>
                </c:pt>
                <c:pt idx="20" formatCode="0.00000">
                  <c:v>8.8916629787234497E-2</c:v>
                </c:pt>
                <c:pt idx="21" formatCode="0.00000">
                  <c:v>8.9543149468085545E-2</c:v>
                </c:pt>
                <c:pt idx="22" formatCode="0.00000">
                  <c:v>9.0171755319149366E-2</c:v>
                </c:pt>
                <c:pt idx="23" formatCode="0.00000">
                  <c:v>9.0802447340425946E-2</c:v>
                </c:pt>
                <c:pt idx="24" formatCode="0.00000">
                  <c:v>9.1435225531915298E-2</c:v>
                </c:pt>
                <c:pt idx="25" formatCode="0.00000">
                  <c:v>9.207008989361741E-2</c:v>
                </c:pt>
                <c:pt idx="26" formatCode="0.00000">
                  <c:v>9.2707040425532294E-2</c:v>
                </c:pt>
                <c:pt idx="27" formatCode="0.00000">
                  <c:v>9.3346077127659938E-2</c:v>
                </c:pt>
                <c:pt idx="28" formatCode="0.00000">
                  <c:v>9.3987200000000354E-2</c:v>
                </c:pt>
                <c:pt idx="29" formatCode="0.00000">
                  <c:v>9.4630409042553529E-2</c:v>
                </c:pt>
                <c:pt idx="30" formatCode="0.00000">
                  <c:v>9.5275704255319463E-2</c:v>
                </c:pt>
                <c:pt idx="31" formatCode="0.00000">
                  <c:v>9.5923085638298183E-2</c:v>
                </c:pt>
                <c:pt idx="32" formatCode="0.00000">
                  <c:v>9.6572553191489663E-2</c:v>
                </c:pt>
                <c:pt idx="33" formatCode="0.00000">
                  <c:v>9.7224106914893915E-2</c:v>
                </c:pt>
                <c:pt idx="34" formatCode="0.00000">
                  <c:v>9.7877746808510899E-2</c:v>
                </c:pt>
                <c:pt idx="35" formatCode="0.00000">
                  <c:v>9.8533472872340683E-2</c:v>
                </c:pt>
                <c:pt idx="36" formatCode="0.00000">
                  <c:v>9.9191285106383226E-2</c:v>
                </c:pt>
                <c:pt idx="37" formatCode="0.00000">
                  <c:v>9.9851183510638514E-2</c:v>
                </c:pt>
                <c:pt idx="38" formatCode="0.00000">
                  <c:v>0.1005131680851066</c:v>
                </c:pt>
                <c:pt idx="39" formatCode="0.00000">
                  <c:v>0.10117723882978744</c:v>
                </c:pt>
                <c:pt idx="40" formatCode="0.00000">
                  <c:v>0.10184339574468106</c:v>
                </c:pt>
                <c:pt idx="41" formatCode="0.00000">
                  <c:v>0.10251163882978741</c:v>
                </c:pt>
                <c:pt idx="42" formatCode="0.00000">
                  <c:v>0.10318196808510655</c:v>
                </c:pt>
                <c:pt idx="43" formatCode="0.00000">
                  <c:v>0.10385438351063846</c:v>
                </c:pt>
                <c:pt idx="44" formatCode="0.00000">
                  <c:v>0.1045288851063831</c:v>
                </c:pt>
                <c:pt idx="45" formatCode="0.00000">
                  <c:v>0.10520547287234054</c:v>
                </c:pt>
                <c:pt idx="46" formatCode="0.00000">
                  <c:v>0.10588414680851074</c:v>
                </c:pt>
                <c:pt idx="47" formatCode="0.00000">
                  <c:v>0.10656490691489369</c:v>
                </c:pt>
                <c:pt idx="48" formatCode="0.00000">
                  <c:v>0.10724775319148944</c:v>
                </c:pt>
                <c:pt idx="49" formatCode="0.00000">
                  <c:v>0.10793268563829793</c:v>
                </c:pt>
                <c:pt idx="50" formatCode="0.00000">
                  <c:v>0.10861970425531918</c:v>
                </c:pt>
                <c:pt idx="51" formatCode="0.00000">
                  <c:v>0.10930880904255322</c:v>
                </c:pt>
                <c:pt idx="52" formatCode="0.00000">
                  <c:v>0.11000000000000001</c:v>
                </c:pt>
              </c:numCache>
            </c:numRef>
          </c:yVal>
          <c:smooth val="1"/>
          <c:extLst>
            <c:ext xmlns:c16="http://schemas.microsoft.com/office/drawing/2014/chart" uri="{C3380CC4-5D6E-409C-BE32-E72D297353CC}">
              <c16:uniqueId val="{00000001-D670-4FA0-B675-D1DCDEA4B8B4}"/>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Producción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Tubérculos</a:t>
            </a:r>
          </a:p>
        </c:rich>
      </c:tx>
      <c:layout>
        <c:manualLayout>
          <c:xMode val="edge"/>
          <c:yMode val="edge"/>
          <c:x val="0.30959027305505554"/>
          <c:y val="4.262023857265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'CC70-Tendencial'!$K$121:$BK$121</c:f>
              <c:numCache>
                <c:formatCode>General</c:formatCode>
                <c:ptCount val="53"/>
                <c:pt idx="0">
                  <c:v>0.34609299999999998</c:v>
                </c:pt>
                <c:pt idx="1">
                  <c:v>0.34520899999999999</c:v>
                </c:pt>
                <c:pt idx="2">
                  <c:v>0.47258600000000001</c:v>
                </c:pt>
                <c:pt idx="3">
                  <c:v>0.34095900000000001</c:v>
                </c:pt>
                <c:pt idx="4">
                  <c:v>0.39773316804241943</c:v>
                </c:pt>
                <c:pt idx="5">
                  <c:v>0.42710808603816824</c:v>
                </c:pt>
                <c:pt idx="6">
                  <c:v>0.45360583527746856</c:v>
                </c:pt>
                <c:pt idx="7">
                  <c:v>0.45486225095916299</c:v>
                </c:pt>
                <c:pt idx="8">
                  <c:v>0.48266473655088443</c:v>
                </c:pt>
                <c:pt idx="9">
                  <c:v>0.49518088139606103</c:v>
                </c:pt>
                <c:pt idx="10">
                  <c:v>0.50826492627224906</c:v>
                </c:pt>
                <c:pt idx="11">
                  <c:v>0.51999748576307347</c:v>
                </c:pt>
                <c:pt idx="12">
                  <c:v>0.53365230120317864</c:v>
                </c:pt>
                <c:pt idx="13">
                  <c:v>0.52757869918557698</c:v>
                </c:pt>
                <c:pt idx="14">
                  <c:v>0.53795329132317848</c:v>
                </c:pt>
                <c:pt idx="15">
                  <c:v>0.55040549349167012</c:v>
                </c:pt>
                <c:pt idx="16">
                  <c:v>0.55966967949771429</c:v>
                </c:pt>
                <c:pt idx="17">
                  <c:v>0.56857432326844237</c:v>
                </c:pt>
                <c:pt idx="18">
                  <c:v>0.57721606699166839</c:v>
                </c:pt>
                <c:pt idx="19">
                  <c:v>0.58477731259960253</c:v>
                </c:pt>
                <c:pt idx="20">
                  <c:v>0.59146511472405316</c:v>
                </c:pt>
                <c:pt idx="21">
                  <c:v>0.60081671052911934</c:v>
                </c:pt>
                <c:pt idx="22">
                  <c:v>0.60954565909270109</c:v>
                </c:pt>
                <c:pt idx="23">
                  <c:v>0.61784679420740385</c:v>
                </c:pt>
                <c:pt idx="24">
                  <c:v>0.62590697173664511</c:v>
                </c:pt>
                <c:pt idx="25">
                  <c:v>0.63298644784249936</c:v>
                </c:pt>
                <c:pt idx="26">
                  <c:v>0.64082312033651567</c:v>
                </c:pt>
                <c:pt idx="27">
                  <c:v>0.64809799007855351</c:v>
                </c:pt>
                <c:pt idx="28">
                  <c:v>0.65638656357969827</c:v>
                </c:pt>
                <c:pt idx="29">
                  <c:v>0.66372467109419042</c:v>
                </c:pt>
                <c:pt idx="30">
                  <c:v>0.67085202275082834</c:v>
                </c:pt>
                <c:pt idx="31">
                  <c:v>0.67798769716546914</c:v>
                </c:pt>
                <c:pt idx="32">
                  <c:v>0.68504918965998085</c:v>
                </c:pt>
                <c:pt idx="33">
                  <c:v>0.69250033093996799</c:v>
                </c:pt>
                <c:pt idx="34">
                  <c:v>0.69950633474259982</c:v>
                </c:pt>
                <c:pt idx="35">
                  <c:v>0.70641804347947335</c:v>
                </c:pt>
                <c:pt idx="36">
                  <c:v>0.71331031781991394</c:v>
                </c:pt>
                <c:pt idx="37">
                  <c:v>0.72010969759742938</c:v>
                </c:pt>
                <c:pt idx="38">
                  <c:v>0.72689041264992649</c:v>
                </c:pt>
                <c:pt idx="39">
                  <c:v>0.73343405297480679</c:v>
                </c:pt>
                <c:pt idx="40">
                  <c:v>0.73989172150626847</c:v>
                </c:pt>
                <c:pt idx="41">
                  <c:v>0.74625700690367192</c:v>
                </c:pt>
                <c:pt idx="42">
                  <c:v>0.75250742272240101</c:v>
                </c:pt>
                <c:pt idx="43">
                  <c:v>0.75862294675373099</c:v>
                </c:pt>
                <c:pt idx="44">
                  <c:v>0.7646133478732422</c:v>
                </c:pt>
                <c:pt idx="45">
                  <c:v>0.7704811761668322</c:v>
                </c:pt>
                <c:pt idx="46">
                  <c:v>0.77622455137237056</c:v>
                </c:pt>
                <c:pt idx="47">
                  <c:v>0.7818306282698817</c:v>
                </c:pt>
                <c:pt idx="48">
                  <c:v>0.78729585377121625</c:v>
                </c:pt>
                <c:pt idx="49">
                  <c:v>0.79261297018608878</c:v>
                </c:pt>
                <c:pt idx="50">
                  <c:v>0.79778675791537768</c:v>
                </c:pt>
                <c:pt idx="51">
                  <c:v>0.80281294939690684</c:v>
                </c:pt>
                <c:pt idx="52">
                  <c:v>0.80768720086063561</c:v>
                </c:pt>
              </c:numCache>
            </c:numRef>
          </c:yVal>
          <c:smooth val="1"/>
          <c:extLst>
            <c:ext xmlns:c16="http://schemas.microsoft.com/office/drawing/2014/chart" uri="{C3380CC4-5D6E-409C-BE32-E72D297353CC}">
              <c16:uniqueId val="{00000000-8D97-4BAA-9FED-7AE8C37BDBCB}"/>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'CC70-Tendencial'!$K$137:$BK$137</c:f>
              <c:numCache>
                <c:formatCode>General</c:formatCode>
                <c:ptCount val="53"/>
                <c:pt idx="0">
                  <c:v>0.34609299999999998</c:v>
                </c:pt>
                <c:pt idx="1">
                  <c:v>0.34520899999999999</c:v>
                </c:pt>
                <c:pt idx="2">
                  <c:v>0.47258600000000001</c:v>
                </c:pt>
                <c:pt idx="3">
                  <c:v>0.34095900000000001</c:v>
                </c:pt>
                <c:pt idx="4">
                  <c:v>0.39773316804241943</c:v>
                </c:pt>
                <c:pt idx="5" formatCode="0.00000">
                  <c:v>0.42711323523978317</c:v>
                </c:pt>
                <c:pt idx="6" formatCode="0.00000">
                  <c:v>0.45361493878976472</c:v>
                </c:pt>
                <c:pt idx="7" formatCode="0.00000">
                  <c:v>0.45487408744651103</c:v>
                </c:pt>
                <c:pt idx="8" formatCode="0.00000">
                  <c:v>0.48268214911254842</c:v>
                </c:pt>
                <c:pt idx="9" formatCode="0.00000">
                  <c:v>0.49520295384811891</c:v>
                </c:pt>
                <c:pt idx="10" formatCode="0.00000">
                  <c:v>0.50829219002909665</c:v>
                </c:pt>
                <c:pt idx="11" formatCode="0.00000">
                  <c:v>0.52003013735046777</c:v>
                </c:pt>
                <c:pt idx="12" formatCode="0.00000">
                  <c:v>0.53369122166327976</c:v>
                </c:pt>
                <c:pt idx="13" formatCode="0.00000">
                  <c:v>0.5276189419519568</c:v>
                </c:pt>
                <c:pt idx="14" formatCode="0.00000">
                  <c:v>0.53799924969098589</c:v>
                </c:pt>
                <c:pt idx="15" formatCode="0.00000">
                  <c:v>0.55045818155151771</c:v>
                </c:pt>
                <c:pt idx="16" formatCode="0.00000">
                  <c:v>0.55972846031485157</c:v>
                </c:pt>
                <c:pt idx="17" formatCode="0.00000">
                  <c:v>0.56863935566601342</c:v>
                </c:pt>
                <c:pt idx="18" formatCode="0.00000">
                  <c:v>0.57728752496112778</c:v>
                </c:pt>
                <c:pt idx="19" formatCode="0.00000">
                  <c:v>0.58485498242023615</c:v>
                </c:pt>
                <c:pt idx="20" formatCode="0.00000">
                  <c:v>0.5915487890075144</c:v>
                </c:pt>
                <c:pt idx="21" formatCode="0.00000">
                  <c:v>0.60090793559311184</c:v>
                </c:pt>
                <c:pt idx="22" formatCode="0.00000">
                  <c:v>0.6096444475754782</c:v>
                </c:pt>
                <c:pt idx="23" formatCode="0.00000">
                  <c:v>0.6179532182951859</c:v>
                </c:pt>
                <c:pt idx="24" formatCode="0.00000">
                  <c:v>0.62602118598573187</c:v>
                </c:pt>
                <c:pt idx="25" formatCode="0.00000">
                  <c:v>0.63310810587105426</c:v>
                </c:pt>
                <c:pt idx="26" formatCode="0.00000">
                  <c:v>0.64095298799802791</c:v>
                </c:pt>
                <c:pt idx="27" formatCode="0.00000">
                  <c:v>0.64823596423705321</c:v>
                </c:pt>
                <c:pt idx="28" formatCode="0.00000">
                  <c:v>0.6565336956608856</c:v>
                </c:pt>
                <c:pt idx="29" formatCode="0.00000">
                  <c:v>0.66388056166224985</c:v>
                </c:pt>
                <c:pt idx="30" formatCode="0.00000">
                  <c:v>0.67101680072678671</c:v>
                </c:pt>
                <c:pt idx="31" formatCode="0.00000">
                  <c:v>0.67816167120155402</c:v>
                </c:pt>
                <c:pt idx="32" formatCode="0.00000">
                  <c:v>0.68523260474600589</c:v>
                </c:pt>
                <c:pt idx="33" formatCode="0.00000">
                  <c:v>0.69269388001482546</c:v>
                </c:pt>
                <c:pt idx="34" formatCode="0.00000">
                  <c:v>0.69970994214582438</c:v>
                </c:pt>
                <c:pt idx="35" formatCode="0.00000">
                  <c:v>0.70663195875948259</c:v>
                </c:pt>
                <c:pt idx="36" formatCode="0.00000">
                  <c:v>0.71353487563938045</c:v>
                </c:pt>
                <c:pt idx="37" formatCode="0.00000">
                  <c:v>0.72034516488858535</c:v>
                </c:pt>
                <c:pt idx="38" formatCode="0.00000">
                  <c:v>0.72713714821084363</c:v>
                </c:pt>
                <c:pt idx="39" formatCode="0.00000">
                  <c:v>0.73369216879426258</c:v>
                </c:pt>
                <c:pt idx="40" formatCode="0.00000">
                  <c:v>0.74016150593425412</c:v>
                </c:pt>
                <c:pt idx="41" formatCode="0.00000">
                  <c:v>0.74653874803615128</c:v>
                </c:pt>
                <c:pt idx="42" formatCode="0.00000">
                  <c:v>0.75280138632801052</c:v>
                </c:pt>
                <c:pt idx="43" formatCode="0.00000">
                  <c:v>0.75892937609871713</c:v>
                </c:pt>
                <c:pt idx="44" formatCode="0.00000">
                  <c:v>0.76493250294457094</c:v>
                </c:pt>
                <c:pt idx="45" formatCode="0.00000">
                  <c:v>0.77081332521319579</c:v>
                </c:pt>
                <c:pt idx="46" formatCode="0.00000">
                  <c:v>0.77656996504246489</c:v>
                </c:pt>
                <c:pt idx="47" formatCode="0.00000">
                  <c:v>0.78218956245608517</c:v>
                </c:pt>
                <c:pt idx="48" formatCode="0.00000">
                  <c:v>0.78766856252531947</c:v>
                </c:pt>
                <c:pt idx="49" formatCode="0.00000">
                  <c:v>0.79299969918267377</c:v>
                </c:pt>
                <c:pt idx="50" formatCode="0.00000">
                  <c:v>0.79818776399091351</c:v>
                </c:pt>
                <c:pt idx="51" formatCode="0.00000">
                  <c:v>0.80322848581888995</c:v>
                </c:pt>
                <c:pt idx="52" formatCode="0.00000">
                  <c:v>0.80811751661511366</c:v>
                </c:pt>
              </c:numCache>
            </c:numRef>
          </c:yVal>
          <c:smooth val="1"/>
          <c:extLst>
            <c:ext xmlns:c16="http://schemas.microsoft.com/office/drawing/2014/chart" uri="{C3380CC4-5D6E-409C-BE32-E72D297353CC}">
              <c16:uniqueId val="{00000001-8D97-4BAA-9FED-7AE8C37BDBCB}"/>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Producción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Raza</a:t>
            </a:r>
            <a:r>
              <a:rPr lang="en-US" baseline="0"/>
              <a:t> criolla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'CC70-Tendencial'!$K$267:$S$267</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'CC70-Tendencial'!$K$277:$S$277</c:f>
              <c:numCache>
                <c:formatCode>General</c:formatCode>
                <c:ptCount val="9"/>
                <c:pt idx="0">
                  <c:v>24.8</c:v>
                </c:pt>
                <c:pt idx="1">
                  <c:v>24.8</c:v>
                </c:pt>
                <c:pt idx="2">
                  <c:v>24.8</c:v>
                </c:pt>
                <c:pt idx="3">
                  <c:v>24.8</c:v>
                </c:pt>
                <c:pt idx="4">
                  <c:v>24.8</c:v>
                </c:pt>
                <c:pt idx="5">
                  <c:v>24.8</c:v>
                </c:pt>
                <c:pt idx="6">
                  <c:v>24.8</c:v>
                </c:pt>
                <c:pt idx="7">
                  <c:v>24.8</c:v>
                </c:pt>
                <c:pt idx="8">
                  <c:v>24.8</c:v>
                </c:pt>
              </c:numCache>
            </c:numRef>
          </c:yVal>
          <c:smooth val="1"/>
          <c:extLst>
            <c:ext xmlns:c16="http://schemas.microsoft.com/office/drawing/2014/chart" uri="{C3380CC4-5D6E-409C-BE32-E72D297353CC}">
              <c16:uniqueId val="{00000000-DC69-4B0E-8F0B-CAC24654EC00}"/>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'CC70-Tendencial'!$K$267:$S$267</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'CC70-Tendencial'!$K$281:$S$281</c:f>
              <c:numCache>
                <c:formatCode>General</c:formatCode>
                <c:ptCount val="9"/>
                <c:pt idx="0">
                  <c:v>24.8</c:v>
                </c:pt>
                <c:pt idx="1">
                  <c:v>24.8</c:v>
                </c:pt>
                <c:pt idx="2">
                  <c:v>24.8</c:v>
                </c:pt>
                <c:pt idx="3">
                  <c:v>24.8</c:v>
                </c:pt>
                <c:pt idx="4">
                  <c:v>24.8</c:v>
                </c:pt>
                <c:pt idx="5">
                  <c:v>23.55</c:v>
                </c:pt>
                <c:pt idx="6">
                  <c:v>22.3</c:v>
                </c:pt>
                <c:pt idx="7">
                  <c:v>21.05</c:v>
                </c:pt>
                <c:pt idx="8">
                  <c:v>19.8</c:v>
                </c:pt>
              </c:numCache>
            </c:numRef>
          </c:yVal>
          <c:smooth val="1"/>
          <c:extLst>
            <c:ext xmlns:c16="http://schemas.microsoft.com/office/drawing/2014/chart" uri="{C3380CC4-5D6E-409C-BE32-E72D297353CC}">
              <c16:uniqueId val="{00000001-DC69-4B0E-8F0B-CAC24654EC00}"/>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 en el hato</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Fruta fresca</a:t>
            </a:r>
          </a:p>
        </c:rich>
      </c:tx>
      <c:layout>
        <c:manualLayout>
          <c:xMode val="edge"/>
          <c:yMode val="edge"/>
          <c:x val="0.30959027305505554"/>
          <c:y val="4.262023857265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'CC70-Tendencial'!$K$122:$BK$122</c:f>
              <c:numCache>
                <c:formatCode>General</c:formatCode>
                <c:ptCount val="53"/>
                <c:pt idx="0">
                  <c:v>0.99488900000000002</c:v>
                </c:pt>
                <c:pt idx="1">
                  <c:v>1.0141230000000001</c:v>
                </c:pt>
                <c:pt idx="2">
                  <c:v>1.069938660863619</c:v>
                </c:pt>
                <c:pt idx="3">
                  <c:v>1.2147110000000001</c:v>
                </c:pt>
                <c:pt idx="4">
                  <c:v>1.4325464089448898</c:v>
                </c:pt>
                <c:pt idx="5">
                  <c:v>1.1143761672843322</c:v>
                </c:pt>
                <c:pt idx="6">
                  <c:v>1.1859750539065077</c:v>
                </c:pt>
                <c:pt idx="7">
                  <c:v>1.1917350621560259</c:v>
                </c:pt>
                <c:pt idx="8">
                  <c:v>1.2672091224004716</c:v>
                </c:pt>
                <c:pt idx="9">
                  <c:v>1.3027752166740205</c:v>
                </c:pt>
                <c:pt idx="10">
                  <c:v>1.3399810622464712</c:v>
                </c:pt>
                <c:pt idx="11">
                  <c:v>1.3737656797227835</c:v>
                </c:pt>
                <c:pt idx="12">
                  <c:v>1.4127740350871218</c:v>
                </c:pt>
                <c:pt idx="13">
                  <c:v>1.3996017286805522</c:v>
                </c:pt>
                <c:pt idx="14">
                  <c:v>1.430094333763914</c:v>
                </c:pt>
                <c:pt idx="15">
                  <c:v>1.4662424074716931</c:v>
                </c:pt>
                <c:pt idx="16">
                  <c:v>1.4940244167490513</c:v>
                </c:pt>
                <c:pt idx="17">
                  <c:v>1.5209539266638339</c:v>
                </c:pt>
                <c:pt idx="18">
                  <c:v>1.547284325734305</c:v>
                </c:pt>
                <c:pt idx="19">
                  <c:v>1.5708153239016385</c:v>
                </c:pt>
                <c:pt idx="20">
                  <c:v>1.5920864575840006</c:v>
                </c:pt>
                <c:pt idx="21">
                  <c:v>1.6206245605128147</c:v>
                </c:pt>
                <c:pt idx="22">
                  <c:v>1.6475915478433465</c:v>
                </c:pt>
                <c:pt idx="23">
                  <c:v>1.6735049822916814</c:v>
                </c:pt>
                <c:pt idx="24">
                  <c:v>1.6988651228793028</c:v>
                </c:pt>
                <c:pt idx="25">
                  <c:v>1.7216561682824174</c:v>
                </c:pt>
                <c:pt idx="26">
                  <c:v>1.7465984995616834</c:v>
                </c:pt>
                <c:pt idx="27">
                  <c:v>1.7701027812645678</c:v>
                </c:pt>
                <c:pt idx="28">
                  <c:v>1.7964717477993226</c:v>
                </c:pt>
                <c:pt idx="29">
                  <c:v>1.8203360491011693</c:v>
                </c:pt>
                <c:pt idx="30">
                  <c:v>1.8437126770687158</c:v>
                </c:pt>
                <c:pt idx="31">
                  <c:v>1.8672016431317806</c:v>
                </c:pt>
                <c:pt idx="32">
                  <c:v>1.8905756677010848</c:v>
                </c:pt>
                <c:pt idx="33">
                  <c:v>1.9151164729255115</c:v>
                </c:pt>
                <c:pt idx="34">
                  <c:v>1.938517642495762</c:v>
                </c:pt>
                <c:pt idx="35">
                  <c:v>1.9617460601415944</c:v>
                </c:pt>
                <c:pt idx="36">
                  <c:v>1.9850086836679524</c:v>
                </c:pt>
                <c:pt idx="37">
                  <c:v>2.0081005909942711</c:v>
                </c:pt>
                <c:pt idx="38">
                  <c:v>2.0312278600685176</c:v>
                </c:pt>
                <c:pt idx="39">
                  <c:v>2.0537788328226791</c:v>
                </c:pt>
                <c:pt idx="40">
                  <c:v>2.0761736312276589</c:v>
                </c:pt>
                <c:pt idx="41">
                  <c:v>2.0983929775096382</c:v>
                </c:pt>
                <c:pt idx="42">
                  <c:v>2.120372142743844</c:v>
                </c:pt>
                <c:pt idx="43">
                  <c:v>2.14205282252053</c:v>
                </c:pt>
                <c:pt idx="44">
                  <c:v>2.1634605274382133</c:v>
                </c:pt>
                <c:pt idx="45">
                  <c:v>2.1846005210205632</c:v>
                </c:pt>
                <c:pt idx="46">
                  <c:v>2.2054655306178281</c:v>
                </c:pt>
                <c:pt idx="47">
                  <c:v>2.2260170114551965</c:v>
                </c:pt>
                <c:pt idx="48">
                  <c:v>2.2462426172388037</c:v>
                </c:pt>
                <c:pt idx="49">
                  <c:v>2.266119316116209</c:v>
                </c:pt>
                <c:pt idx="50">
                  <c:v>2.285658382791842</c:v>
                </c:pt>
                <c:pt idx="51">
                  <c:v>2.3048452192276798</c:v>
                </c:pt>
                <c:pt idx="52">
                  <c:v>2.323664896065528</c:v>
                </c:pt>
              </c:numCache>
            </c:numRef>
          </c:yVal>
          <c:smooth val="1"/>
          <c:extLst>
            <c:ext xmlns:c16="http://schemas.microsoft.com/office/drawing/2014/chart" uri="{C3380CC4-5D6E-409C-BE32-E72D297353CC}">
              <c16:uniqueId val="{00000000-CDE4-4125-B919-03EBE596DEA0}"/>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'CC70-Tendencial'!$K$138:$BK$138</c:f>
              <c:numCache>
                <c:formatCode>General</c:formatCode>
                <c:ptCount val="53"/>
                <c:pt idx="0">
                  <c:v>0.99488900000000002</c:v>
                </c:pt>
                <c:pt idx="1">
                  <c:v>1.0141230000000001</c:v>
                </c:pt>
                <c:pt idx="2">
                  <c:v>1.069938660863619</c:v>
                </c:pt>
                <c:pt idx="3">
                  <c:v>1.2147110000000001</c:v>
                </c:pt>
                <c:pt idx="4">
                  <c:v>1.4325464089448898</c:v>
                </c:pt>
                <c:pt idx="5" formatCode="0.00000">
                  <c:v>1.1154268296438143</c:v>
                </c:pt>
                <c:pt idx="6" formatCode="0.00000">
                  <c:v>1.1878325686095563</c:v>
                </c:pt>
                <c:pt idx="7" formatCode="0.00000">
                  <c:v>1.1941502233120946</c:v>
                </c:pt>
                <c:pt idx="8" formatCode="0.00000">
                  <c:v>1.2707620466187954</c:v>
                </c:pt>
                <c:pt idx="9" formatCode="0.00000">
                  <c:v>1.3072789623598691</c:v>
                </c:pt>
                <c:pt idx="10" formatCode="0.00000">
                  <c:v>1.345544061181094</c:v>
                </c:pt>
                <c:pt idx="11" formatCode="0.00000">
                  <c:v>1.3804280317567779</c:v>
                </c:pt>
                <c:pt idx="12" formatCode="0.00000">
                  <c:v>1.4207155113586483</c:v>
                </c:pt>
                <c:pt idx="13" formatCode="0.00000">
                  <c:v>1.4078130132716264</c:v>
                </c:pt>
                <c:pt idx="14" formatCode="0.00000">
                  <c:v>1.4394718510510223</c:v>
                </c:pt>
                <c:pt idx="15" formatCode="0.00000">
                  <c:v>1.476993076296925</c:v>
                </c:pt>
                <c:pt idx="16" formatCode="0.00000">
                  <c:v>1.5060182745632531</c:v>
                </c:pt>
                <c:pt idx="17" formatCode="0.00000">
                  <c:v>1.5342233803354719</c:v>
                </c:pt>
                <c:pt idx="18" formatCode="0.00000">
                  <c:v>1.5618648771306272</c:v>
                </c:pt>
                <c:pt idx="19" formatCode="0.00000">
                  <c:v>1.5866633646486579</c:v>
                </c:pt>
                <c:pt idx="20" formatCode="0.00000">
                  <c:v>1.6091596713876704</c:v>
                </c:pt>
                <c:pt idx="21" formatCode="0.00000">
                  <c:v>1.6392384638218336</c:v>
                </c:pt>
                <c:pt idx="22" formatCode="0.00000">
                  <c:v>1.6677487194141767</c:v>
                </c:pt>
                <c:pt idx="23" formatCode="0.00000">
                  <c:v>1.6952201512707719</c:v>
                </c:pt>
                <c:pt idx="24" formatCode="0.00000">
                  <c:v>1.7221698255121951</c:v>
                </c:pt>
                <c:pt idx="25" formatCode="0.00000">
                  <c:v>1.7464797275234654</c:v>
                </c:pt>
                <c:pt idx="26" formatCode="0.00000">
                  <c:v>1.7730971830216946</c:v>
                </c:pt>
                <c:pt idx="27" formatCode="0.00000">
                  <c:v>1.7982555446944353</c:v>
                </c:pt>
                <c:pt idx="28" formatCode="0.00000">
                  <c:v>1.8264931280320686</c:v>
                </c:pt>
                <c:pt idx="29" formatCode="0.00000">
                  <c:v>1.8521445437587714</c:v>
                </c:pt>
                <c:pt idx="30" formatCode="0.00000">
                  <c:v>1.8773345916797735</c:v>
                </c:pt>
                <c:pt idx="31" formatCode="0.00000">
                  <c:v>1.9026999562513822</c:v>
                </c:pt>
                <c:pt idx="32" formatCode="0.00000">
                  <c:v>1.9280003679672779</c:v>
                </c:pt>
                <c:pt idx="33" formatCode="0.00000">
                  <c:v>1.9546089501820014</c:v>
                </c:pt>
                <c:pt idx="34" formatCode="0.00000">
                  <c:v>1.9800624586981728</c:v>
                </c:pt>
                <c:pt idx="35" formatCode="0.00000">
                  <c:v>2.0053941340825556</c:v>
                </c:pt>
                <c:pt idx="36" formatCode="0.00000">
                  <c:v>2.0308283011710548</c:v>
                </c:pt>
                <c:pt idx="37" formatCode="0.00000">
                  <c:v>2.0561462179107219</c:v>
                </c:pt>
                <c:pt idx="38" formatCode="0.00000">
                  <c:v>2.0815727068990189</c:v>
                </c:pt>
                <c:pt idx="39" formatCode="0.00000">
                  <c:v>2.1064457501763627</c:v>
                </c:pt>
                <c:pt idx="40" formatCode="0.00000">
                  <c:v>2.1312214551153423</c:v>
                </c:pt>
                <c:pt idx="41" formatCode="0.00000">
                  <c:v>2.1558804921094961</c:v>
                </c:pt>
                <c:pt idx="42" formatCode="0.00000">
                  <c:v>2.1803535764826392</c:v>
                </c:pt>
                <c:pt idx="43" formatCode="0.00000">
                  <c:v>2.204577812353218</c:v>
                </c:pt>
                <c:pt idx="44" formatCode="0.00000">
                  <c:v>2.228582122077833</c:v>
                </c:pt>
                <c:pt idx="45" formatCode="0.00000">
                  <c:v>2.2523734549337679</c:v>
                </c:pt>
                <c:pt idx="46" formatCode="0.00000">
                  <c:v>2.2759450279769795</c:v>
                </c:pt>
                <c:pt idx="47" formatCode="0.00000">
                  <c:v>2.2992552854983814</c:v>
                </c:pt>
                <c:pt idx="48" formatCode="0.00000">
                  <c:v>2.3222915056437472</c:v>
                </c:pt>
                <c:pt idx="49" formatCode="0.00000">
                  <c:v>2.3450289472436308</c:v>
                </c:pt>
                <c:pt idx="50" formatCode="0.00000">
                  <c:v>2.3674811625156589</c:v>
                </c:pt>
                <c:pt idx="51" formatCode="0.00000">
                  <c:v>2.3896328251953016</c:v>
                </c:pt>
                <c:pt idx="52" formatCode="0.00000">
                  <c:v>2.4114681323214948</c:v>
                </c:pt>
              </c:numCache>
            </c:numRef>
          </c:yVal>
          <c:smooth val="1"/>
          <c:extLst>
            <c:ext xmlns:c16="http://schemas.microsoft.com/office/drawing/2014/chart" uri="{C3380CC4-5D6E-409C-BE32-E72D297353CC}">
              <c16:uniqueId val="{00000001-CDE4-4125-B919-03EBE596DEA0}"/>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Producción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Verduras</a:t>
            </a:r>
          </a:p>
        </c:rich>
      </c:tx>
      <c:layout>
        <c:manualLayout>
          <c:xMode val="edge"/>
          <c:yMode val="edge"/>
          <c:x val="0.30959027305505554"/>
          <c:y val="4.262023857265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'CC70-Tendencial'!$K$123:$BK$123</c:f>
              <c:numCache>
                <c:formatCode>General</c:formatCode>
                <c:ptCount val="53"/>
                <c:pt idx="0">
                  <c:v>0.25402035975334397</c:v>
                </c:pt>
                <c:pt idx="1">
                  <c:v>0.24377087877727277</c:v>
                </c:pt>
                <c:pt idx="2">
                  <c:v>0.24379678429693205</c:v>
                </c:pt>
                <c:pt idx="3">
                  <c:v>0.19723267877640868</c:v>
                </c:pt>
                <c:pt idx="4">
                  <c:v>0.20503022433716797</c:v>
                </c:pt>
                <c:pt idx="5">
                  <c:v>0.16129929454918224</c:v>
                </c:pt>
                <c:pt idx="6">
                  <c:v>0.17184106412522529</c:v>
                </c:pt>
                <c:pt idx="7">
                  <c:v>0.17285496680887022</c:v>
                </c:pt>
                <c:pt idx="8">
                  <c:v>0.18399295039947186</c:v>
                </c:pt>
                <c:pt idx="9">
                  <c:v>0.18935340880257073</c:v>
                </c:pt>
                <c:pt idx="10">
                  <c:v>0.19496338071983824</c:v>
                </c:pt>
                <c:pt idx="11">
                  <c:v>0.20008650375851347</c:v>
                </c:pt>
                <c:pt idx="12">
                  <c:v>0.20598167458865682</c:v>
                </c:pt>
                <c:pt idx="13">
                  <c:v>0.20427306110019797</c:v>
                </c:pt>
                <c:pt idx="14">
                  <c:v>0.20894022568474654</c:v>
                </c:pt>
                <c:pt idx="15">
                  <c:v>0.21444399857502094</c:v>
                </c:pt>
                <c:pt idx="16">
                  <c:v>0.21873413462841249</c:v>
                </c:pt>
                <c:pt idx="17">
                  <c:v>0.22290800875678002</c:v>
                </c:pt>
                <c:pt idx="18">
                  <c:v>0.22700241981975697</c:v>
                </c:pt>
                <c:pt idx="19">
                  <c:v>0.23069396677086348</c:v>
                </c:pt>
                <c:pt idx="20">
                  <c:v>0.23406070157020209</c:v>
                </c:pt>
                <c:pt idx="21">
                  <c:v>0.23850364318034245</c:v>
                </c:pt>
                <c:pt idx="22">
                  <c:v>0.24272410206865028</c:v>
                </c:pt>
                <c:pt idx="23">
                  <c:v>0.24679769783591649</c:v>
                </c:pt>
                <c:pt idx="24">
                  <c:v>0.25079781115519395</c:v>
                </c:pt>
                <c:pt idx="25">
                  <c:v>0.25442630513427905</c:v>
                </c:pt>
                <c:pt idx="26">
                  <c:v>0.25838031159063551</c:v>
                </c:pt>
                <c:pt idx="27">
                  <c:v>0.26212929902610083</c:v>
                </c:pt>
                <c:pt idx="28">
                  <c:v>0.26631045715200991</c:v>
                </c:pt>
                <c:pt idx="29">
                  <c:v>0.27012833702438704</c:v>
                </c:pt>
                <c:pt idx="30">
                  <c:v>0.27388141554922013</c:v>
                </c:pt>
                <c:pt idx="31">
                  <c:v>0.2776587023698685</c:v>
                </c:pt>
                <c:pt idx="32">
                  <c:v>0.2814264287841739</c:v>
                </c:pt>
                <c:pt idx="33">
                  <c:v>0.2853755452172152</c:v>
                </c:pt>
                <c:pt idx="34">
                  <c:v>0.28916256402134627</c:v>
                </c:pt>
                <c:pt idx="35">
                  <c:v>0.29293134452496183</c:v>
                </c:pt>
                <c:pt idx="36">
                  <c:v>0.29671275337081382</c:v>
                </c:pt>
                <c:pt idx="37">
                  <c:v>0.30047615512586862</c:v>
                </c:pt>
                <c:pt idx="38">
                  <c:v>0.30425234966958814</c:v>
                </c:pt>
                <c:pt idx="39">
                  <c:v>0.3079496511992641</c:v>
                </c:pt>
                <c:pt idx="40">
                  <c:v>0.311630861804086</c:v>
                </c:pt>
                <c:pt idx="41">
                  <c:v>0.3152930231640399</c:v>
                </c:pt>
                <c:pt idx="42">
                  <c:v>0.31892632845913027</c:v>
                </c:pt>
                <c:pt idx="43">
                  <c:v>0.32252189759252875</c:v>
                </c:pt>
                <c:pt idx="44">
                  <c:v>0.32608344664168631</c:v>
                </c:pt>
                <c:pt idx="45">
                  <c:v>0.329611652508979</c:v>
                </c:pt>
                <c:pt idx="46">
                  <c:v>0.33310530172730857</c:v>
                </c:pt>
                <c:pt idx="47">
                  <c:v>0.336558447890493</c:v>
                </c:pt>
                <c:pt idx="48">
                  <c:v>0.33996908527503</c:v>
                </c:pt>
                <c:pt idx="49">
                  <c:v>0.34333358116363671</c:v>
                </c:pt>
                <c:pt idx="50">
                  <c:v>0.34665349113059635</c:v>
                </c:pt>
                <c:pt idx="51">
                  <c:v>0.34992644947079382</c:v>
                </c:pt>
                <c:pt idx="52">
                  <c:v>0.35315003060189809</c:v>
                </c:pt>
              </c:numCache>
            </c:numRef>
          </c:yVal>
          <c:smooth val="1"/>
          <c:extLst>
            <c:ext xmlns:c16="http://schemas.microsoft.com/office/drawing/2014/chart" uri="{C3380CC4-5D6E-409C-BE32-E72D297353CC}">
              <c16:uniqueId val="{00000000-068D-4E78-82A8-0361A62E42EC}"/>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'CC70-Tendencial'!$K$139:$BK$139</c:f>
              <c:numCache>
                <c:formatCode>General</c:formatCode>
                <c:ptCount val="53"/>
                <c:pt idx="0">
                  <c:v>0.25402035975334397</c:v>
                </c:pt>
                <c:pt idx="1">
                  <c:v>0.24377087877727277</c:v>
                </c:pt>
                <c:pt idx="2">
                  <c:v>0.24379678429693205</c:v>
                </c:pt>
                <c:pt idx="3">
                  <c:v>0.19723267877640868</c:v>
                </c:pt>
                <c:pt idx="4">
                  <c:v>0.20503022433716797</c:v>
                </c:pt>
                <c:pt idx="5" formatCode="0.00000">
                  <c:v>0.16180655663212384</c:v>
                </c:pt>
                <c:pt idx="6" formatCode="0.00000">
                  <c:v>0.17273787628267953</c:v>
                </c:pt>
                <c:pt idx="7" formatCode="0.00000">
                  <c:v>0.17402101189234598</c:v>
                </c:pt>
                <c:pt idx="8" formatCode="0.00000">
                  <c:v>0.18570830997551013</c:v>
                </c:pt>
                <c:pt idx="9" formatCode="0.00000">
                  <c:v>0.19152782706075305</c:v>
                </c:pt>
                <c:pt idx="10" formatCode="0.00000">
                  <c:v>0.19764920876108424</c:v>
                </c:pt>
                <c:pt idx="11" formatCode="0.00000">
                  <c:v>0.20330310187831291</c:v>
                </c:pt>
                <c:pt idx="12" formatCode="0.00000">
                  <c:v>0.20981583668532844</c:v>
                </c:pt>
                <c:pt idx="13" formatCode="0.00000">
                  <c:v>0.20823748724310054</c:v>
                </c:pt>
                <c:pt idx="14" formatCode="0.00000">
                  <c:v>0.21346771152160884</c:v>
                </c:pt>
                <c:pt idx="15" formatCode="0.00000">
                  <c:v>0.21963444497493842</c:v>
                </c:pt>
                <c:pt idx="16" formatCode="0.00000">
                  <c:v>0.22452479538867481</c:v>
                </c:pt>
                <c:pt idx="17" formatCode="0.00000">
                  <c:v>0.22931452998429436</c:v>
                </c:pt>
                <c:pt idx="18" formatCode="0.00000">
                  <c:v>0.23404194189360528</c:v>
                </c:pt>
                <c:pt idx="19" formatCode="0.00000">
                  <c:v>0.2383454354727968</c:v>
                </c:pt>
                <c:pt idx="20" formatCode="0.00000">
                  <c:v>0.2423036865009901</c:v>
                </c:pt>
                <c:pt idx="21" formatCode="0.00000">
                  <c:v>0.24749047637084626</c:v>
                </c:pt>
                <c:pt idx="22" formatCode="0.00000">
                  <c:v>0.25245602854812471</c:v>
                </c:pt>
                <c:pt idx="23" formatCode="0.00000">
                  <c:v>0.2572818288684513</c:v>
                </c:pt>
                <c:pt idx="24" formatCode="0.00000">
                  <c:v>0.26204937250904614</c:v>
                </c:pt>
                <c:pt idx="25" formatCode="0.00000">
                  <c:v>0.26641117377737539</c:v>
                </c:pt>
                <c:pt idx="26" formatCode="0.00000">
                  <c:v>0.27117393386693156</c:v>
                </c:pt>
                <c:pt idx="27" formatCode="0.00000">
                  <c:v>0.27572151472614426</c:v>
                </c:pt>
                <c:pt idx="28" formatCode="0.00000">
                  <c:v>0.28080484512756454</c:v>
                </c:pt>
                <c:pt idx="29" formatCode="0.00000">
                  <c:v>0.285485547749254</c:v>
                </c:pt>
                <c:pt idx="30" formatCode="0.00000">
                  <c:v>0.29011414939008706</c:v>
                </c:pt>
                <c:pt idx="31" formatCode="0.00000">
                  <c:v>0.29479736551074553</c:v>
                </c:pt>
                <c:pt idx="32" formatCode="0.00000">
                  <c:v>0.29949515584873976</c:v>
                </c:pt>
                <c:pt idx="33" formatCode="0.00000">
                  <c:v>0.30444259953095931</c:v>
                </c:pt>
                <c:pt idx="34" formatCode="0.00000">
                  <c:v>0.30922049206271013</c:v>
                </c:pt>
                <c:pt idx="35" formatCode="0.00000">
                  <c:v>0.31400472999828916</c:v>
                </c:pt>
                <c:pt idx="36" formatCode="0.00000">
                  <c:v>0.31883456482094408</c:v>
                </c:pt>
                <c:pt idx="37" formatCode="0.00000">
                  <c:v>0.32367268878477717</c:v>
                </c:pt>
                <c:pt idx="38" formatCode="0.00000">
                  <c:v>0.32855895172698468</c:v>
                </c:pt>
                <c:pt idx="39" formatCode="0.00000">
                  <c:v>0.33337735397916812</c:v>
                </c:pt>
                <c:pt idx="40" formatCode="0.00000">
                  <c:v>0.33820807146108167</c:v>
                </c:pt>
                <c:pt idx="41" formatCode="0.00000">
                  <c:v>0.34304812082779823</c:v>
                </c:pt>
                <c:pt idx="42" formatCode="0.00000">
                  <c:v>0.34788549573258587</c:v>
                </c:pt>
                <c:pt idx="43" formatCode="0.00000">
                  <c:v>0.3527090993059952</c:v>
                </c:pt>
                <c:pt idx="44" formatCode="0.00000">
                  <c:v>0.35752429482973469</c:v>
                </c:pt>
                <c:pt idx="45" formatCode="0.00000">
                  <c:v>0.36233257309170863</c:v>
                </c:pt>
                <c:pt idx="46" formatCode="0.00000">
                  <c:v>0.3671329570558049</c:v>
                </c:pt>
                <c:pt idx="47" formatCode="0.00000">
                  <c:v>0.37191804663019451</c:v>
                </c:pt>
                <c:pt idx="48" formatCode="0.00000">
                  <c:v>0.37668565477001198</c:v>
                </c:pt>
                <c:pt idx="49" formatCode="0.00000">
                  <c:v>0.38143132349598929</c:v>
                </c:pt>
                <c:pt idx="50" formatCode="0.00000">
                  <c:v>0.38615770797075788</c:v>
                </c:pt>
                <c:pt idx="51" formatCode="0.00000">
                  <c:v>0.39086209089985346</c:v>
                </c:pt>
                <c:pt idx="52" formatCode="0.00000">
                  <c:v>0.39554162492357103</c:v>
                </c:pt>
              </c:numCache>
            </c:numRef>
          </c:yVal>
          <c:smooth val="1"/>
          <c:extLst>
            <c:ext xmlns:c16="http://schemas.microsoft.com/office/drawing/2014/chart" uri="{C3380CC4-5D6E-409C-BE32-E72D297353CC}">
              <c16:uniqueId val="{00000001-068D-4E78-82A8-0361A62E42EC}"/>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Producción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Florícola</a:t>
            </a:r>
          </a:p>
        </c:rich>
      </c:tx>
      <c:layout>
        <c:manualLayout>
          <c:xMode val="edge"/>
          <c:yMode val="edge"/>
          <c:x val="0.30959027305505554"/>
          <c:y val="4.262023857265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'CC70-Tendencial'!$K$124:$BK$124</c:f>
              <c:numCache>
                <c:formatCode>General</c:formatCode>
                <c:ptCount val="53"/>
                <c:pt idx="0">
                  <c:v>0.50568682919999997</c:v>
                </c:pt>
                <c:pt idx="1">
                  <c:v>0.5241654161</c:v>
                </c:pt>
                <c:pt idx="2">
                  <c:v>0.39211125349999998</c:v>
                </c:pt>
                <c:pt idx="3">
                  <c:v>0.43874862749999999</c:v>
                </c:pt>
                <c:pt idx="4">
                  <c:v>0.33956945422631124</c:v>
                </c:pt>
                <c:pt idx="5">
                  <c:v>0.40832106863001633</c:v>
                </c:pt>
                <c:pt idx="6">
                  <c:v>0.43541315612076525</c:v>
                </c:pt>
                <c:pt idx="7">
                  <c:v>0.43839110066132297</c:v>
                </c:pt>
                <c:pt idx="8">
                  <c:v>0.4670746772478831</c:v>
                </c:pt>
                <c:pt idx="9">
                  <c:v>0.48113122058317009</c:v>
                </c:pt>
                <c:pt idx="10">
                  <c:v>0.4958481883944344</c:v>
                </c:pt>
                <c:pt idx="11">
                  <c:v>0.50935286334584262</c:v>
                </c:pt>
                <c:pt idx="12">
                  <c:v>0.5248495308978709</c:v>
                </c:pt>
                <c:pt idx="13">
                  <c:v>0.52098185568107913</c:v>
                </c:pt>
                <c:pt idx="14">
                  <c:v>0.53338258680487771</c:v>
                </c:pt>
                <c:pt idx="15">
                  <c:v>0.547943706220964</c:v>
                </c:pt>
                <c:pt idx="16">
                  <c:v>0.55942758987603569</c:v>
                </c:pt>
                <c:pt idx="17">
                  <c:v>0.57063481338999555</c:v>
                </c:pt>
                <c:pt idx="18">
                  <c:v>0.58165886373219433</c:v>
                </c:pt>
                <c:pt idx="19">
                  <c:v>0.5916697598143168</c:v>
                </c:pt>
                <c:pt idx="20">
                  <c:v>0.60086500538203169</c:v>
                </c:pt>
                <c:pt idx="21">
                  <c:v>0.61284225039471119</c:v>
                </c:pt>
                <c:pt idx="22">
                  <c:v>0.62426912609148522</c:v>
                </c:pt>
                <c:pt idx="23">
                  <c:v>0.63533872996213248</c:v>
                </c:pt>
                <c:pt idx="24">
                  <c:v>0.64623911440418058</c:v>
                </c:pt>
                <c:pt idx="25">
                  <c:v>0.65620084049887317</c:v>
                </c:pt>
                <c:pt idx="26">
                  <c:v>0.66702092982086347</c:v>
                </c:pt>
                <c:pt idx="27">
                  <c:v>0.67733089029065729</c:v>
                </c:pt>
                <c:pt idx="28">
                  <c:v>0.68877727347069284</c:v>
                </c:pt>
                <c:pt idx="29">
                  <c:v>0.69930399015621603</c:v>
                </c:pt>
                <c:pt idx="30">
                  <c:v>0.70968184885092078</c:v>
                </c:pt>
                <c:pt idx="31">
                  <c:v>0.72014126288629499</c:v>
                </c:pt>
                <c:pt idx="32">
                  <c:v>0.73059476915525245</c:v>
                </c:pt>
                <c:pt idx="33">
                  <c:v>0.74153850242603403</c:v>
                </c:pt>
                <c:pt idx="34">
                  <c:v>0.75208043491300425</c:v>
                </c:pt>
                <c:pt idx="35">
                  <c:v>0.76259392503478851</c:v>
                </c:pt>
                <c:pt idx="36">
                  <c:v>0.77315929692517271</c:v>
                </c:pt>
                <c:pt idx="37">
                  <c:v>0.78369676620441442</c:v>
                </c:pt>
                <c:pt idx="38">
                  <c:v>0.79428663443248015</c:v>
                </c:pt>
                <c:pt idx="39">
                  <c:v>0.80468944138011544</c:v>
                </c:pt>
                <c:pt idx="40">
                  <c:v>0.8150688946038811</c:v>
                </c:pt>
                <c:pt idx="41">
                  <c:v>0.8254171574438538</c:v>
                </c:pt>
                <c:pt idx="42">
                  <c:v>0.83570841845230559</c:v>
                </c:pt>
                <c:pt idx="43">
                  <c:v>0.84591920062121895</c:v>
                </c:pt>
                <c:pt idx="44">
                  <c:v>0.85605900803281498</c:v>
                </c:pt>
                <c:pt idx="45">
                  <c:v>0.86612939459350136</c:v>
                </c:pt>
                <c:pt idx="46">
                  <c:v>0.87612694840419392</c:v>
                </c:pt>
                <c:pt idx="47">
                  <c:v>0.88603578511529524</c:v>
                </c:pt>
                <c:pt idx="48">
                  <c:v>0.89585034553861986</c:v>
                </c:pt>
                <c:pt idx="49">
                  <c:v>0.90556075893790855</c:v>
                </c:pt>
                <c:pt idx="50">
                  <c:v>0.91517081541339385</c:v>
                </c:pt>
                <c:pt idx="51">
                  <c:v>0.92467395788924756</c:v>
                </c:pt>
                <c:pt idx="52">
                  <c:v>0.93406344698628785</c:v>
                </c:pt>
              </c:numCache>
            </c:numRef>
          </c:yVal>
          <c:smooth val="1"/>
          <c:extLst>
            <c:ext xmlns:c16="http://schemas.microsoft.com/office/drawing/2014/chart" uri="{C3380CC4-5D6E-409C-BE32-E72D297353CC}">
              <c16:uniqueId val="{00000000-D94A-4FD2-9E37-E401276AFE69}"/>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'CC70-Tendencial'!$K$140:$BK$140</c:f>
              <c:numCache>
                <c:formatCode>General</c:formatCode>
                <c:ptCount val="53"/>
                <c:pt idx="0">
                  <c:v>0.50568682919999997</c:v>
                </c:pt>
                <c:pt idx="1">
                  <c:v>0.5241654161</c:v>
                </c:pt>
                <c:pt idx="2">
                  <c:v>0.39211125349999998</c:v>
                </c:pt>
                <c:pt idx="3">
                  <c:v>0.43874862749999999</c:v>
                </c:pt>
                <c:pt idx="4">
                  <c:v>0.33956945422631124</c:v>
                </c:pt>
                <c:pt idx="5" formatCode="0.00000">
                  <c:v>0.40863166872674972</c:v>
                </c:pt>
                <c:pt idx="6" formatCode="0.00000">
                  <c:v>0.4359622804338652</c:v>
                </c:pt>
                <c:pt idx="7" formatCode="0.00000">
                  <c:v>0.43910507816506783</c:v>
                </c:pt>
                <c:pt idx="8" formatCode="0.00000">
                  <c:v>0.46812500383086042</c:v>
                </c:pt>
                <c:pt idx="9" formatCode="0.00000">
                  <c:v>0.48246263198576056</c:v>
                </c:pt>
                <c:pt idx="10" formatCode="0.00000">
                  <c:v>0.49749273955935214</c:v>
                </c:pt>
                <c:pt idx="11" formatCode="0.00000">
                  <c:v>0.51132240871648904</c:v>
                </c:pt>
                <c:pt idx="12" formatCode="0.00000">
                  <c:v>0.52719721498104088</c:v>
                </c:pt>
                <c:pt idx="13" formatCode="0.00000">
                  <c:v>0.52340930134454622</c:v>
                </c:pt>
                <c:pt idx="14" formatCode="0.00000">
                  <c:v>0.53615479782986442</c:v>
                </c:pt>
                <c:pt idx="15" formatCode="0.00000">
                  <c:v>0.55112185260351032</c:v>
                </c:pt>
                <c:pt idx="16" formatCode="0.00000">
                  <c:v>0.56297325168039858</c:v>
                </c:pt>
                <c:pt idx="17" formatCode="0.00000">
                  <c:v>0.57455757083610937</c:v>
                </c:pt>
                <c:pt idx="18" formatCode="0.00000">
                  <c:v>0.58596921199322471</c:v>
                </c:pt>
                <c:pt idx="19" formatCode="0.00000">
                  <c:v>0.59635480724619128</c:v>
                </c:pt>
                <c:pt idx="20" formatCode="0.00000">
                  <c:v>0.60591224230939589</c:v>
                </c:pt>
                <c:pt idx="21" formatCode="0.00000">
                  <c:v>0.61834495077813112</c:v>
                </c:pt>
                <c:pt idx="22" formatCode="0.00000">
                  <c:v>0.63022805227102152</c:v>
                </c:pt>
                <c:pt idx="23" formatCode="0.00000">
                  <c:v>0.64175823621418071</c:v>
                </c:pt>
                <c:pt idx="24" formatCode="0.00000">
                  <c:v>0.65312852357240003</c:v>
                </c:pt>
                <c:pt idx="25" formatCode="0.00000">
                  <c:v>0.66353925881371301</c:v>
                </c:pt>
                <c:pt idx="26" formatCode="0.00000">
                  <c:v>0.67485455360276392</c:v>
                </c:pt>
                <c:pt idx="27" formatCode="0.00000">
                  <c:v>0.6856534983728001</c:v>
                </c:pt>
                <c:pt idx="28" formatCode="0.00000">
                  <c:v>0.69765228790345213</c:v>
                </c:pt>
                <c:pt idx="29" formatCode="0.00000">
                  <c:v>0.708707316951386</c:v>
                </c:pt>
                <c:pt idx="30" formatCode="0.00000">
                  <c:v>0.71962126453123854</c:v>
                </c:pt>
                <c:pt idx="31" formatCode="0.00000">
                  <c:v>0.73063538536942552</c:v>
                </c:pt>
                <c:pt idx="32" formatCode="0.00000">
                  <c:v>0.74165837623890896</c:v>
                </c:pt>
                <c:pt idx="33" formatCode="0.00000">
                  <c:v>0.75321339221855799</c:v>
                </c:pt>
                <c:pt idx="34" formatCode="0.00000">
                  <c:v>0.76436204357137472</c:v>
                </c:pt>
                <c:pt idx="35" formatCode="0.00000">
                  <c:v>0.77549730533192907</c:v>
                </c:pt>
                <c:pt idx="36" formatCode="0.00000">
                  <c:v>0.78670463573008176</c:v>
                </c:pt>
                <c:pt idx="37" formatCode="0.00000">
                  <c:v>0.79790016488257931</c:v>
                </c:pt>
                <c:pt idx="38" formatCode="0.00000">
                  <c:v>0.80916973570136808</c:v>
                </c:pt>
                <c:pt idx="39" formatCode="0.00000">
                  <c:v>0.8202590004083522</c:v>
                </c:pt>
                <c:pt idx="40" formatCode="0.00000">
                  <c:v>0.83134230467722248</c:v>
                </c:pt>
                <c:pt idx="41" formatCode="0.00000">
                  <c:v>0.84241179652512732</c:v>
                </c:pt>
                <c:pt idx="42" formatCode="0.00000">
                  <c:v>0.85344031771884055</c:v>
                </c:pt>
                <c:pt idx="43" formatCode="0.00000">
                  <c:v>0.86440303390507178</c:v>
                </c:pt>
                <c:pt idx="44" formatCode="0.00000">
                  <c:v>0.87531045776064986</c:v>
                </c:pt>
                <c:pt idx="45" formatCode="0.00000">
                  <c:v>0.88616464153974484</c:v>
                </c:pt>
                <c:pt idx="46" formatCode="0.00000">
                  <c:v>0.89696231811160709</c:v>
                </c:pt>
                <c:pt idx="47" formatCode="0.00000">
                  <c:v>0.90768671302482107</c:v>
                </c:pt>
                <c:pt idx="48" formatCode="0.00000">
                  <c:v>0.91833215606687069</c:v>
                </c:pt>
                <c:pt idx="49" formatCode="0.00000">
                  <c:v>0.92888827118785167</c:v>
                </c:pt>
                <c:pt idx="50" formatCode="0.00000">
                  <c:v>0.93935952177357906</c:v>
                </c:pt>
                <c:pt idx="51" formatCode="0.00000">
                  <c:v>0.94973913546762434</c:v>
                </c:pt>
                <c:pt idx="52" formatCode="0.00000">
                  <c:v>0.96002011463359016</c:v>
                </c:pt>
              </c:numCache>
            </c:numRef>
          </c:yVal>
          <c:smooth val="1"/>
          <c:extLst>
            <c:ext xmlns:c16="http://schemas.microsoft.com/office/drawing/2014/chart" uri="{C3380CC4-5D6E-409C-BE32-E72D297353CC}">
              <c16:uniqueId val="{00000001-D94A-4FD2-9E37-E401276AFE69}"/>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Producción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Arroz</a:t>
            </a:r>
          </a:p>
        </c:rich>
      </c:tx>
      <c:layout>
        <c:manualLayout>
          <c:xMode val="edge"/>
          <c:yMode val="edge"/>
          <c:x val="0.30959027305505554"/>
          <c:y val="4.262023857265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'CC70-Tendencial'!$K$125:$BK$125</c:f>
              <c:numCache>
                <c:formatCode>General</c:formatCode>
                <c:ptCount val="53"/>
                <c:pt idx="0">
                  <c:v>1.350093</c:v>
                </c:pt>
                <c:pt idx="1">
                  <c:v>1.0996859999999999</c:v>
                </c:pt>
                <c:pt idx="2">
                  <c:v>1.3365020000000001</c:v>
                </c:pt>
                <c:pt idx="3">
                  <c:v>1.5042139999999999</c:v>
                </c:pt>
                <c:pt idx="4">
                  <c:v>1.5612113866836195</c:v>
                </c:pt>
                <c:pt idx="5">
                  <c:v>1.4549106166482213</c:v>
                </c:pt>
                <c:pt idx="6">
                  <c:v>1.5548204301655137</c:v>
                </c:pt>
                <c:pt idx="7">
                  <c:v>1.5688614382714432</c:v>
                </c:pt>
                <c:pt idx="8">
                  <c:v>1.6751486400153748</c:v>
                </c:pt>
                <c:pt idx="9">
                  <c:v>1.7293174887618592</c:v>
                </c:pt>
                <c:pt idx="10">
                  <c:v>1.7860931008886309</c:v>
                </c:pt>
                <c:pt idx="11">
                  <c:v>1.8387313537811096</c:v>
                </c:pt>
                <c:pt idx="12">
                  <c:v>1.8987968860083173</c:v>
                </c:pt>
                <c:pt idx="13">
                  <c:v>1.8889065102693328</c:v>
                </c:pt>
                <c:pt idx="14">
                  <c:v>1.9380762791597177</c:v>
                </c:pt>
                <c:pt idx="15">
                  <c:v>1.9953181056707046</c:v>
                </c:pt>
                <c:pt idx="16">
                  <c:v>2.0415698776126852</c:v>
                </c:pt>
                <c:pt idx="17">
                  <c:v>2.0870016839476611</c:v>
                </c:pt>
                <c:pt idx="18">
                  <c:v>2.1319501914466938</c:v>
                </c:pt>
                <c:pt idx="19">
                  <c:v>2.1733628752583578</c:v>
                </c:pt>
                <c:pt idx="20">
                  <c:v>2.2119430957237136</c:v>
                </c:pt>
                <c:pt idx="21">
                  <c:v>2.2609445181820713</c:v>
                </c:pt>
                <c:pt idx="22">
                  <c:v>2.3081138722439887</c:v>
                </c:pt>
                <c:pt idx="23">
                  <c:v>2.3541540167930437</c:v>
                </c:pt>
                <c:pt idx="24">
                  <c:v>2.3997552490044156</c:v>
                </c:pt>
                <c:pt idx="25">
                  <c:v>2.442050606731669</c:v>
                </c:pt>
                <c:pt idx="26">
                  <c:v>2.4877200500238876</c:v>
                </c:pt>
                <c:pt idx="27">
                  <c:v>2.5316699988760414</c:v>
                </c:pt>
                <c:pt idx="28">
                  <c:v>2.5800563377612966</c:v>
                </c:pt>
                <c:pt idx="29">
                  <c:v>2.6251888699111752</c:v>
                </c:pt>
                <c:pt idx="30">
                  <c:v>2.6699456038118266</c:v>
                </c:pt>
                <c:pt idx="31">
                  <c:v>2.7151922124102059</c:v>
                </c:pt>
                <c:pt idx="32">
                  <c:v>2.7606008000992133</c:v>
                </c:pt>
                <c:pt idx="33">
                  <c:v>2.8080505672033342</c:v>
                </c:pt>
                <c:pt idx="34">
                  <c:v>2.8541689501148229</c:v>
                </c:pt>
                <c:pt idx="35">
                  <c:v>2.9003666008983275</c:v>
                </c:pt>
                <c:pt idx="36">
                  <c:v>2.9469495716443714</c:v>
                </c:pt>
                <c:pt idx="37">
                  <c:v>2.9936149856549767</c:v>
                </c:pt>
                <c:pt idx="38">
                  <c:v>3.0406701577888251</c:v>
                </c:pt>
                <c:pt idx="39">
                  <c:v>3.0871983087749113</c:v>
                </c:pt>
                <c:pt idx="40">
                  <c:v>3.1338247922409601</c:v>
                </c:pt>
                <c:pt idx="41">
                  <c:v>3.1805194239687276</c:v>
                </c:pt>
                <c:pt idx="42">
                  <c:v>3.2271823443539951</c:v>
                </c:pt>
                <c:pt idx="43">
                  <c:v>3.2737218586966947</c:v>
                </c:pt>
                <c:pt idx="44">
                  <c:v>3.3201733919744547</c:v>
                </c:pt>
                <c:pt idx="45">
                  <c:v>3.366541781533035</c:v>
                </c:pt>
                <c:pt idx="46">
                  <c:v>3.4128125676751129</c:v>
                </c:pt>
                <c:pt idx="47">
                  <c:v>3.4589224788512056</c:v>
                </c:pt>
                <c:pt idx="48">
                  <c:v>3.5048480925850032</c:v>
                </c:pt>
                <c:pt idx="49">
                  <c:v>3.5505488840561235</c:v>
                </c:pt>
                <c:pt idx="50">
                  <c:v>3.596037661090568</c:v>
                </c:pt>
                <c:pt idx="51">
                  <c:v>3.6412866049289554</c:v>
                </c:pt>
                <c:pt idx="52">
                  <c:v>3.6862669430078379</c:v>
                </c:pt>
              </c:numCache>
            </c:numRef>
          </c:yVal>
          <c:smooth val="1"/>
          <c:extLst>
            <c:ext xmlns:c16="http://schemas.microsoft.com/office/drawing/2014/chart" uri="{C3380CC4-5D6E-409C-BE32-E72D297353CC}">
              <c16:uniqueId val="{00000000-5089-47E4-9A1E-470DDFE90C59}"/>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'CC70-Tendencial'!$K$141:$BK$141</c:f>
              <c:numCache>
                <c:formatCode>General</c:formatCode>
                <c:ptCount val="53"/>
                <c:pt idx="0">
                  <c:v>1.350093</c:v>
                </c:pt>
                <c:pt idx="1">
                  <c:v>1.0996859999999999</c:v>
                </c:pt>
                <c:pt idx="2">
                  <c:v>1.3365020000000001</c:v>
                </c:pt>
                <c:pt idx="3">
                  <c:v>1.5042139999999999</c:v>
                </c:pt>
                <c:pt idx="4">
                  <c:v>1.5612113866836195</c:v>
                </c:pt>
                <c:pt idx="5" formatCode="0.00000">
                  <c:v>1.4549287198973984</c:v>
                </c:pt>
                <c:pt idx="6" formatCode="0.00000">
                  <c:v>1.554852435739156</c:v>
                </c:pt>
                <c:pt idx="7" formatCode="0.00000">
                  <c:v>1.5689030522721892</c:v>
                </c:pt>
                <c:pt idx="8" formatCode="0.00000">
                  <c:v>1.6752098580383215</c:v>
                </c:pt>
                <c:pt idx="9" formatCode="0.00000">
                  <c:v>1.7293950897434169</c:v>
                </c:pt>
                <c:pt idx="10" formatCode="0.00000">
                  <c:v>1.7861889531431416</c:v>
                </c:pt>
                <c:pt idx="11" formatCode="0.00000">
                  <c:v>1.8388461482418506</c:v>
                </c:pt>
                <c:pt idx="12" formatCode="0.00000">
                  <c:v>1.898933720189613</c:v>
                </c:pt>
                <c:pt idx="13" formatCode="0.00000">
                  <c:v>1.8890479933344442</c:v>
                </c:pt>
                <c:pt idx="14" formatCode="0.00000">
                  <c:v>1.9382378567879439</c:v>
                </c:pt>
                <c:pt idx="15" formatCode="0.00000">
                  <c:v>1.9955033431400095</c:v>
                </c:pt>
                <c:pt idx="16" formatCode="0.00000">
                  <c:v>2.0417765356266955</c:v>
                </c:pt>
                <c:pt idx="17" formatCode="0.00000">
                  <c:v>2.0872303208871066</c:v>
                </c:pt>
                <c:pt idx="18" formatCode="0.00000">
                  <c:v>2.1322014190201251</c:v>
                </c:pt>
                <c:pt idx="19" formatCode="0.00000">
                  <c:v>2.1736359420795148</c:v>
                </c:pt>
                <c:pt idx="20" formatCode="0.00000">
                  <c:v>2.2122372726692885</c:v>
                </c:pt>
                <c:pt idx="21" formatCode="0.00000">
                  <c:v>2.2612652417015937</c:v>
                </c:pt>
                <c:pt idx="22" formatCode="0.00000">
                  <c:v>2.3084611867702591</c:v>
                </c:pt>
                <c:pt idx="23" formatCode="0.00000">
                  <c:v>2.3545281761139756</c:v>
                </c:pt>
                <c:pt idx="24" formatCode="0.00000">
                  <c:v>2.4001567964996271</c:v>
                </c:pt>
                <c:pt idx="25" formatCode="0.00000">
                  <c:v>2.442478324613012</c:v>
                </c:pt>
                <c:pt idx="26" formatCode="0.00000">
                  <c:v>2.4881766308323785</c:v>
                </c:pt>
                <c:pt idx="27" formatCode="0.00000">
                  <c:v>2.5321550800125237</c:v>
                </c:pt>
                <c:pt idx="28" formatCode="0.00000">
                  <c:v>2.580573615764159</c:v>
                </c:pt>
                <c:pt idx="29" formatCode="0.00000">
                  <c:v>2.6257369404683244</c:v>
                </c:pt>
                <c:pt idx="30" formatCode="0.00000">
                  <c:v>2.6705249201759504</c:v>
                </c:pt>
                <c:pt idx="31" formatCode="0.00000">
                  <c:v>2.7158038597219929</c:v>
                </c:pt>
                <c:pt idx="32" formatCode="0.00000">
                  <c:v>2.7612456396789171</c:v>
                </c:pt>
                <c:pt idx="33" formatCode="0.00000">
                  <c:v>2.8087310352432766</c:v>
                </c:pt>
                <c:pt idx="34" formatCode="0.00000">
                  <c:v>2.8548847806125499</c:v>
                </c:pt>
                <c:pt idx="35" formatCode="0.00000">
                  <c:v>2.9011186712009565</c:v>
                </c:pt>
                <c:pt idx="36" formatCode="0.00000">
                  <c:v>2.9477390583385268</c:v>
                </c:pt>
                <c:pt idx="37" formatCode="0.00000">
                  <c:v>2.9944428272047303</c:v>
                </c:pt>
                <c:pt idx="38" formatCode="0.00000">
                  <c:v>3.0415376156345668</c:v>
                </c:pt>
                <c:pt idx="39" formatCode="0.00000">
                  <c:v>3.08810577663996</c:v>
                </c:pt>
                <c:pt idx="40" formatCode="0.00000">
                  <c:v>3.1347732838886389</c:v>
                </c:pt>
                <c:pt idx="41" formatCode="0.00000">
                  <c:v>3.1815099522692654</c:v>
                </c:pt>
                <c:pt idx="42" formatCode="0.00000">
                  <c:v>3.2282158436805646</c:v>
                </c:pt>
                <c:pt idx="43" formatCode="0.00000">
                  <c:v>3.2747991843099382</c:v>
                </c:pt>
                <c:pt idx="44" formatCode="0.00000">
                  <c:v>3.3212954579206984</c:v>
                </c:pt>
                <c:pt idx="45" formatCode="0.00000">
                  <c:v>3.3677095309046816</c:v>
                </c:pt>
                <c:pt idx="46" formatCode="0.00000">
                  <c:v>3.4140269520023505</c:v>
                </c:pt>
                <c:pt idx="47" formatCode="0.00000">
                  <c:v>3.4601843977848605</c:v>
                </c:pt>
                <c:pt idx="48" formatCode="0.00000">
                  <c:v>3.5061584393048753</c:v>
                </c:pt>
                <c:pt idx="49" formatCode="0.00000">
                  <c:v>3.551908522289934</c:v>
                </c:pt>
                <c:pt idx="50" formatCode="0.00000">
                  <c:v>3.5974474938083194</c:v>
                </c:pt>
                <c:pt idx="51" formatCode="0.00000">
                  <c:v>3.6427475225530754</c:v>
                </c:pt>
                <c:pt idx="52" formatCode="0.00000">
                  <c:v>3.687779820908295</c:v>
                </c:pt>
              </c:numCache>
            </c:numRef>
          </c:yVal>
          <c:smooth val="1"/>
          <c:extLst>
            <c:ext xmlns:c16="http://schemas.microsoft.com/office/drawing/2014/chart" uri="{C3380CC4-5D6E-409C-BE32-E72D297353CC}">
              <c16:uniqueId val="{00000001-5089-47E4-9A1E-470DDFE90C59}"/>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Producción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Cacao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'CC70-Tendencial'!$K$222:$BK$222</c:f>
              <c:numCache>
                <c:formatCode>General</c:formatCode>
                <c:ptCount val="53"/>
                <c:pt idx="0">
                  <c:v>0.57383300000000004</c:v>
                </c:pt>
                <c:pt idx="1">
                  <c:v>0.60195399999999999</c:v>
                </c:pt>
                <c:pt idx="2">
                  <c:v>0.59057899999999997</c:v>
                </c:pt>
                <c:pt idx="3">
                  <c:v>0.62696200000000002</c:v>
                </c:pt>
                <c:pt idx="4">
                  <c:v>0.59155680703088576</c:v>
                </c:pt>
                <c:pt idx="5">
                  <c:v>0.58862651612919203</c:v>
                </c:pt>
                <c:pt idx="6">
                  <c:v>0.62449434006147664</c:v>
                </c:pt>
                <c:pt idx="7">
                  <c:v>0.62557245162457531</c:v>
                </c:pt>
                <c:pt idx="8">
                  <c:v>0.67638085567470507</c:v>
                </c:pt>
                <c:pt idx="9">
                  <c:v>0.7070622029176018</c:v>
                </c:pt>
                <c:pt idx="10">
                  <c:v>0.73948933014761298</c:v>
                </c:pt>
                <c:pt idx="11">
                  <c:v>0.77088754955945371</c:v>
                </c:pt>
                <c:pt idx="12">
                  <c:v>0.80611349451750147</c:v>
                </c:pt>
                <c:pt idx="13">
                  <c:v>0.81203187058670045</c:v>
                </c:pt>
                <c:pt idx="14">
                  <c:v>0.84368127074164234</c:v>
                </c:pt>
                <c:pt idx="15">
                  <c:v>0.87955826947938021</c:v>
                </c:pt>
                <c:pt idx="16">
                  <c:v>0.91130059271647901</c:v>
                </c:pt>
                <c:pt idx="17">
                  <c:v>0.94333323094324006</c:v>
                </c:pt>
                <c:pt idx="18">
                  <c:v>0.95667438800405158</c:v>
                </c:pt>
                <c:pt idx="19">
                  <c:v>0.96819781095925761</c:v>
                </c:pt>
                <c:pt idx="20">
                  <c:v>0.97825158717554017</c:v>
                </c:pt>
                <c:pt idx="21">
                  <c:v>0.99268457879647198</c:v>
                </c:pt>
                <c:pt idx="22">
                  <c:v>1.0060587906793828</c:v>
                </c:pt>
                <c:pt idx="23">
                  <c:v>1.0186987198074311</c:v>
                </c:pt>
                <c:pt idx="24">
                  <c:v>1.0309143790819608</c:v>
                </c:pt>
                <c:pt idx="25">
                  <c:v>1.0414899066409018</c:v>
                </c:pt>
                <c:pt idx="26">
                  <c:v>1.0532868719116846</c:v>
                </c:pt>
                <c:pt idx="27">
                  <c:v>1.0641357135910783</c:v>
                </c:pt>
                <c:pt idx="28">
                  <c:v>1.0766235416916974</c:v>
                </c:pt>
                <c:pt idx="29">
                  <c:v>1.0875268697346667</c:v>
                </c:pt>
                <c:pt idx="30">
                  <c:v>1.0980613717915662</c:v>
                </c:pt>
                <c:pt idx="31">
                  <c:v>1.1085863808675078</c:v>
                </c:pt>
                <c:pt idx="32">
                  <c:v>1.1189671270728054</c:v>
                </c:pt>
                <c:pt idx="33">
                  <c:v>1.1299608633025007</c:v>
                </c:pt>
                <c:pt idx="34">
                  <c:v>1.1402049279180713</c:v>
                </c:pt>
                <c:pt idx="35">
                  <c:v>1.1502729070929347</c:v>
                </c:pt>
                <c:pt idx="36">
                  <c:v>1.1602870860698995</c:v>
                </c:pt>
                <c:pt idx="37">
                  <c:v>1.1701282311425782</c:v>
                </c:pt>
                <c:pt idx="38">
                  <c:v>1.1799173414690918</c:v>
                </c:pt>
                <c:pt idx="39">
                  <c:v>1.1893003833558442</c:v>
                </c:pt>
                <c:pt idx="40">
                  <c:v>1.1985233574080989</c:v>
                </c:pt>
                <c:pt idx="41">
                  <c:v>1.20757635681995</c:v>
                </c:pt>
                <c:pt idx="42">
                  <c:v>1.216423531712354</c:v>
                </c:pt>
                <c:pt idx="43">
                  <c:v>1.225033161763458</c:v>
                </c:pt>
                <c:pt idx="44">
                  <c:v>1.2334217169071775</c:v>
                </c:pt>
                <c:pt idx="45">
                  <c:v>1.2415939672880378</c:v>
                </c:pt>
                <c:pt idx="46">
                  <c:v>1.2495475327244707</c:v>
                </c:pt>
                <c:pt idx="47">
                  <c:v>1.2572624115512532</c:v>
                </c:pt>
                <c:pt idx="48">
                  <c:v>1.2647336138741643</c:v>
                </c:pt>
                <c:pt idx="49">
                  <c:v>1.2719502271003826</c:v>
                </c:pt>
                <c:pt idx="50">
                  <c:v>1.2789206836997269</c:v>
                </c:pt>
                <c:pt idx="51">
                  <c:v>1.2856388930936944</c:v>
                </c:pt>
                <c:pt idx="52">
                  <c:v>1.292098669706393</c:v>
                </c:pt>
              </c:numCache>
            </c:numRef>
          </c:yVal>
          <c:smooth val="1"/>
          <c:extLst>
            <c:ext xmlns:c16="http://schemas.microsoft.com/office/drawing/2014/chart" uri="{C3380CC4-5D6E-409C-BE32-E72D297353CC}">
              <c16:uniqueId val="{00000000-0920-4E90-A8A9-41B22E6D768F}"/>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'CC70-Tendencial'!$K$238:$BK$238</c:f>
              <c:numCache>
                <c:formatCode>General</c:formatCode>
                <c:ptCount val="53"/>
                <c:pt idx="0">
                  <c:v>0.57383300000000004</c:v>
                </c:pt>
                <c:pt idx="1">
                  <c:v>0.60195399999999999</c:v>
                </c:pt>
                <c:pt idx="2">
                  <c:v>0.59057899999999997</c:v>
                </c:pt>
                <c:pt idx="3">
                  <c:v>0.62696200000000002</c:v>
                </c:pt>
                <c:pt idx="4">
                  <c:v>0.59155680703088576</c:v>
                </c:pt>
                <c:pt idx="5" formatCode="0.000000">
                  <c:v>0.50986762731448776</c:v>
                </c:pt>
                <c:pt idx="6" formatCode="0.000000">
                  <c:v>0.53340688303416794</c:v>
                </c:pt>
                <c:pt idx="7" formatCode="0.000000">
                  <c:v>0.52652732171072592</c:v>
                </c:pt>
                <c:pt idx="8" formatCode="0.000000">
                  <c:v>0.56071965029620707</c:v>
                </c:pt>
                <c:pt idx="9" formatCode="0.000000">
                  <c:v>0.57767794272044193</c:v>
                </c:pt>
                <c:pt idx="10" formatCode="0.000000">
                  <c:v>0.59552173999852276</c:v>
                </c:pt>
                <c:pt idx="11" formatCode="0.000000">
                  <c:v>0.61205812588152497</c:v>
                </c:pt>
                <c:pt idx="12" formatCode="0.000000">
                  <c:v>0.63106327540309448</c:v>
                </c:pt>
                <c:pt idx="13" formatCode="0.000000">
                  <c:v>0.62750687568334862</c:v>
                </c:pt>
                <c:pt idx="14" formatCode="0.000000">
                  <c:v>0.64318446029169762</c:v>
                </c:pt>
                <c:pt idx="15" formatCode="0.000000">
                  <c:v>0.66154631531577535</c:v>
                </c:pt>
                <c:pt idx="16" formatCode="0.000000">
                  <c:v>0.67646676306661246</c:v>
                </c:pt>
                <c:pt idx="17" formatCode="0.000000">
                  <c:v>0.69123300638069707</c:v>
                </c:pt>
                <c:pt idx="18" formatCode="0.000000">
                  <c:v>0.70633611923381989</c:v>
                </c:pt>
                <c:pt idx="19" formatCode="0.000000">
                  <c:v>0.70670939628426688</c:v>
                </c:pt>
                <c:pt idx="20" formatCode="0.000000">
                  <c:v>0.70601895985948016</c:v>
                </c:pt>
                <c:pt idx="21" formatCode="0.000000">
                  <c:v>0.70888663625380077</c:v>
                </c:pt>
                <c:pt idx="22" formatCode="0.000000">
                  <c:v>0.71100026064801203</c:v>
                </c:pt>
                <c:pt idx="23" formatCode="0.000000">
                  <c:v>0.71262462997101961</c:v>
                </c:pt>
                <c:pt idx="24" formatCode="0.000000">
                  <c:v>0.71400837291870689</c:v>
                </c:pt>
                <c:pt idx="25" formatCode="0.000000">
                  <c:v>0.71421482410690584</c:v>
                </c:pt>
                <c:pt idx="26" formatCode="0.000000">
                  <c:v>0.72585684447427079</c:v>
                </c:pt>
                <c:pt idx="27" formatCode="0.000000">
                  <c:v>0.73688340251900963</c:v>
                </c:pt>
                <c:pt idx="28" formatCode="0.000000">
                  <c:v>0.749340798198185</c:v>
                </c:pt>
                <c:pt idx="29" formatCode="0.000000">
                  <c:v>0.76067327445939315</c:v>
                </c:pt>
                <c:pt idx="30" formatCode="0.000000">
                  <c:v>0.77183667640422104</c:v>
                </c:pt>
                <c:pt idx="31" formatCode="0.000000">
                  <c:v>0.78312183239507793</c:v>
                </c:pt>
                <c:pt idx="32" formatCode="0.000000">
                  <c:v>0.79442017496428219</c:v>
                </c:pt>
                <c:pt idx="33" formatCode="0.000000">
                  <c:v>0.80637069115623961</c:v>
                </c:pt>
                <c:pt idx="34" formatCode="0.000000">
                  <c:v>0.81783506075123835</c:v>
                </c:pt>
                <c:pt idx="35" formatCode="0.000000">
                  <c:v>0.82929185810979889</c:v>
                </c:pt>
                <c:pt idx="36" formatCode="0.000000">
                  <c:v>0.84084819990983872</c:v>
                </c:pt>
                <c:pt idx="37" formatCode="0.000000">
                  <c:v>0.85240348026063228</c:v>
                </c:pt>
                <c:pt idx="38" formatCode="0.000000">
                  <c:v>0.86406640703519855</c:v>
                </c:pt>
                <c:pt idx="39" formatCode="0.000000">
                  <c:v>0.87552330448613391</c:v>
                </c:pt>
                <c:pt idx="40" formatCode="0.000000">
                  <c:v>0.88699229668539958</c:v>
                </c:pt>
                <c:pt idx="41" formatCode="0.000000">
                  <c:v>0.89846607184522531</c:v>
                </c:pt>
                <c:pt idx="42" formatCode="0.000000">
                  <c:v>0.90991293344926627</c:v>
                </c:pt>
                <c:pt idx="43" formatCode="0.000000">
                  <c:v>0.92130371081310725</c:v>
                </c:pt>
                <c:pt idx="44" formatCode="0.000000">
                  <c:v>0.93265382089322357</c:v>
                </c:pt>
                <c:pt idx="45" formatCode="0.000000">
                  <c:v>0.94396821494729988</c:v>
                </c:pt>
                <c:pt idx="46" formatCode="0.000000">
                  <c:v>0.95524519155724863</c:v>
                </c:pt>
                <c:pt idx="47" formatCode="0.000000">
                  <c:v>0.96646571104814871</c:v>
                </c:pt>
                <c:pt idx="48" formatCode="0.000000">
                  <c:v>0.97762486476684229</c:v>
                </c:pt>
                <c:pt idx="49" formatCode="0.000000">
                  <c:v>0.98871163331782341</c:v>
                </c:pt>
                <c:pt idx="50" formatCode="0.000000">
                  <c:v>0.99973424830690227</c:v>
                </c:pt>
                <c:pt idx="51" formatCode="0.000000">
                  <c:v>1.0106864429085449</c:v>
                </c:pt>
                <c:pt idx="52" formatCode="0.000000">
                  <c:v>1.0215616242190306</c:v>
                </c:pt>
              </c:numCache>
            </c:numRef>
          </c:yVal>
          <c:smooth val="1"/>
          <c:extLst>
            <c:ext xmlns:c16="http://schemas.microsoft.com/office/drawing/2014/chart" uri="{C3380CC4-5D6E-409C-BE32-E72D297353CC}">
              <c16:uniqueId val="{00000001-0920-4E90-A8A9-41B22E6D768F}"/>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Uso suelo [Mha]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Café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'CC70-Tendencial'!$K$223:$BK$223</c:f>
              <c:numCache>
                <c:formatCode>General</c:formatCode>
                <c:ptCount val="53"/>
                <c:pt idx="0">
                  <c:v>4.5851999999999997E-2</c:v>
                </c:pt>
                <c:pt idx="1">
                  <c:v>4.8097000000000001E-2</c:v>
                </c:pt>
                <c:pt idx="2">
                  <c:v>3.4789E-2</c:v>
                </c:pt>
                <c:pt idx="3">
                  <c:v>3.4930999999999997E-2</c:v>
                </c:pt>
                <c:pt idx="4">
                  <c:v>3.6397649194333068E-2</c:v>
                </c:pt>
                <c:pt idx="5">
                  <c:v>3.6217352561770395E-2</c:v>
                </c:pt>
                <c:pt idx="6">
                  <c:v>3.842424876740097E-2</c:v>
                </c:pt>
                <c:pt idx="7">
                  <c:v>3.8490583438897656E-2</c:v>
                </c:pt>
                <c:pt idx="8">
                  <c:v>4.0800737544093205E-2</c:v>
                </c:pt>
                <c:pt idx="9">
                  <c:v>4.1815197966768462E-2</c:v>
                </c:pt>
                <c:pt idx="10">
                  <c:v>4.2875408962745054E-2</c:v>
                </c:pt>
                <c:pt idx="11">
                  <c:v>4.3819480372250676E-2</c:v>
                </c:pt>
                <c:pt idx="12">
                  <c:v>4.4923357919728298E-2</c:v>
                </c:pt>
                <c:pt idx="13">
                  <c:v>4.4365861889824283E-2</c:v>
                </c:pt>
                <c:pt idx="14">
                  <c:v>4.5191221941204292E-2</c:v>
                </c:pt>
                <c:pt idx="15">
                  <c:v>4.6189166018104653E-2</c:v>
                </c:pt>
                <c:pt idx="16">
                  <c:v>4.6917729347426225E-2</c:v>
                </c:pt>
                <c:pt idx="17">
                  <c:v>4.761461694177526E-2</c:v>
                </c:pt>
                <c:pt idx="18">
                  <c:v>4.8288010035725137E-2</c:v>
                </c:pt>
                <c:pt idx="19">
                  <c:v>4.8869653247129406E-2</c:v>
                </c:pt>
                <c:pt idx="20">
                  <c:v>4.937711623863026E-2</c:v>
                </c:pt>
                <c:pt idx="21">
                  <c:v>5.010561953397942E-2</c:v>
                </c:pt>
                <c:pt idx="22">
                  <c:v>5.0780681065593421E-2</c:v>
                </c:pt>
                <c:pt idx="23">
                  <c:v>5.141867977470433E-2</c:v>
                </c:pt>
                <c:pt idx="24">
                  <c:v>5.2035263520478228E-2</c:v>
                </c:pt>
                <c:pt idx="25">
                  <c:v>5.2569061840264608E-2</c:v>
                </c:pt>
                <c:pt idx="26">
                  <c:v>5.3164512062962792E-2</c:v>
                </c:pt>
                <c:pt idx="27">
                  <c:v>5.3712105875925134E-2</c:v>
                </c:pt>
                <c:pt idx="28">
                  <c:v>5.4342427306297278E-2</c:v>
                </c:pt>
                <c:pt idx="29">
                  <c:v>5.489277131107425E-2</c:v>
                </c:pt>
                <c:pt idx="30">
                  <c:v>5.5424498874207022E-2</c:v>
                </c:pt>
                <c:pt idx="31">
                  <c:v>5.5955747280412936E-2</c:v>
                </c:pt>
                <c:pt idx="32">
                  <c:v>5.6479714037781167E-2</c:v>
                </c:pt>
                <c:pt idx="33">
                  <c:v>5.7034621383526253E-2</c:v>
                </c:pt>
                <c:pt idx="34">
                  <c:v>5.7551689156183292E-2</c:v>
                </c:pt>
                <c:pt idx="35">
                  <c:v>5.8059869040092985E-2</c:v>
                </c:pt>
                <c:pt idx="36">
                  <c:v>5.8565333366307572E-2</c:v>
                </c:pt>
                <c:pt idx="37">
                  <c:v>5.9062063829661969E-2</c:v>
                </c:pt>
                <c:pt idx="38">
                  <c:v>5.9556167846258161E-2</c:v>
                </c:pt>
                <c:pt idx="39">
                  <c:v>6.0029775613409143E-2</c:v>
                </c:pt>
                <c:pt idx="40">
                  <c:v>6.0495303978314652E-2</c:v>
                </c:pt>
                <c:pt idx="41">
                  <c:v>6.0952252896289687E-2</c:v>
                </c:pt>
                <c:pt idx="42">
                  <c:v>6.1398812849549782E-2</c:v>
                </c:pt>
                <c:pt idx="43">
                  <c:v>6.1833382759149819E-2</c:v>
                </c:pt>
                <c:pt idx="44">
                  <c:v>6.225679394277131E-2</c:v>
                </c:pt>
                <c:pt idx="45">
                  <c:v>6.2669287172812463E-2</c:v>
                </c:pt>
                <c:pt idx="46">
                  <c:v>6.307074230993133E-2</c:v>
                </c:pt>
                <c:pt idx="47">
                  <c:v>6.3460149772787439E-2</c:v>
                </c:pt>
                <c:pt idx="48">
                  <c:v>6.3837257697146474E-2</c:v>
                </c:pt>
                <c:pt idx="49">
                  <c:v>6.4201515271365237E-2</c:v>
                </c:pt>
                <c:pt idx="50">
                  <c:v>6.4553348123214602E-2</c:v>
                </c:pt>
                <c:pt idx="51">
                  <c:v>6.4892448831570387E-2</c:v>
                </c:pt>
                <c:pt idx="52">
                  <c:v>6.5218505180328012E-2</c:v>
                </c:pt>
              </c:numCache>
            </c:numRef>
          </c:yVal>
          <c:smooth val="1"/>
          <c:extLst>
            <c:ext xmlns:c16="http://schemas.microsoft.com/office/drawing/2014/chart" uri="{C3380CC4-5D6E-409C-BE32-E72D297353CC}">
              <c16:uniqueId val="{00000000-1FB5-4742-8A87-3EE8D050854F}"/>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'CC70-Tendencial'!$K$239:$BK$239</c:f>
              <c:numCache>
                <c:formatCode>General</c:formatCode>
                <c:ptCount val="53"/>
                <c:pt idx="0">
                  <c:v>4.5851999999999997E-2</c:v>
                </c:pt>
                <c:pt idx="1">
                  <c:v>4.8097000000000001E-2</c:v>
                </c:pt>
                <c:pt idx="2">
                  <c:v>3.4789E-2</c:v>
                </c:pt>
                <c:pt idx="3">
                  <c:v>3.4930999999999997E-2</c:v>
                </c:pt>
                <c:pt idx="4">
                  <c:v>3.6397649194333068E-2</c:v>
                </c:pt>
                <c:pt idx="5" formatCode="0.000000">
                  <c:v>2.9783620618820152E-2</c:v>
                </c:pt>
                <c:pt idx="6" formatCode="0.000000">
                  <c:v>3.1287601629307153E-2</c:v>
                </c:pt>
                <c:pt idx="7" formatCode="0.000000">
                  <c:v>3.103271121189588E-2</c:v>
                </c:pt>
                <c:pt idx="8" formatCode="0.000000">
                  <c:v>3.2587269885604432E-2</c:v>
                </c:pt>
                <c:pt idx="9" formatCode="0.000000">
                  <c:v>3.3085388510097846E-2</c:v>
                </c:pt>
                <c:pt idx="10" formatCode="0.000000">
                  <c:v>3.3613674702730412E-2</c:v>
                </c:pt>
                <c:pt idx="11" formatCode="0.000000">
                  <c:v>3.4044337813807363E-2</c:v>
                </c:pt>
                <c:pt idx="12" formatCode="0.000000">
                  <c:v>3.4595175600779314E-2</c:v>
                </c:pt>
                <c:pt idx="13" formatCode="0.000000">
                  <c:v>3.38508600554389E-2</c:v>
                </c:pt>
                <c:pt idx="14" formatCode="0.000000">
                  <c:v>3.418380081821968E-2</c:v>
                </c:pt>
                <c:pt idx="15" formatCode="0.000000">
                  <c:v>3.4645654518872679E-2</c:v>
                </c:pt>
                <c:pt idx="16" formatCode="0.000000">
                  <c:v>3.489847797117758E-2</c:v>
                </c:pt>
                <c:pt idx="17" formatCode="0.000000">
                  <c:v>3.5125746702301917E-2</c:v>
                </c:pt>
                <c:pt idx="18" formatCode="0.000000">
                  <c:v>3.5334163891805499E-2</c:v>
                </c:pt>
                <c:pt idx="19" formatCode="0.000000">
                  <c:v>3.547329737819583E-2</c:v>
                </c:pt>
                <c:pt idx="20" formatCode="0.000000">
                  <c:v>3.5557503443618611E-2</c:v>
                </c:pt>
                <c:pt idx="21" formatCode="0.000000">
                  <c:v>3.5805133395891878E-2</c:v>
                </c:pt>
                <c:pt idx="22" formatCode="0.000000">
                  <c:v>3.6012517315377537E-2</c:v>
                </c:pt>
                <c:pt idx="23" formatCode="0.000000">
                  <c:v>3.6192332809979959E-2</c:v>
                </c:pt>
                <c:pt idx="24" formatCode="0.000000">
                  <c:v>3.6356436009109157E-2</c:v>
                </c:pt>
                <c:pt idx="25" formatCode="0.000000">
                  <c:v>3.646096479486613E-2</c:v>
                </c:pt>
                <c:pt idx="26" formatCode="0.000000">
                  <c:v>3.6610371967528331E-2</c:v>
                </c:pt>
                <c:pt idx="27" formatCode="0.000000">
                  <c:v>3.6725993799594597E-2</c:v>
                </c:pt>
                <c:pt idx="28" formatCode="0.000000">
                  <c:v>3.6900966341630224E-2</c:v>
                </c:pt>
                <c:pt idx="29" formatCode="0.000000">
                  <c:v>3.7019698730137253E-2</c:v>
                </c:pt>
                <c:pt idx="30" formatCode="0.000000">
                  <c:v>3.7126150541074043E-2</c:v>
                </c:pt>
                <c:pt idx="31" formatCode="0.000000">
                  <c:v>3.7233219297498982E-2</c:v>
                </c:pt>
                <c:pt idx="32" formatCode="0.000000">
                  <c:v>3.7336210768888142E-2</c:v>
                </c:pt>
                <c:pt idx="33" formatCode="0.000000">
                  <c:v>3.7461706250276609E-2</c:v>
                </c:pt>
                <c:pt idx="34" formatCode="0.000000">
                  <c:v>3.7562049538831729E-2</c:v>
                </c:pt>
                <c:pt idx="35" formatCode="0.000000">
                  <c:v>3.7657503090893635E-2</c:v>
                </c:pt>
                <c:pt idx="36" formatCode="0.000000">
                  <c:v>3.7752409508432616E-2</c:v>
                </c:pt>
                <c:pt idx="37" formatCode="0.000000">
                  <c:v>3.7842737853306649E-2</c:v>
                </c:pt>
                <c:pt idx="38" formatCode="0.000000">
                  <c:v>3.793274863715463E-2</c:v>
                </c:pt>
                <c:pt idx="39" formatCode="0.000000">
                  <c:v>3.8010428849575201E-2</c:v>
                </c:pt>
                <c:pt idx="40" formatCode="0.000000">
                  <c:v>3.8084341518316189E-2</c:v>
                </c:pt>
                <c:pt idx="41" formatCode="0.000000">
                  <c:v>3.8154254057490261E-2</c:v>
                </c:pt>
                <c:pt idx="42" formatCode="0.000000">
                  <c:v>3.821906074124734E-2</c:v>
                </c:pt>
                <c:pt idx="43" formatCode="0.000000">
                  <c:v>3.827780886465524E-2</c:v>
                </c:pt>
                <c:pt idx="44" formatCode="0.000000">
                  <c:v>3.8331173258936438E-2</c:v>
                </c:pt>
                <c:pt idx="45" formatCode="0.000000">
                  <c:v>3.8379427396341502E-2</c:v>
                </c:pt>
                <c:pt idx="46" formatCode="0.000000">
                  <c:v>3.8422601674201202E-2</c:v>
                </c:pt>
                <c:pt idx="47" formatCode="0.000000">
                  <c:v>3.8460139027048305E-2</c:v>
                </c:pt>
                <c:pt idx="48" formatCode="0.000000">
                  <c:v>3.8491984978397197E-2</c:v>
                </c:pt>
                <c:pt idx="49" formatCode="0.000000">
                  <c:v>3.8517888165616784E-2</c:v>
                </c:pt>
                <c:pt idx="50" formatCode="0.000000">
                  <c:v>3.8538236087984901E-2</c:v>
                </c:pt>
                <c:pt idx="51" formatCode="0.000000">
                  <c:v>3.8552932744414785E-2</c:v>
                </c:pt>
                <c:pt idx="52" formatCode="0.000000">
                  <c:v>3.8561878216620743E-2</c:v>
                </c:pt>
              </c:numCache>
            </c:numRef>
          </c:yVal>
          <c:smooth val="1"/>
          <c:extLst>
            <c:ext xmlns:c16="http://schemas.microsoft.com/office/drawing/2014/chart" uri="{C3380CC4-5D6E-409C-BE32-E72D297353CC}">
              <c16:uniqueId val="{00000001-1FB5-4742-8A87-3EE8D050854F}"/>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Uso suelo [Mha]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Caña</a:t>
            </a:r>
            <a:r>
              <a:rPr lang="en-US" baseline="0"/>
              <a:t> de azúcar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'CC70-Tendencial'!$K$224:$BK$224</c:f>
              <c:numCache>
                <c:formatCode>General</c:formatCode>
                <c:ptCount val="53"/>
                <c:pt idx="0">
                  <c:v>0.132771</c:v>
                </c:pt>
                <c:pt idx="1">
                  <c:v>0.14411599999999999</c:v>
                </c:pt>
                <c:pt idx="2">
                  <c:v>0.15798599999999999</c:v>
                </c:pt>
                <c:pt idx="3">
                  <c:v>0.15176400000000001</c:v>
                </c:pt>
                <c:pt idx="4">
                  <c:v>0.14103099999999999</c:v>
                </c:pt>
                <c:pt idx="5">
                  <c:v>0.14033239954228405</c:v>
                </c:pt>
                <c:pt idx="6">
                  <c:v>0.14888352264132046</c:v>
                </c:pt>
                <c:pt idx="7">
                  <c:v>0.14914055146771252</c:v>
                </c:pt>
                <c:pt idx="8">
                  <c:v>0.15809177086845777</c:v>
                </c:pt>
                <c:pt idx="9">
                  <c:v>0.15809177086845777</c:v>
                </c:pt>
                <c:pt idx="10">
                  <c:v>0.15809177086845777</c:v>
                </c:pt>
                <c:pt idx="11">
                  <c:v>0.15809177086845777</c:v>
                </c:pt>
                <c:pt idx="12">
                  <c:v>0.15809177086845777</c:v>
                </c:pt>
                <c:pt idx="13">
                  <c:v>0.15809177086845777</c:v>
                </c:pt>
                <c:pt idx="14">
                  <c:v>0.15809177086845777</c:v>
                </c:pt>
                <c:pt idx="15">
                  <c:v>0.15809177086845777</c:v>
                </c:pt>
                <c:pt idx="16">
                  <c:v>0.15809177086845777</c:v>
                </c:pt>
                <c:pt idx="17">
                  <c:v>0.15809177086845777</c:v>
                </c:pt>
                <c:pt idx="18">
                  <c:v>0.15809177086845777</c:v>
                </c:pt>
                <c:pt idx="19">
                  <c:v>0.15809177086845777</c:v>
                </c:pt>
                <c:pt idx="20">
                  <c:v>0.15809177086845777</c:v>
                </c:pt>
                <c:pt idx="21">
                  <c:v>0.15809177086845777</c:v>
                </c:pt>
                <c:pt idx="22">
                  <c:v>0.15809177086845777</c:v>
                </c:pt>
                <c:pt idx="23">
                  <c:v>0.15809177086845777</c:v>
                </c:pt>
                <c:pt idx="24">
                  <c:v>0.15809177086845777</c:v>
                </c:pt>
                <c:pt idx="25">
                  <c:v>0.15809177086845777</c:v>
                </c:pt>
                <c:pt idx="26">
                  <c:v>0.15809177086845777</c:v>
                </c:pt>
                <c:pt idx="27">
                  <c:v>0.15809177086845777</c:v>
                </c:pt>
                <c:pt idx="28">
                  <c:v>0.15809177086845777</c:v>
                </c:pt>
                <c:pt idx="29">
                  <c:v>0.15809177086845777</c:v>
                </c:pt>
                <c:pt idx="30">
                  <c:v>0.15809177086845777</c:v>
                </c:pt>
                <c:pt idx="31">
                  <c:v>0.15809177086845777</c:v>
                </c:pt>
                <c:pt idx="32">
                  <c:v>0.15809177086845777</c:v>
                </c:pt>
                <c:pt idx="33">
                  <c:v>0.15809177086845777</c:v>
                </c:pt>
                <c:pt idx="34">
                  <c:v>0.15809177086845777</c:v>
                </c:pt>
                <c:pt idx="35">
                  <c:v>0.15809177086845777</c:v>
                </c:pt>
                <c:pt idx="36">
                  <c:v>0.15809177086845777</c:v>
                </c:pt>
                <c:pt idx="37">
                  <c:v>0.15809177086845777</c:v>
                </c:pt>
                <c:pt idx="38">
                  <c:v>0.15809177086845777</c:v>
                </c:pt>
                <c:pt idx="39">
                  <c:v>0.15809177086845777</c:v>
                </c:pt>
                <c:pt idx="40">
                  <c:v>0.15809177086845777</c:v>
                </c:pt>
                <c:pt idx="41">
                  <c:v>0.15809177086845777</c:v>
                </c:pt>
                <c:pt idx="42">
                  <c:v>0.15809177086845777</c:v>
                </c:pt>
                <c:pt idx="43">
                  <c:v>0.15809177086845777</c:v>
                </c:pt>
                <c:pt idx="44">
                  <c:v>0.15809177086845777</c:v>
                </c:pt>
                <c:pt idx="45">
                  <c:v>0.15809177086845777</c:v>
                </c:pt>
                <c:pt idx="46">
                  <c:v>0.15809177086845777</c:v>
                </c:pt>
                <c:pt idx="47">
                  <c:v>0.15809177086845777</c:v>
                </c:pt>
                <c:pt idx="48">
                  <c:v>0.15809177086845777</c:v>
                </c:pt>
                <c:pt idx="49">
                  <c:v>0.15809177086845777</c:v>
                </c:pt>
                <c:pt idx="50">
                  <c:v>0.15809177086845777</c:v>
                </c:pt>
                <c:pt idx="51">
                  <c:v>0.15809177086845777</c:v>
                </c:pt>
                <c:pt idx="52">
                  <c:v>0.15809177086845777</c:v>
                </c:pt>
              </c:numCache>
            </c:numRef>
          </c:yVal>
          <c:smooth val="1"/>
          <c:extLst>
            <c:ext xmlns:c16="http://schemas.microsoft.com/office/drawing/2014/chart" uri="{C3380CC4-5D6E-409C-BE32-E72D297353CC}">
              <c16:uniqueId val="{00000000-FA4A-4A67-9131-267A29025AD4}"/>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'CC70-Tendencial'!$K$240:$BK$240</c:f>
              <c:numCache>
                <c:formatCode>General</c:formatCode>
                <c:ptCount val="53"/>
                <c:pt idx="0">
                  <c:v>0.132771</c:v>
                </c:pt>
                <c:pt idx="1">
                  <c:v>0.14411599999999999</c:v>
                </c:pt>
                <c:pt idx="2">
                  <c:v>0.15798599999999999</c:v>
                </c:pt>
                <c:pt idx="3">
                  <c:v>0.15176400000000001</c:v>
                </c:pt>
                <c:pt idx="4">
                  <c:v>0.14103099999999999</c:v>
                </c:pt>
                <c:pt idx="5" formatCode="0.000000">
                  <c:v>0.13486877156515797</c:v>
                </c:pt>
                <c:pt idx="6" formatCode="0.000000">
                  <c:v>0.14293159913582162</c:v>
                </c:pt>
                <c:pt idx="7" formatCode="0.000000">
                  <c:v>0.14302471470372383</c:v>
                </c:pt>
                <c:pt idx="8" formatCode="0.000000">
                  <c:v>0.15144836623766161</c:v>
                </c:pt>
                <c:pt idx="9" formatCode="0.000000">
                  <c:v>0.1512898870909076</c:v>
                </c:pt>
                <c:pt idx="10" formatCode="0.000000">
                  <c:v>0.1511335442237659</c:v>
                </c:pt>
                <c:pt idx="11" formatCode="0.000000">
                  <c:v>0.15097931690014033</c:v>
                </c:pt>
                <c:pt idx="12" formatCode="0.000000">
                  <c:v>0.15082718468864387</c:v>
                </c:pt>
                <c:pt idx="13" formatCode="0.000000">
                  <c:v>0.15067712745713904</c:v>
                </c:pt>
                <c:pt idx="14" formatCode="0.000000">
                  <c:v>0.15052912536739463</c:v>
                </c:pt>
                <c:pt idx="15" formatCode="0.000000">
                  <c:v>0.15038315886985731</c:v>
                </c:pt>
                <c:pt idx="16" formatCode="0.000000">
                  <c:v>0.15023920869853474</c:v>
                </c:pt>
                <c:pt idx="17" formatCode="0.000000">
                  <c:v>0.15009725586598702</c:v>
                </c:pt>
                <c:pt idx="18" formatCode="0.000000">
                  <c:v>0.14995738088444227</c:v>
                </c:pt>
                <c:pt idx="19" formatCode="0.000000">
                  <c:v>0.14981947856342664</c:v>
                </c:pt>
                <c:pt idx="20" formatCode="0.000000">
                  <c:v>0.14968353058997361</c:v>
                </c:pt>
                <c:pt idx="21" formatCode="0.000000">
                  <c:v>0.14954951891251819</c:v>
                </c:pt>
                <c:pt idx="22" formatCode="0.000000">
                  <c:v>0.1494174257363613</c:v>
                </c:pt>
                <c:pt idx="23" formatCode="0.000000">
                  <c:v>0.14928723351922876</c:v>
                </c:pt>
                <c:pt idx="24" formatCode="0.000000">
                  <c:v>0.14915892496692201</c:v>
                </c:pt>
                <c:pt idx="25" formatCode="0.000000">
                  <c:v>0.14903248302905914</c:v>
                </c:pt>
                <c:pt idx="26" formatCode="0.000000">
                  <c:v>0.148907890894903</c:v>
                </c:pt>
                <c:pt idx="27" formatCode="0.000000">
                  <c:v>0.14878513198927582</c:v>
                </c:pt>
                <c:pt idx="28" formatCode="0.000000">
                  <c:v>0.14866418996855657</c:v>
                </c:pt>
                <c:pt idx="29" formatCode="0.000000">
                  <c:v>0.14854504871676033</c:v>
                </c:pt>
                <c:pt idx="30" formatCode="0.000000">
                  <c:v>0.1484276923416972</c:v>
                </c:pt>
                <c:pt idx="31" formatCode="0.000000">
                  <c:v>0.14831210517120924</c:v>
                </c:pt>
                <c:pt idx="32" formatCode="0.000000">
                  <c:v>0.14819827174948286</c:v>
                </c:pt>
                <c:pt idx="33" formatCode="0.000000">
                  <c:v>0.14808617683343567</c:v>
                </c:pt>
                <c:pt idx="34" formatCode="0.000000">
                  <c:v>0.14797580538917587</c:v>
                </c:pt>
                <c:pt idx="35" formatCode="0.000000">
                  <c:v>0.14786714258853226</c:v>
                </c:pt>
                <c:pt idx="36" formatCode="0.000000">
                  <c:v>0.14776017380565304</c:v>
                </c:pt>
                <c:pt idx="37" formatCode="0.000000">
                  <c:v>0.14765488461367274</c:v>
                </c:pt>
                <c:pt idx="38" formatCode="0.000000">
                  <c:v>0.14755126078144448</c:v>
                </c:pt>
                <c:pt idx="39" formatCode="0.000000">
                  <c:v>0.14744928827033718</c:v>
                </c:pt>
                <c:pt idx="40" formatCode="0.000000">
                  <c:v>0.14734895323109512</c:v>
                </c:pt>
                <c:pt idx="41" formatCode="0.000000">
                  <c:v>0.1472502420007597</c:v>
                </c:pt>
                <c:pt idx="42" formatCode="0.000000">
                  <c:v>0.14715314109965064</c:v>
                </c:pt>
                <c:pt idx="43" formatCode="0.000000">
                  <c:v>0.14705763722840656</c:v>
                </c:pt>
                <c:pt idx="44" formatCode="0.000000">
                  <c:v>0.14696371726508226</c:v>
                </c:pt>
                <c:pt idx="45" formatCode="0.000000">
                  <c:v>0.1468713682623029</c:v>
                </c:pt>
                <c:pt idx="46" formatCode="0.000000">
                  <c:v>0.1467805774444724</c:v>
                </c:pt>
                <c:pt idx="47" formatCode="0.000000">
                  <c:v>0.14669133220503588</c:v>
                </c:pt>
                <c:pt idx="48" formatCode="0.000000">
                  <c:v>0.1466036201037943</c:v>
                </c:pt>
                <c:pt idx="49" formatCode="0.000000">
                  <c:v>0.14651742886427035</c:v>
                </c:pt>
                <c:pt idx="50" formatCode="0.000000">
                  <c:v>0.14643274637112472</c:v>
                </c:pt>
                <c:pt idx="51" formatCode="0.000000">
                  <c:v>0.14634956066762114</c:v>
                </c:pt>
                <c:pt idx="52" formatCode="0.000000">
                  <c:v>0.14626785995313957</c:v>
                </c:pt>
              </c:numCache>
            </c:numRef>
          </c:yVal>
          <c:smooth val="1"/>
          <c:extLst>
            <c:ext xmlns:c16="http://schemas.microsoft.com/office/drawing/2014/chart" uri="{C3380CC4-5D6E-409C-BE32-E72D297353CC}">
              <c16:uniqueId val="{00000001-FA4A-4A67-9131-267A29025AD4}"/>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Uso suelo [Mha]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Maiz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'CC70-Tendencial'!$K$225:$BK$225</c:f>
              <c:numCache>
                <c:formatCode>General</c:formatCode>
                <c:ptCount val="53"/>
                <c:pt idx="0">
                  <c:v>0.46154699999999999</c:v>
                </c:pt>
                <c:pt idx="1">
                  <c:v>0.40525899999999998</c:v>
                </c:pt>
                <c:pt idx="2">
                  <c:v>0.44468099999999999</c:v>
                </c:pt>
                <c:pt idx="3">
                  <c:v>0.45371800000000001</c:v>
                </c:pt>
                <c:pt idx="4">
                  <c:v>0.43321599999999999</c:v>
                </c:pt>
                <c:pt idx="5">
                  <c:v>0.43107005410236138</c:v>
                </c:pt>
                <c:pt idx="6">
                  <c:v>0.45733721057485438</c:v>
                </c:pt>
                <c:pt idx="7">
                  <c:v>0.45812674620924865</c:v>
                </c:pt>
                <c:pt idx="8">
                  <c:v>0.48562290991732171</c:v>
                </c:pt>
                <c:pt idx="9">
                  <c:v>0.4976973294525841</c:v>
                </c:pt>
                <c:pt idx="10">
                  <c:v>0.51031628636325477</c:v>
                </c:pt>
                <c:pt idx="11">
                  <c:v>0.5215529142442682</c:v>
                </c:pt>
                <c:pt idx="12">
                  <c:v>0.5346916038627868</c:v>
                </c:pt>
                <c:pt idx="13">
                  <c:v>0.52805611488377602</c:v>
                </c:pt>
                <c:pt idx="14">
                  <c:v>0.53787980371899646</c:v>
                </c:pt>
                <c:pt idx="15">
                  <c:v>0.54975764063396348</c:v>
                </c:pt>
                <c:pt idx="16">
                  <c:v>0.55842922515279314</c:v>
                </c:pt>
                <c:pt idx="17">
                  <c:v>0.56672379534499429</c:v>
                </c:pt>
                <c:pt idx="18">
                  <c:v>0.57473872677726956</c:v>
                </c:pt>
                <c:pt idx="19">
                  <c:v>0.58166162292713808</c:v>
                </c:pt>
                <c:pt idx="20">
                  <c:v>0.58770160331576882</c:v>
                </c:pt>
                <c:pt idx="21">
                  <c:v>0.59637247329181986</c:v>
                </c:pt>
                <c:pt idx="22">
                  <c:v>0.60440726298162284</c:v>
                </c:pt>
                <c:pt idx="23">
                  <c:v>0.6120009195744015</c:v>
                </c:pt>
                <c:pt idx="24">
                  <c:v>0.61933968869608347</c:v>
                </c:pt>
                <c:pt idx="25">
                  <c:v>0.62569312025068458</c:v>
                </c:pt>
                <c:pt idx="26">
                  <c:v>0.63278035168970237</c:v>
                </c:pt>
                <c:pt idx="27">
                  <c:v>0.63929798144127514</c:v>
                </c:pt>
                <c:pt idx="28">
                  <c:v>0.64680026070448138</c:v>
                </c:pt>
                <c:pt idx="29">
                  <c:v>0.65335062408373445</c:v>
                </c:pt>
                <c:pt idx="30">
                  <c:v>0.65967940885662557</c:v>
                </c:pt>
                <c:pt idx="31">
                  <c:v>0.66600249055660343</c:v>
                </c:pt>
                <c:pt idx="32">
                  <c:v>0.67223890383560658</c:v>
                </c:pt>
                <c:pt idx="33">
                  <c:v>0.67884358150066115</c:v>
                </c:pt>
                <c:pt idx="34">
                  <c:v>0.68499788094465563</c:v>
                </c:pt>
                <c:pt idx="35">
                  <c:v>0.69104639400692502</c:v>
                </c:pt>
                <c:pt idx="36">
                  <c:v>0.69706258566744228</c:v>
                </c:pt>
                <c:pt idx="37">
                  <c:v>0.70297482420965129</c:v>
                </c:pt>
                <c:pt idx="38">
                  <c:v>0.70885580197584896</c:v>
                </c:pt>
                <c:pt idx="39">
                  <c:v>0.71449282708586692</c:v>
                </c:pt>
                <c:pt idx="40">
                  <c:v>0.72003368866882611</c:v>
                </c:pt>
                <c:pt idx="41">
                  <c:v>0.72547243503930037</c:v>
                </c:pt>
                <c:pt idx="42">
                  <c:v>0.73078752876083786</c:v>
                </c:pt>
                <c:pt idx="43">
                  <c:v>0.73595991330007349</c:v>
                </c:pt>
                <c:pt idx="44">
                  <c:v>0.74099948325538612</c:v>
                </c:pt>
                <c:pt idx="45">
                  <c:v>0.74590910437381075</c:v>
                </c:pt>
                <c:pt idx="46">
                  <c:v>0.75068734671999948</c:v>
                </c:pt>
                <c:pt idx="47">
                  <c:v>0.75532219394675215</c:v>
                </c:pt>
                <c:pt idx="48">
                  <c:v>0.75981064828859357</c:v>
                </c:pt>
                <c:pt idx="49">
                  <c:v>0.76414615381616835</c:v>
                </c:pt>
                <c:pt idx="50">
                  <c:v>0.76833377648193402</c:v>
                </c:pt>
                <c:pt idx="51">
                  <c:v>0.77236985726524821</c:v>
                </c:pt>
                <c:pt idx="52">
                  <c:v>0.77625068007413922</c:v>
                </c:pt>
              </c:numCache>
            </c:numRef>
          </c:yVal>
          <c:smooth val="1"/>
          <c:extLst>
            <c:ext xmlns:c16="http://schemas.microsoft.com/office/drawing/2014/chart" uri="{C3380CC4-5D6E-409C-BE32-E72D297353CC}">
              <c16:uniqueId val="{00000000-6103-47D6-BFC2-25ABC3B39ADE}"/>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'CC70-Tendencial'!$K$241:$BK$241</c:f>
              <c:numCache>
                <c:formatCode>General</c:formatCode>
                <c:ptCount val="53"/>
                <c:pt idx="0">
                  <c:v>0.46154699999999999</c:v>
                </c:pt>
                <c:pt idx="1">
                  <c:v>0.40525899999999998</c:v>
                </c:pt>
                <c:pt idx="2">
                  <c:v>0.44468099999999999</c:v>
                </c:pt>
                <c:pt idx="3">
                  <c:v>0.45371800000000001</c:v>
                </c:pt>
                <c:pt idx="4">
                  <c:v>0.43321599999999999</c:v>
                </c:pt>
                <c:pt idx="5" formatCode="0.000000">
                  <c:v>0.41402988320261863</c:v>
                </c:pt>
                <c:pt idx="6" formatCode="0.000000">
                  <c:v>0.43695071100057897</c:v>
                </c:pt>
                <c:pt idx="7" formatCode="0.000000">
                  <c:v>0.43544821869510519</c:v>
                </c:pt>
                <c:pt idx="8" formatCode="0.000000">
                  <c:v>0.45924775164435461</c:v>
                </c:pt>
                <c:pt idx="9" formatCode="0.000000">
                  <c:v>0.4683293865205147</c:v>
                </c:pt>
                <c:pt idx="10" formatCode="0.000000">
                  <c:v>0.47786386336631037</c:v>
                </c:pt>
                <c:pt idx="11" formatCode="0.000000">
                  <c:v>0.48605057933407497</c:v>
                </c:pt>
                <c:pt idx="12" formatCode="0.000000">
                  <c:v>0.49595662827418152</c:v>
                </c:pt>
                <c:pt idx="13" formatCode="0.000000">
                  <c:v>0.48754628052125215</c:v>
                </c:pt>
                <c:pt idx="14" formatCode="0.000000">
                  <c:v>0.49437207527439914</c:v>
                </c:pt>
                <c:pt idx="15" formatCode="0.000000">
                  <c:v>0.50304830319398441</c:v>
                </c:pt>
                <c:pt idx="16" formatCode="0.000000">
                  <c:v>0.50875935021308905</c:v>
                </c:pt>
                <c:pt idx="17" formatCode="0.000000">
                  <c:v>0.51411117457510291</c:v>
                </c:pt>
                <c:pt idx="18" formatCode="0.000000">
                  <c:v>0.51919707227414624</c:v>
                </c:pt>
                <c:pt idx="19" formatCode="0.000000">
                  <c:v>0.5232901893367119</c:v>
                </c:pt>
                <c:pt idx="20" formatCode="0.000000">
                  <c:v>0.52659059386937701</c:v>
                </c:pt>
                <c:pt idx="21" formatCode="0.000000">
                  <c:v>0.53224415190269225</c:v>
                </c:pt>
                <c:pt idx="22" formatCode="0.000000">
                  <c:v>0.53731943330666732</c:v>
                </c:pt>
                <c:pt idx="23" formatCode="0.000000">
                  <c:v>0.54199644315962814</c:v>
                </c:pt>
                <c:pt idx="24" formatCode="0.000000">
                  <c:v>0.54644460739452949</c:v>
                </c:pt>
                <c:pt idx="25" formatCode="0.000000">
                  <c:v>0.55002488647536651</c:v>
                </c:pt>
                <c:pt idx="26" formatCode="0.000000">
                  <c:v>0.55425295289680854</c:v>
                </c:pt>
                <c:pt idx="27" formatCode="0.000000">
                  <c:v>0.55798467913888794</c:v>
                </c:pt>
                <c:pt idx="28" formatCode="0.000000">
                  <c:v>0.56257754255331938</c:v>
                </c:pt>
                <c:pt idx="29" formatCode="0.000000">
                  <c:v>0.56634445893785779</c:v>
                </c:pt>
                <c:pt idx="30" formatCode="0.000000">
                  <c:v>0.56992515335736516</c:v>
                </c:pt>
                <c:pt idx="31" formatCode="0.000000">
                  <c:v>0.57350770568780307</c:v>
                </c:pt>
                <c:pt idx="32" formatCode="0.000000">
                  <c:v>0.57702292492710716</c:v>
                </c:pt>
                <c:pt idx="33" formatCode="0.000000">
                  <c:v>0.58086103390941257</c:v>
                </c:pt>
                <c:pt idx="34" formatCode="0.000000">
                  <c:v>0.58432102776340544</c:v>
                </c:pt>
                <c:pt idx="35" formatCode="0.000000">
                  <c:v>0.58769973866279868</c:v>
                </c:pt>
                <c:pt idx="36" formatCode="0.000000">
                  <c:v>0.59106046661266887</c:v>
                </c:pt>
                <c:pt idx="37" formatCode="0.000000">
                  <c:v>0.59434307348644411</c:v>
                </c:pt>
                <c:pt idx="38" formatCode="0.000000">
                  <c:v>0.59760977073387112</c:v>
                </c:pt>
                <c:pt idx="39" formatCode="0.000000">
                  <c:v>0.600682123419361</c:v>
                </c:pt>
                <c:pt idx="40" formatCode="0.000000">
                  <c:v>0.60368587128104878</c:v>
                </c:pt>
                <c:pt idx="41" formatCode="0.000000">
                  <c:v>0.60661679473574592</c:v>
                </c:pt>
                <c:pt idx="42" formatCode="0.000000">
                  <c:v>0.60945769775443048</c:v>
                </c:pt>
                <c:pt idx="43" formatCode="0.000000">
                  <c:v>0.61219360135587619</c:v>
                </c:pt>
                <c:pt idx="44" formatCode="0.000000">
                  <c:v>0.61483367135194333</c:v>
                </c:pt>
                <c:pt idx="45" formatCode="0.000000">
                  <c:v>0.61738113391159277</c:v>
                </c:pt>
                <c:pt idx="46" formatCode="0.000000">
                  <c:v>0.61983560859174858</c:v>
                </c:pt>
                <c:pt idx="47" formatCode="0.000000">
                  <c:v>0.62218797088122824</c:v>
                </c:pt>
                <c:pt idx="48" formatCode="0.000000">
                  <c:v>0.62443656560114058</c:v>
                </c:pt>
                <c:pt idx="49" formatCode="0.000000">
                  <c:v>0.62657680610299116</c:v>
                </c:pt>
                <c:pt idx="50" formatCode="0.000000">
                  <c:v>0.6286136260202726</c:v>
                </c:pt>
                <c:pt idx="51" formatCode="0.000000">
                  <c:v>0.63054476371788759</c:v>
                </c:pt>
                <c:pt idx="52" formatCode="0.000000">
                  <c:v>0.63236790240170604</c:v>
                </c:pt>
              </c:numCache>
            </c:numRef>
          </c:yVal>
          <c:smooth val="1"/>
          <c:extLst>
            <c:ext xmlns:c16="http://schemas.microsoft.com/office/drawing/2014/chart" uri="{C3380CC4-5D6E-409C-BE32-E72D297353CC}">
              <c16:uniqueId val="{00000001-6103-47D6-BFC2-25ABC3B39ADE}"/>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Uso suelo [Mha]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Palma africana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'CC70-Tendencial'!$K$226:$BK$226</c:f>
              <c:numCache>
                <c:formatCode>General</c:formatCode>
                <c:ptCount val="53"/>
                <c:pt idx="0">
                  <c:v>0.26776</c:v>
                </c:pt>
                <c:pt idx="1">
                  <c:v>0.24657399999999999</c:v>
                </c:pt>
                <c:pt idx="2">
                  <c:v>0.25685400000000003</c:v>
                </c:pt>
                <c:pt idx="3">
                  <c:v>0.225575</c:v>
                </c:pt>
                <c:pt idx="4">
                  <c:v>0.19608229763042201</c:v>
                </c:pt>
                <c:pt idx="5">
                  <c:v>0.19511099924301351</c:v>
                </c:pt>
                <c:pt idx="6">
                  <c:v>0.20700004395360647</c:v>
                </c:pt>
                <c:pt idx="7">
                  <c:v>0.20735740370313815</c:v>
                </c:pt>
                <c:pt idx="8">
                  <c:v>0.21980272187213742</c:v>
                </c:pt>
                <c:pt idx="9">
                  <c:v>0.22526784764087152</c:v>
                </c:pt>
                <c:pt idx="10">
                  <c:v>0.23097944200660037</c:v>
                </c:pt>
                <c:pt idx="11">
                  <c:v>0.23606536637810827</c:v>
                </c:pt>
                <c:pt idx="12">
                  <c:v>0.2420122022480948</c:v>
                </c:pt>
                <c:pt idx="13">
                  <c:v>0.23900884612803971</c:v>
                </c:pt>
                <c:pt idx="14">
                  <c:v>0.24345524579475644</c:v>
                </c:pt>
                <c:pt idx="15">
                  <c:v>0.248831394305352</c:v>
                </c:pt>
                <c:pt idx="16">
                  <c:v>0.25275632832567563</c:v>
                </c:pt>
                <c:pt idx="17">
                  <c:v>0.25651061805907333</c:v>
                </c:pt>
                <c:pt idx="18">
                  <c:v>0.26013833765066463</c:v>
                </c:pt>
                <c:pt idx="19">
                  <c:v>0.26327178005196794</c:v>
                </c:pt>
                <c:pt idx="20">
                  <c:v>0.26600559697527043</c:v>
                </c:pt>
                <c:pt idx="21">
                  <c:v>0.26993020757912328</c:v>
                </c:pt>
                <c:pt idx="22">
                  <c:v>0.2735669154185239</c:v>
                </c:pt>
                <c:pt idx="23">
                  <c:v>0.27700395752252843</c:v>
                </c:pt>
                <c:pt idx="24">
                  <c:v>0.28032563241717356</c:v>
                </c:pt>
                <c:pt idx="25">
                  <c:v>0.28320132365910322</c:v>
                </c:pt>
                <c:pt idx="26">
                  <c:v>0.28640914752618374</c:v>
                </c:pt>
                <c:pt idx="27">
                  <c:v>0.28935915818320657</c:v>
                </c:pt>
                <c:pt idx="28">
                  <c:v>0.2927548410651743</c:v>
                </c:pt>
                <c:pt idx="29">
                  <c:v>0.29571966762217616</c:v>
                </c:pt>
                <c:pt idx="30">
                  <c:v>0.29858420323368845</c:v>
                </c:pt>
                <c:pt idx="31">
                  <c:v>0.30144615751939474</c:v>
                </c:pt>
                <c:pt idx="32">
                  <c:v>0.30426888393005319</c:v>
                </c:pt>
                <c:pt idx="33">
                  <c:v>0.3072582942280852</c:v>
                </c:pt>
                <c:pt idx="34">
                  <c:v>0.31004385426114972</c:v>
                </c:pt>
                <c:pt idx="35">
                  <c:v>0.31278153324460695</c:v>
                </c:pt>
                <c:pt idx="36">
                  <c:v>0.31550458290985295</c:v>
                </c:pt>
                <c:pt idx="37">
                  <c:v>0.31818058129748283</c:v>
                </c:pt>
                <c:pt idx="38">
                  <c:v>0.32084243042749988</c:v>
                </c:pt>
                <c:pt idx="39">
                  <c:v>0.32339386166589529</c:v>
                </c:pt>
                <c:pt idx="40">
                  <c:v>0.32590176735275533</c:v>
                </c:pt>
                <c:pt idx="41">
                  <c:v>0.32836345363523728</c:v>
                </c:pt>
                <c:pt idx="42">
                  <c:v>0.33076917223528923</c:v>
                </c:pt>
                <c:pt idx="43">
                  <c:v>0.33311029778162499</c:v>
                </c:pt>
                <c:pt idx="44">
                  <c:v>0.33539130876900064</c:v>
                </c:pt>
                <c:pt idx="45">
                  <c:v>0.33761350229231363</c:v>
                </c:pt>
                <c:pt idx="46">
                  <c:v>0.33977623113398997</c:v>
                </c:pt>
                <c:pt idx="47">
                  <c:v>0.34187405645297092</c:v>
                </c:pt>
                <c:pt idx="48">
                  <c:v>0.34390562140015085</c:v>
                </c:pt>
                <c:pt idx="49">
                  <c:v>0.34586795862969971</c:v>
                </c:pt>
                <c:pt idx="50">
                  <c:v>0.34776336109385747</c:v>
                </c:pt>
                <c:pt idx="51">
                  <c:v>0.34959017264609521</c:v>
                </c:pt>
                <c:pt idx="52">
                  <c:v>0.35134671130824963</c:v>
                </c:pt>
              </c:numCache>
            </c:numRef>
          </c:yVal>
          <c:smooth val="1"/>
          <c:extLst>
            <c:ext xmlns:c16="http://schemas.microsoft.com/office/drawing/2014/chart" uri="{C3380CC4-5D6E-409C-BE32-E72D297353CC}">
              <c16:uniqueId val="{00000000-A9D8-47D6-AF97-2F35DDF2EDCC}"/>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'CC70-Tendencial'!$K$242:$BK$242</c:f>
              <c:numCache>
                <c:formatCode>General</c:formatCode>
                <c:ptCount val="53"/>
                <c:pt idx="0">
                  <c:v>0.26776</c:v>
                </c:pt>
                <c:pt idx="1">
                  <c:v>0.24657399999999999</c:v>
                </c:pt>
                <c:pt idx="2">
                  <c:v>0.25685400000000003</c:v>
                </c:pt>
                <c:pt idx="3">
                  <c:v>0.225575</c:v>
                </c:pt>
                <c:pt idx="4">
                  <c:v>0.19608229763042201</c:v>
                </c:pt>
                <c:pt idx="5" formatCode="0.000000">
                  <c:v>0.1407049658246185</c:v>
                </c:pt>
                <c:pt idx="6" formatCode="0.000000">
                  <c:v>0.14863832600442536</c:v>
                </c:pt>
                <c:pt idx="7" formatCode="0.000000">
                  <c:v>0.14825938555912702</c:v>
                </c:pt>
                <c:pt idx="8" formatCode="0.000000">
                  <c:v>0.15650395295791278</c:v>
                </c:pt>
                <c:pt idx="9" formatCode="0.000000">
                  <c:v>0.15973243497588849</c:v>
                </c:pt>
                <c:pt idx="10" formatCode="0.000000">
                  <c:v>0.16311493696571941</c:v>
                </c:pt>
                <c:pt idx="11" formatCode="0.000000">
                  <c:v>0.16603542083639788</c:v>
                </c:pt>
                <c:pt idx="12" formatCode="0.000000">
                  <c:v>0.16954328961455928</c:v>
                </c:pt>
                <c:pt idx="13" formatCode="0.000000">
                  <c:v>0.16676739351401157</c:v>
                </c:pt>
                <c:pt idx="14" formatCode="0.000000">
                  <c:v>0.16920992621994338</c:v>
                </c:pt>
                <c:pt idx="15" formatCode="0.000000">
                  <c:v>0.17228530962468283</c:v>
                </c:pt>
                <c:pt idx="16" formatCode="0.000000">
                  <c:v>0.17433920949106524</c:v>
                </c:pt>
                <c:pt idx="17" formatCode="0.000000">
                  <c:v>0.17626577796377271</c:v>
                </c:pt>
                <c:pt idx="18" formatCode="0.000000">
                  <c:v>0.17809681851444506</c:v>
                </c:pt>
                <c:pt idx="19" formatCode="0.000000">
                  <c:v>0.17958154565471318</c:v>
                </c:pt>
                <c:pt idx="20" formatCode="0.000000">
                  <c:v>0.18078822209461667</c:v>
                </c:pt>
                <c:pt idx="21" formatCode="0.000000">
                  <c:v>0.18280223582807334</c:v>
                </c:pt>
                <c:pt idx="22" formatCode="0.000000">
                  <c:v>0.18461268902626682</c:v>
                </c:pt>
                <c:pt idx="23" formatCode="0.000000">
                  <c:v>0.18628138298471006</c:v>
                </c:pt>
                <c:pt idx="24" formatCode="0.000000">
                  <c:v>0.18786665845883752</c:v>
                </c:pt>
                <c:pt idx="25" formatCode="0.000000">
                  <c:v>0.18914722190398822</c:v>
                </c:pt>
                <c:pt idx="26" formatCode="0.000000">
                  <c:v>0.19064743904780945</c:v>
                </c:pt>
                <c:pt idx="27" formatCode="0.000000">
                  <c:v>0.19197131339303319</c:v>
                </c:pt>
                <c:pt idx="28" formatCode="0.000000">
                  <c:v>0.19358917557010852</c:v>
                </c:pt>
                <c:pt idx="29" formatCode="0.000000">
                  <c:v>0.19491639099186048</c:v>
                </c:pt>
                <c:pt idx="30" formatCode="0.000000">
                  <c:v>0.19617455668811373</c:v>
                </c:pt>
                <c:pt idx="31" formatCode="0.000000">
                  <c:v>0.19742891702428134</c:v>
                </c:pt>
                <c:pt idx="32" formatCode="0.000000">
                  <c:v>0.19865548548142237</c:v>
                </c:pt>
                <c:pt idx="33" formatCode="0.000000">
                  <c:v>0.19998986731178087</c:v>
                </c:pt>
                <c:pt idx="34" formatCode="0.000000">
                  <c:v>0.20118859735399222</c:v>
                </c:pt>
                <c:pt idx="35" formatCode="0.000000">
                  <c:v>0.20235479185510746</c:v>
                </c:pt>
                <c:pt idx="36" formatCode="0.000000">
                  <c:v>0.20351050064634682</c:v>
                </c:pt>
                <c:pt idx="37" formatCode="0.000000">
                  <c:v>0.20463485692443464</c:v>
                </c:pt>
                <c:pt idx="38" formatCode="0.000000">
                  <c:v>0.20574955550287</c:v>
                </c:pt>
                <c:pt idx="39" formatCode="0.000000">
                  <c:v>0.20679253403183659</c:v>
                </c:pt>
                <c:pt idx="40" formatCode="0.000000">
                  <c:v>0.20780759818322184</c:v>
                </c:pt>
                <c:pt idx="41" formatCode="0.000000">
                  <c:v>0.20879333496962801</c:v>
                </c:pt>
                <c:pt idx="42" formatCode="0.000000">
                  <c:v>0.20974381162922356</c:v>
                </c:pt>
                <c:pt idx="43" formatCode="0.000000">
                  <c:v>0.21065386591021421</c:v>
                </c:pt>
                <c:pt idx="44" formatCode="0.000000">
                  <c:v>0.21152675255097797</c:v>
                </c:pt>
                <c:pt idx="45" formatCode="0.000000">
                  <c:v>0.21236366222602593</c:v>
                </c:pt>
                <c:pt idx="46" formatCode="0.000000">
                  <c:v>0.21316453256381807</c:v>
                </c:pt>
                <c:pt idx="47" formatCode="0.000000">
                  <c:v>0.21392625442745239</c:v>
                </c:pt>
                <c:pt idx="48" formatCode="0.000000">
                  <c:v>0.21464832616370616</c:v>
                </c:pt>
                <c:pt idx="49" formatCode="0.000000">
                  <c:v>0.21532922642600338</c:v>
                </c:pt>
                <c:pt idx="50" formatCode="0.000000">
                  <c:v>0.21597075935134363</c:v>
                </c:pt>
                <c:pt idx="51" formatCode="0.000000">
                  <c:v>0.21657222191774222</c:v>
                </c:pt>
                <c:pt idx="52" formatCode="0.000000">
                  <c:v>0.21713289473299166</c:v>
                </c:pt>
              </c:numCache>
            </c:numRef>
          </c:yVal>
          <c:smooth val="1"/>
          <c:extLst>
            <c:ext xmlns:c16="http://schemas.microsoft.com/office/drawing/2014/chart" uri="{C3380CC4-5D6E-409C-BE32-E72D297353CC}">
              <c16:uniqueId val="{00000001-A9D8-47D6-AF97-2F35DDF2EDCC}"/>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Uso suelo [Mha]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Soya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'CC70-Tendencial'!$K$227:$BK$227</c:f>
              <c:numCache>
                <c:formatCode>General</c:formatCode>
                <c:ptCount val="53"/>
                <c:pt idx="0">
                  <c:v>2.3358380584547072E-2</c:v>
                </c:pt>
                <c:pt idx="1">
                  <c:v>2.7960008202566927E-2</c:v>
                </c:pt>
                <c:pt idx="2">
                  <c:v>2.0921872758601575E-2</c:v>
                </c:pt>
                <c:pt idx="3">
                  <c:v>1.8807754924945446E-2</c:v>
                </c:pt>
                <c:pt idx="4">
                  <c:v>2.2163448591049351E-2</c:v>
                </c:pt>
                <c:pt idx="5">
                  <c:v>2.205366141425651E-2</c:v>
                </c:pt>
                <c:pt idx="6">
                  <c:v>2.3397496295957894E-2</c:v>
                </c:pt>
                <c:pt idx="7">
                  <c:v>2.3437889154124949E-2</c:v>
                </c:pt>
                <c:pt idx="8">
                  <c:v>2.4844600380845464E-2</c:v>
                </c:pt>
                <c:pt idx="9">
                  <c:v>2.5462330973982723E-2</c:v>
                </c:pt>
                <c:pt idx="10">
                  <c:v>2.6107920247606772E-2</c:v>
                </c:pt>
                <c:pt idx="11">
                  <c:v>2.6682789191453705E-2</c:v>
                </c:pt>
                <c:pt idx="12">
                  <c:v>2.7354968132014049E-2</c:v>
                </c:pt>
                <c:pt idx="13">
                  <c:v>2.7015494707988204E-2</c:v>
                </c:pt>
                <c:pt idx="14">
                  <c:v>2.7518077305292724E-2</c:v>
                </c:pt>
                <c:pt idx="15">
                  <c:v>2.812575067801612E-2</c:v>
                </c:pt>
                <c:pt idx="16">
                  <c:v>2.8569391304599675E-2</c:v>
                </c:pt>
                <c:pt idx="17">
                  <c:v>2.8993743775514186E-2</c:v>
                </c:pt>
                <c:pt idx="18">
                  <c:v>2.9403789851282437E-2</c:v>
                </c:pt>
                <c:pt idx="19">
                  <c:v>2.9757967104474342E-2</c:v>
                </c:pt>
                <c:pt idx="20">
                  <c:v>3.0066974146768174E-2</c:v>
                </c:pt>
                <c:pt idx="21">
                  <c:v>3.0510578217148494E-2</c:v>
                </c:pt>
                <c:pt idx="22">
                  <c:v>3.0921640246782303E-2</c:v>
                </c:pt>
                <c:pt idx="23">
                  <c:v>3.1310133786984259E-2</c:v>
                </c:pt>
                <c:pt idx="24">
                  <c:v>3.1685587214720028E-2</c:v>
                </c:pt>
                <c:pt idx="25">
                  <c:v>3.2010630504065649E-2</c:v>
                </c:pt>
                <c:pt idx="26">
                  <c:v>3.237321519542409E-2</c:v>
                </c:pt>
                <c:pt idx="27">
                  <c:v>3.2706658909263095E-2</c:v>
                </c:pt>
                <c:pt idx="28">
                  <c:v>3.309047756038809E-2</c:v>
                </c:pt>
                <c:pt idx="29">
                  <c:v>3.3425595935537594E-2</c:v>
                </c:pt>
                <c:pt idx="30">
                  <c:v>3.3749378288815836E-2</c:v>
                </c:pt>
                <c:pt idx="31">
                  <c:v>3.4072868871330021E-2</c:v>
                </c:pt>
                <c:pt idx="32">
                  <c:v>3.4391925473814054E-2</c:v>
                </c:pt>
                <c:pt idx="33">
                  <c:v>3.4729822582623263E-2</c:v>
                </c:pt>
                <c:pt idx="34">
                  <c:v>3.5044678218936087E-2</c:v>
                </c:pt>
                <c:pt idx="35">
                  <c:v>3.535412179513802E-2</c:v>
                </c:pt>
                <c:pt idx="36">
                  <c:v>3.5661911799620249E-2</c:v>
                </c:pt>
                <c:pt idx="37">
                  <c:v>3.5964383534247475E-2</c:v>
                </c:pt>
                <c:pt idx="38">
                  <c:v>3.6265255959056872E-2</c:v>
                </c:pt>
                <c:pt idx="39">
                  <c:v>3.6553647699510451E-2</c:v>
                </c:pt>
                <c:pt idx="40">
                  <c:v>3.6837119687719647E-2</c:v>
                </c:pt>
                <c:pt idx="41">
                  <c:v>3.7115367433836505E-2</c:v>
                </c:pt>
                <c:pt idx="42">
                  <c:v>3.7387289076744212E-2</c:v>
                </c:pt>
                <c:pt idx="43">
                  <c:v>3.7651909679003795E-2</c:v>
                </c:pt>
                <c:pt idx="44">
                  <c:v>3.7909735450964127E-2</c:v>
                </c:pt>
                <c:pt idx="45">
                  <c:v>3.8160913005024305E-2</c:v>
                </c:pt>
                <c:pt idx="46">
                  <c:v>3.8405369185302338E-2</c:v>
                </c:pt>
                <c:pt idx="47">
                  <c:v>3.8642489232201579E-2</c:v>
                </c:pt>
                <c:pt idx="48">
                  <c:v>3.8872119779223557E-2</c:v>
                </c:pt>
                <c:pt idx="49">
                  <c:v>3.9093925423236274E-2</c:v>
                </c:pt>
                <c:pt idx="50">
                  <c:v>3.9308165339747694E-2</c:v>
                </c:pt>
                <c:pt idx="51">
                  <c:v>3.9514652332264838E-2</c:v>
                </c:pt>
                <c:pt idx="52">
                  <c:v>3.971319628450997E-2</c:v>
                </c:pt>
              </c:numCache>
            </c:numRef>
          </c:yVal>
          <c:smooth val="1"/>
          <c:extLst>
            <c:ext xmlns:c16="http://schemas.microsoft.com/office/drawing/2014/chart" uri="{C3380CC4-5D6E-409C-BE32-E72D297353CC}">
              <c16:uniqueId val="{00000000-B3ED-4DAE-8F64-25DFEA9CA0F0}"/>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'CC70-Tendencial'!$K$243:$BK$243</c:f>
              <c:numCache>
                <c:formatCode>General</c:formatCode>
                <c:ptCount val="53"/>
                <c:pt idx="0">
                  <c:v>2.3358380584547072E-2</c:v>
                </c:pt>
                <c:pt idx="1">
                  <c:v>2.7960008202566927E-2</c:v>
                </c:pt>
                <c:pt idx="2">
                  <c:v>2.0921872758601575E-2</c:v>
                </c:pt>
                <c:pt idx="3">
                  <c:v>1.8807754924945446E-2</c:v>
                </c:pt>
                <c:pt idx="4">
                  <c:v>2.2163448591049351E-2</c:v>
                </c:pt>
                <c:pt idx="5" formatCode="0.000000">
                  <c:v>2.200348772439735E-2</c:v>
                </c:pt>
                <c:pt idx="6" formatCode="0.000000">
                  <c:v>2.3288398274357115E-2</c:v>
                </c:pt>
                <c:pt idx="7" formatCode="0.000000">
                  <c:v>2.3272815860787579E-2</c:v>
                </c:pt>
                <c:pt idx="8" formatCode="0.000000">
                  <c:v>2.4610670759199215E-2</c:v>
                </c:pt>
                <c:pt idx="9" formatCode="0.000000">
                  <c:v>2.5162360612154086E-2</c:v>
                </c:pt>
                <c:pt idx="10" formatCode="0.000000">
                  <c:v>2.5738787073828689E-2</c:v>
                </c:pt>
                <c:pt idx="11" formatCode="0.000000">
                  <c:v>2.6242813132842727E-2</c:v>
                </c:pt>
                <c:pt idx="12" formatCode="0.000000">
                  <c:v>2.6839815337003546E-2</c:v>
                </c:pt>
                <c:pt idx="13" formatCode="0.000000">
                  <c:v>2.6443635649168042E-2</c:v>
                </c:pt>
                <c:pt idx="14" formatCode="0.000000">
                  <c:v>2.6871507794578683E-2</c:v>
                </c:pt>
                <c:pt idx="15" formatCode="0.000000">
                  <c:v>2.7399621271201623E-2</c:v>
                </c:pt>
                <c:pt idx="16" formatCode="0.000000">
                  <c:v>2.7765703923994581E-2</c:v>
                </c:pt>
                <c:pt idx="17" formatCode="0.000000">
                  <c:v>2.8111242068094337E-2</c:v>
                </c:pt>
                <c:pt idx="18" formatCode="0.000000">
                  <c:v>2.8441196160996204E-2</c:v>
                </c:pt>
                <c:pt idx="19" formatCode="0.000000">
                  <c:v>2.8715566327686917E-2</c:v>
                </c:pt>
                <c:pt idx="20" formatCode="0.000000">
                  <c:v>2.8945042882569286E-2</c:v>
                </c:pt>
                <c:pt idx="21" formatCode="0.000000">
                  <c:v>2.9302591022641468E-2</c:v>
                </c:pt>
                <c:pt idx="22" formatCode="0.000000">
                  <c:v>2.9627157384443818E-2</c:v>
                </c:pt>
                <c:pt idx="23" formatCode="0.000000">
                  <c:v>2.9928504928326303E-2</c:v>
                </c:pt>
                <c:pt idx="24" formatCode="0.000000">
                  <c:v>3.0215880636690343E-2</c:v>
                </c:pt>
                <c:pt idx="25" formatCode="0.000000">
                  <c:v>3.0453827203886161E-2</c:v>
                </c:pt>
                <c:pt idx="26" formatCode="0.000000">
                  <c:v>3.0726167609380628E-2</c:v>
                </c:pt>
                <c:pt idx="27" formatCode="0.000000">
                  <c:v>3.096951519286522E-2</c:v>
                </c:pt>
                <c:pt idx="28" formatCode="0.000000">
                  <c:v>3.1259186777528897E-2</c:v>
                </c:pt>
                <c:pt idx="29" formatCode="0.000000">
                  <c:v>3.1501480460676412E-2</c:v>
                </c:pt>
                <c:pt idx="30" formatCode="0.000000">
                  <c:v>3.1731857510598163E-2</c:v>
                </c:pt>
                <c:pt idx="31" formatCode="0.000000">
                  <c:v>3.1960758605366943E-2</c:v>
                </c:pt>
                <c:pt idx="32" formatCode="0.000000">
                  <c:v>3.2184315017312753E-2</c:v>
                </c:pt>
                <c:pt idx="33" formatCode="0.000000">
                  <c:v>3.24242909887721E-2</c:v>
                </c:pt>
                <c:pt idx="34" formatCode="0.000000">
                  <c:v>3.2641558341510758E-2</c:v>
                </c:pt>
                <c:pt idx="35" formatCode="0.000000">
                  <c:v>3.2852655783229816E-2</c:v>
                </c:pt>
                <c:pt idx="36" formatCode="0.000000">
                  <c:v>3.3061108374565044E-2</c:v>
                </c:pt>
                <c:pt idx="37" formatCode="0.000000">
                  <c:v>3.3263542611533595E-2</c:v>
                </c:pt>
                <c:pt idx="38" formatCode="0.000000">
                  <c:v>3.3463429784600131E-2</c:v>
                </c:pt>
                <c:pt idx="39" formatCode="0.000000">
                  <c:v>3.3650768028107583E-2</c:v>
                </c:pt>
                <c:pt idx="40" formatCode="0.000000">
                  <c:v>3.3832587000212785E-2</c:v>
                </c:pt>
                <c:pt idx="41" formatCode="0.000000">
                  <c:v>3.4008644013204505E-2</c:v>
                </c:pt>
                <c:pt idx="42" formatCode="0.000000">
                  <c:v>3.4177969837199229E-2</c:v>
                </c:pt>
                <c:pt idx="43" formatCode="0.000000">
                  <c:v>3.4339720155167307E-2</c:v>
                </c:pt>
                <c:pt idx="44" formatCode="0.000000">
                  <c:v>3.4494406366879997E-2</c:v>
                </c:pt>
                <c:pt idx="45" formatCode="0.000000">
                  <c:v>3.4642208841744682E-2</c:v>
                </c:pt>
                <c:pt idx="46" formatCode="0.000000">
                  <c:v>3.4783107387641198E-2</c:v>
                </c:pt>
                <c:pt idx="47" formatCode="0.000000">
                  <c:v>3.4916592769028247E-2</c:v>
                </c:pt>
                <c:pt idx="48" formatCode="0.000000">
                  <c:v>3.5042576567342353E-2</c:v>
                </c:pt>
                <c:pt idx="49" formatCode="0.000000">
                  <c:v>3.5160807625044796E-2</c:v>
                </c:pt>
                <c:pt idx="50" formatCode="0.000000">
                  <c:v>3.527157079872776E-2</c:v>
                </c:pt>
                <c:pt idx="51" formatCode="0.000000">
                  <c:v>3.537474887140226E-2</c:v>
                </c:pt>
                <c:pt idx="52" formatCode="0.000000">
                  <c:v>3.5470223267857329E-2</c:v>
                </c:pt>
              </c:numCache>
            </c:numRef>
          </c:yVal>
          <c:smooth val="1"/>
          <c:extLst>
            <c:ext xmlns:c16="http://schemas.microsoft.com/office/drawing/2014/chart" uri="{C3380CC4-5D6E-409C-BE32-E72D297353CC}">
              <c16:uniqueId val="{00000001-B3ED-4DAE-8F64-25DFEA9CA0F0}"/>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Uso suelo [Mha]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Raza</a:t>
            </a:r>
            <a:r>
              <a:rPr lang="en-US" baseline="0"/>
              <a:t> mestiza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'CC70-Tendencial'!$K$267:$S$267</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'CC70-Tendencial'!$K$278:$S$278</c:f>
              <c:numCache>
                <c:formatCode>General</c:formatCode>
                <c:ptCount val="9"/>
                <c:pt idx="0">
                  <c:v>35.9</c:v>
                </c:pt>
                <c:pt idx="1">
                  <c:v>35.9</c:v>
                </c:pt>
                <c:pt idx="2">
                  <c:v>35.9</c:v>
                </c:pt>
                <c:pt idx="3">
                  <c:v>35.9</c:v>
                </c:pt>
                <c:pt idx="4">
                  <c:v>35.9</c:v>
                </c:pt>
                <c:pt idx="5">
                  <c:v>35.9</c:v>
                </c:pt>
                <c:pt idx="6">
                  <c:v>35.9</c:v>
                </c:pt>
                <c:pt idx="7">
                  <c:v>35.9</c:v>
                </c:pt>
                <c:pt idx="8">
                  <c:v>35.9</c:v>
                </c:pt>
              </c:numCache>
            </c:numRef>
          </c:yVal>
          <c:smooth val="1"/>
          <c:extLst>
            <c:ext xmlns:c16="http://schemas.microsoft.com/office/drawing/2014/chart" uri="{C3380CC4-5D6E-409C-BE32-E72D297353CC}">
              <c16:uniqueId val="{00000000-62FF-482F-AD2A-3F6DEC55A4D2}"/>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'CC70-Tendencial'!$K$267:$S$267</c:f>
              <c:numCache>
                <c:formatCode>General</c:formatCode>
                <c:ptCount val="9"/>
                <c:pt idx="0">
                  <c:v>2018</c:v>
                </c:pt>
                <c:pt idx="1">
                  <c:v>2020</c:v>
                </c:pt>
                <c:pt idx="2">
                  <c:v>2022</c:v>
                </c:pt>
                <c:pt idx="3">
                  <c:v>2025</c:v>
                </c:pt>
                <c:pt idx="4">
                  <c:v>2030</c:v>
                </c:pt>
                <c:pt idx="5">
                  <c:v>2040</c:v>
                </c:pt>
                <c:pt idx="6">
                  <c:v>2050</c:v>
                </c:pt>
                <c:pt idx="7">
                  <c:v>2060</c:v>
                </c:pt>
                <c:pt idx="8">
                  <c:v>2070</c:v>
                </c:pt>
              </c:numCache>
            </c:numRef>
          </c:xVal>
          <c:yVal>
            <c:numRef>
              <c:f>'CC70-Tendencial'!$K$282:$S$282</c:f>
              <c:numCache>
                <c:formatCode>General</c:formatCode>
                <c:ptCount val="9"/>
                <c:pt idx="0">
                  <c:v>35.9</c:v>
                </c:pt>
                <c:pt idx="1">
                  <c:v>35.9</c:v>
                </c:pt>
                <c:pt idx="2">
                  <c:v>35.9</c:v>
                </c:pt>
                <c:pt idx="3">
                  <c:v>35.9</c:v>
                </c:pt>
                <c:pt idx="4">
                  <c:v>35.9</c:v>
                </c:pt>
                <c:pt idx="5">
                  <c:v>38.4</c:v>
                </c:pt>
                <c:pt idx="6">
                  <c:v>40.9</c:v>
                </c:pt>
                <c:pt idx="7">
                  <c:v>43.4</c:v>
                </c:pt>
                <c:pt idx="8">
                  <c:v>45.900000000000006</c:v>
                </c:pt>
              </c:numCache>
            </c:numRef>
          </c:yVal>
          <c:smooth val="1"/>
          <c:extLst>
            <c:ext xmlns:c16="http://schemas.microsoft.com/office/drawing/2014/chart" uri="{C3380CC4-5D6E-409C-BE32-E72D297353CC}">
              <c16:uniqueId val="{00000001-62FF-482F-AD2A-3F6DEC55A4D2}"/>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 en el hato</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Palmito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'CC70-Tendencial'!$K$228:$BK$228</c:f>
              <c:numCache>
                <c:formatCode>General</c:formatCode>
                <c:ptCount val="53"/>
                <c:pt idx="0">
                  <c:v>6.376215061464699E-3</c:v>
                </c:pt>
                <c:pt idx="1">
                  <c:v>5.2425295496718273E-3</c:v>
                </c:pt>
                <c:pt idx="2">
                  <c:v>7.438902636199618E-3</c:v>
                </c:pt>
                <c:pt idx="3">
                  <c:v>4.3327007360931232E-3</c:v>
                </c:pt>
                <c:pt idx="4">
                  <c:v>3.9575663504758931E-3</c:v>
                </c:pt>
                <c:pt idx="5">
                  <c:v>3.937962450171111E-3</c:v>
                </c:pt>
                <c:pt idx="6">
                  <c:v>4.1779213034411275E-3</c:v>
                </c:pt>
                <c:pt idx="7">
                  <c:v>4.1851339633132935E-3</c:v>
                </c:pt>
                <c:pt idx="8">
                  <c:v>4.4363201897182425E-3</c:v>
                </c:pt>
                <c:pt idx="9">
                  <c:v>4.5466238637614067E-3</c:v>
                </c:pt>
                <c:pt idx="10">
                  <c:v>4.661902060429525E-3</c:v>
                </c:pt>
                <c:pt idx="11">
                  <c:v>4.7645522404660837E-3</c:v>
                </c:pt>
                <c:pt idx="12">
                  <c:v>4.8845783612086139E-3</c:v>
                </c:pt>
                <c:pt idx="13">
                  <c:v>4.8239610527475068E-3</c:v>
                </c:pt>
                <c:pt idx="14">
                  <c:v>4.913703583890895E-3</c:v>
                </c:pt>
                <c:pt idx="15">
                  <c:v>5.0222114129902674E-3</c:v>
                </c:pt>
                <c:pt idx="16">
                  <c:v>5.1014291036965854E-3</c:v>
                </c:pt>
                <c:pt idx="17">
                  <c:v>5.1772026482663049E-3</c:v>
                </c:pt>
                <c:pt idx="18">
                  <c:v>5.2504216035628411E-3</c:v>
                </c:pt>
                <c:pt idx="19">
                  <c:v>5.3136644682090194E-3</c:v>
                </c:pt>
                <c:pt idx="20">
                  <c:v>5.368841615737226E-3</c:v>
                </c:pt>
                <c:pt idx="21">
                  <c:v>5.4480527788673301E-3</c:v>
                </c:pt>
                <c:pt idx="22">
                  <c:v>5.5214531456809169E-3</c:v>
                </c:pt>
                <c:pt idx="23">
                  <c:v>5.5908236209372556E-3</c:v>
                </c:pt>
                <c:pt idx="24">
                  <c:v>5.6578656178392171E-3</c:v>
                </c:pt>
                <c:pt idx="25">
                  <c:v>5.7159062417555563E-3</c:v>
                </c:pt>
                <c:pt idx="26">
                  <c:v>5.7806503616890112E-3</c:v>
                </c:pt>
                <c:pt idx="27">
                  <c:v>5.8401909885118551E-3</c:v>
                </c:pt>
                <c:pt idx="28">
                  <c:v>5.9087267027143264E-3</c:v>
                </c:pt>
                <c:pt idx="29">
                  <c:v>5.968566361667647E-3</c:v>
                </c:pt>
                <c:pt idx="30">
                  <c:v>6.0263818293710509E-3</c:v>
                </c:pt>
                <c:pt idx="31">
                  <c:v>6.0841451976841841E-3</c:v>
                </c:pt>
                <c:pt idx="32">
                  <c:v>6.1411168223255725E-3</c:v>
                </c:pt>
                <c:pt idx="33">
                  <c:v>6.2014526596052659E-3</c:v>
                </c:pt>
                <c:pt idx="34">
                  <c:v>6.2576741481705665E-3</c:v>
                </c:pt>
                <c:pt idx="35">
                  <c:v>6.3129292443942775E-3</c:v>
                </c:pt>
                <c:pt idx="36">
                  <c:v>6.3678890743028606E-3</c:v>
                </c:pt>
                <c:pt idx="37">
                  <c:v>6.421899259315955E-3</c:v>
                </c:pt>
                <c:pt idx="38">
                  <c:v>6.4756238671683907E-3</c:v>
                </c:pt>
                <c:pt idx="39">
                  <c:v>6.5271198896887841E-3</c:v>
                </c:pt>
                <c:pt idx="40">
                  <c:v>6.577737427714535E-3</c:v>
                </c:pt>
                <c:pt idx="41">
                  <c:v>6.6274221107007628E-3</c:v>
                </c:pt>
                <c:pt idx="42">
                  <c:v>6.6759771872953082E-3</c:v>
                </c:pt>
                <c:pt idx="43">
                  <c:v>6.7232285699870848E-3</c:v>
                </c:pt>
                <c:pt idx="44">
                  <c:v>6.7692666490885367E-3</c:v>
                </c:pt>
                <c:pt idx="45">
                  <c:v>6.814117604112966E-3</c:v>
                </c:pt>
                <c:pt idx="46">
                  <c:v>6.8577683721448386E-3</c:v>
                </c:pt>
                <c:pt idx="47">
                  <c:v>6.9001091800194158E-3</c:v>
                </c:pt>
                <c:pt idx="48">
                  <c:v>6.9411126421928329E-3</c:v>
                </c:pt>
                <c:pt idx="49">
                  <c:v>6.9807188681591682E-3</c:v>
                </c:pt>
                <c:pt idx="50">
                  <c:v>7.0189741370100976E-3</c:v>
                </c:pt>
                <c:pt idx="51">
                  <c:v>7.0558450224248708E-3</c:v>
                </c:pt>
                <c:pt idx="52">
                  <c:v>7.0912975767179406E-3</c:v>
                </c:pt>
              </c:numCache>
            </c:numRef>
          </c:yVal>
          <c:smooth val="1"/>
          <c:extLst>
            <c:ext xmlns:c16="http://schemas.microsoft.com/office/drawing/2014/chart" uri="{C3380CC4-5D6E-409C-BE32-E72D297353CC}">
              <c16:uniqueId val="{00000000-EF4C-4854-BD5D-1821A4391587}"/>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'CC70-Tendencial'!$K$244:$BK$244</c:f>
              <c:numCache>
                <c:formatCode>General</c:formatCode>
                <c:ptCount val="53"/>
                <c:pt idx="0">
                  <c:v>6.376215061464699E-3</c:v>
                </c:pt>
                <c:pt idx="1">
                  <c:v>5.2425295496718273E-3</c:v>
                </c:pt>
                <c:pt idx="2">
                  <c:v>7.438902636199618E-3</c:v>
                </c:pt>
                <c:pt idx="3">
                  <c:v>4.3327007360931232E-3</c:v>
                </c:pt>
                <c:pt idx="4">
                  <c:v>3.9575663504758931E-3</c:v>
                </c:pt>
                <c:pt idx="5" formatCode="0.000000">
                  <c:v>3.9235585260457926E-3</c:v>
                </c:pt>
                <c:pt idx="6" formatCode="0.000000">
                  <c:v>4.1889075387032395E-3</c:v>
                </c:pt>
                <c:pt idx="7" formatCode="0.000000">
                  <c:v>4.2158034958889616E-3</c:v>
                </c:pt>
                <c:pt idx="8" formatCode="0.000000">
                  <c:v>4.5040507050575114E-3</c:v>
                </c:pt>
                <c:pt idx="9" formatCode="0.000000">
                  <c:v>4.6467194837151466E-3</c:v>
                </c:pt>
                <c:pt idx="10" formatCode="0.000000">
                  <c:v>4.7982125030713828E-3</c:v>
                </c:pt>
                <c:pt idx="11" formatCode="0.000000">
                  <c:v>4.9387442100093685E-3</c:v>
                </c:pt>
                <c:pt idx="12" formatCode="0.000000">
                  <c:v>5.1028933100309253E-3</c:v>
                </c:pt>
                <c:pt idx="13" formatCode="0.000000">
                  <c:v>5.052958129102815E-3</c:v>
                </c:pt>
                <c:pt idx="14" formatCode="0.000000">
                  <c:v>5.1833529685238015E-3</c:v>
                </c:pt>
                <c:pt idx="15" formatCode="0.000000">
                  <c:v>5.3397292544755124E-3</c:v>
                </c:pt>
                <c:pt idx="16" formatCode="0.000000">
                  <c:v>5.4626639689749719E-3</c:v>
                </c:pt>
                <c:pt idx="17" formatCode="0.000000">
                  <c:v>5.5834498303172038E-3</c:v>
                </c:pt>
                <c:pt idx="18" formatCode="0.000000">
                  <c:v>5.7030791857402971E-3</c:v>
                </c:pt>
                <c:pt idx="19" formatCode="0.000000">
                  <c:v>5.8114004172249659E-3</c:v>
                </c:pt>
                <c:pt idx="20" formatCode="0.000000">
                  <c:v>5.9103404946430514E-3</c:v>
                </c:pt>
                <c:pt idx="21" formatCode="0.000000">
                  <c:v>6.0444080211808655E-3</c:v>
                </c:pt>
                <c:pt idx="22" formatCode="0.000000">
                  <c:v>6.1729491611440309E-3</c:v>
                </c:pt>
                <c:pt idx="23" formatCode="0.000000">
                  <c:v>6.298158675338646E-3</c:v>
                </c:pt>
                <c:pt idx="24" formatCode="0.000000">
                  <c:v>6.4223222202690472E-3</c:v>
                </c:pt>
                <c:pt idx="25" formatCode="0.000000">
                  <c:v>6.535176850315085E-3</c:v>
                </c:pt>
                <c:pt idx="26" formatCode="0.000000">
                  <c:v>6.6603958591838954E-3</c:v>
                </c:pt>
                <c:pt idx="27" formatCode="0.000000">
                  <c:v>6.7798468434469208E-3</c:v>
                </c:pt>
                <c:pt idx="28" formatCode="0.000000">
                  <c:v>6.916051156270444E-3</c:v>
                </c:pt>
                <c:pt idx="29" formatCode="0.000000">
                  <c:v>7.0408675507670762E-3</c:v>
                </c:pt>
                <c:pt idx="30" formatCode="0.000000">
                  <c:v>7.1647744512062491E-3</c:v>
                </c:pt>
                <c:pt idx="31" formatCode="0.000000">
                  <c:v>7.2910503513483969E-3</c:v>
                </c:pt>
                <c:pt idx="32" formatCode="0.000000">
                  <c:v>7.4185013991798733E-3</c:v>
                </c:pt>
                <c:pt idx="33" formatCode="0.000000">
                  <c:v>7.5545543074587778E-3</c:v>
                </c:pt>
                <c:pt idx="34" formatCode="0.000000">
                  <c:v>7.6861435029953106E-3</c:v>
                </c:pt>
                <c:pt idx="35" formatCode="0.000000">
                  <c:v>7.8187890254893099E-3</c:v>
                </c:pt>
                <c:pt idx="36" formatCode="0.000000">
                  <c:v>7.953791918608271E-3</c:v>
                </c:pt>
                <c:pt idx="37" formatCode="0.000000">
                  <c:v>8.0900104290358796E-3</c:v>
                </c:pt>
                <c:pt idx="38" formatCode="0.000000">
                  <c:v>8.2287906746459777E-3</c:v>
                </c:pt>
                <c:pt idx="39" formatCode="0.000000">
                  <c:v>8.3663834097188611E-3</c:v>
                </c:pt>
                <c:pt idx="40" formatCode="0.000000">
                  <c:v>8.5054403328272427E-3</c:v>
                </c:pt>
                <c:pt idx="41" formatCode="0.000000">
                  <c:v>8.6459128975213771E-3</c:v>
                </c:pt>
                <c:pt idx="42" formatCode="0.000000">
                  <c:v>8.7874469456968671E-3</c:v>
                </c:pt>
                <c:pt idx="43" formatCode="0.000000">
                  <c:v>8.9297086940625867E-3</c:v>
                </c:pt>
                <c:pt idx="44" formatCode="0.000000">
                  <c:v>9.07291867429523E-3</c:v>
                </c:pt>
                <c:pt idx="45" formatCode="0.000000">
                  <c:v>9.2171711139581794E-3</c:v>
                </c:pt>
                <c:pt idx="46" formatCode="0.000000">
                  <c:v>9.3624777565843049E-3</c:v>
                </c:pt>
                <c:pt idx="47" formatCode="0.000000">
                  <c:v>9.508625996305772E-3</c:v>
                </c:pt>
                <c:pt idx="48" formatCode="0.000000">
                  <c:v>9.6555812987979273E-3</c:v>
                </c:pt>
                <c:pt idx="49" formatCode="0.000000">
                  <c:v>9.8032277559118343E-3</c:v>
                </c:pt>
                <c:pt idx="50" formatCode="0.000000">
                  <c:v>9.9517013582611519E-3</c:v>
                </c:pt>
                <c:pt idx="51" formatCode="0.000000">
                  <c:v>1.0100948578027456E-2</c:v>
                </c:pt>
                <c:pt idx="52" formatCode="0.000000">
                  <c:v>1.0250909888748836E-2</c:v>
                </c:pt>
              </c:numCache>
            </c:numRef>
          </c:yVal>
          <c:smooth val="1"/>
          <c:extLst>
            <c:ext xmlns:c16="http://schemas.microsoft.com/office/drawing/2014/chart" uri="{C3380CC4-5D6E-409C-BE32-E72D297353CC}">
              <c16:uniqueId val="{00000001-EF4C-4854-BD5D-1821A4391587}"/>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Uso suelo [Mha]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Legumbres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'CC70-Tendencial'!$K$229:$BK$229</c:f>
              <c:numCache>
                <c:formatCode>General</c:formatCode>
                <c:ptCount val="53"/>
                <c:pt idx="0">
                  <c:v>4.5637999999999998E-2</c:v>
                </c:pt>
                <c:pt idx="1">
                  <c:v>4.7366999999999999E-2</c:v>
                </c:pt>
                <c:pt idx="2">
                  <c:v>4.1949E-2</c:v>
                </c:pt>
                <c:pt idx="3">
                  <c:v>5.9409999999999998E-2</c:v>
                </c:pt>
                <c:pt idx="4">
                  <c:v>5.0866617530966163E-2</c:v>
                </c:pt>
                <c:pt idx="5">
                  <c:v>5.0614648515008E-2</c:v>
                </c:pt>
                <c:pt idx="6">
                  <c:v>5.3698840700689837E-2</c:v>
                </c:pt>
                <c:pt idx="7">
                  <c:v>5.3791545049425342E-2</c:v>
                </c:pt>
                <c:pt idx="8">
                  <c:v>5.70200427108861E-2</c:v>
                </c:pt>
                <c:pt idx="9">
                  <c:v>5.8437776313543015E-2</c:v>
                </c:pt>
                <c:pt idx="10">
                  <c:v>5.9919447477153838E-2</c:v>
                </c:pt>
                <c:pt idx="11">
                  <c:v>6.1238810688026245E-2</c:v>
                </c:pt>
                <c:pt idx="12">
                  <c:v>6.2781506940434426E-2</c:v>
                </c:pt>
                <c:pt idx="13">
                  <c:v>6.2002392410901157E-2</c:v>
                </c:pt>
                <c:pt idx="14">
                  <c:v>6.3155853554359348E-2</c:v>
                </c:pt>
                <c:pt idx="15">
                  <c:v>6.4550505154135934E-2</c:v>
                </c:pt>
                <c:pt idx="16">
                  <c:v>6.5568690477639122E-2</c:v>
                </c:pt>
                <c:pt idx="17">
                  <c:v>6.6542608175855375E-2</c:v>
                </c:pt>
                <c:pt idx="18">
                  <c:v>6.7483691727022607E-2</c:v>
                </c:pt>
                <c:pt idx="19">
                  <c:v>6.8296552541632319E-2</c:v>
                </c:pt>
                <c:pt idx="20">
                  <c:v>6.9005744659012602E-2</c:v>
                </c:pt>
                <c:pt idx="21">
                  <c:v>7.0023846083550306E-2</c:v>
                </c:pt>
                <c:pt idx="22">
                  <c:v>7.0967261317735925E-2</c:v>
                </c:pt>
                <c:pt idx="23">
                  <c:v>7.1858880338193085E-2</c:v>
                </c:pt>
                <c:pt idx="24">
                  <c:v>7.2720571416224969E-2</c:v>
                </c:pt>
                <c:pt idx="25">
                  <c:v>7.3466567808087371E-2</c:v>
                </c:pt>
                <c:pt idx="26">
                  <c:v>7.4298724263439794E-2</c:v>
                </c:pt>
                <c:pt idx="27">
                  <c:v>7.5064000199189393E-2</c:v>
                </c:pt>
                <c:pt idx="28">
                  <c:v>7.5944890032187268E-2</c:v>
                </c:pt>
                <c:pt idx="29">
                  <c:v>7.6714009429211652E-2</c:v>
                </c:pt>
                <c:pt idx="30">
                  <c:v>7.7457111887289043E-2</c:v>
                </c:pt>
                <c:pt idx="31">
                  <c:v>7.8199544711676477E-2</c:v>
                </c:pt>
                <c:pt idx="32">
                  <c:v>7.8931801251204317E-2</c:v>
                </c:pt>
                <c:pt idx="33">
                  <c:v>7.9707298030417567E-2</c:v>
                </c:pt>
                <c:pt idx="34">
                  <c:v>8.0429913067693898E-2</c:v>
                </c:pt>
                <c:pt idx="35">
                  <c:v>8.114010705999683E-2</c:v>
                </c:pt>
                <c:pt idx="36">
                  <c:v>8.184650599306606E-2</c:v>
                </c:pt>
                <c:pt idx="37">
                  <c:v>8.2540699136159523E-2</c:v>
                </c:pt>
                <c:pt idx="38">
                  <c:v>8.3231221754763857E-2</c:v>
                </c:pt>
                <c:pt idx="39">
                  <c:v>8.3893100356393843E-2</c:v>
                </c:pt>
                <c:pt idx="40">
                  <c:v>8.454368779298993E-2</c:v>
                </c:pt>
                <c:pt idx="41">
                  <c:v>8.518228523970206E-2</c:v>
                </c:pt>
                <c:pt idx="42">
                  <c:v>8.5806363850544437E-2</c:v>
                </c:pt>
                <c:pt idx="43">
                  <c:v>8.641368607797921E-2</c:v>
                </c:pt>
                <c:pt idx="44">
                  <c:v>8.700541370908571E-2</c:v>
                </c:pt>
                <c:pt idx="45">
                  <c:v>8.7581883229262386E-2</c:v>
                </c:pt>
                <c:pt idx="46">
                  <c:v>8.8142926740799016E-2</c:v>
                </c:pt>
                <c:pt idx="47">
                  <c:v>8.8687133328731335E-2</c:v>
                </c:pt>
                <c:pt idx="48">
                  <c:v>8.9214151006544826E-2</c:v>
                </c:pt>
                <c:pt idx="49">
                  <c:v>8.9723210001306175E-2</c:v>
                </c:pt>
                <c:pt idx="50">
                  <c:v>9.0214905138382151E-2</c:v>
                </c:pt>
                <c:pt idx="51">
                  <c:v>9.0688806789126636E-2</c:v>
                </c:pt>
                <c:pt idx="52">
                  <c:v>9.1144478623789507E-2</c:v>
                </c:pt>
              </c:numCache>
            </c:numRef>
          </c:yVal>
          <c:smooth val="1"/>
          <c:extLst>
            <c:ext xmlns:c16="http://schemas.microsoft.com/office/drawing/2014/chart" uri="{C3380CC4-5D6E-409C-BE32-E72D297353CC}">
              <c16:uniqueId val="{00000000-5DF8-4C63-8A48-365727310690}"/>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'CC70-Tendencial'!$K$245:$BK$245</c:f>
              <c:numCache>
                <c:formatCode>General</c:formatCode>
                <c:ptCount val="53"/>
                <c:pt idx="0">
                  <c:v>4.5637999999999998E-2</c:v>
                </c:pt>
                <c:pt idx="1">
                  <c:v>4.7366999999999999E-2</c:v>
                </c:pt>
                <c:pt idx="2">
                  <c:v>4.1949E-2</c:v>
                </c:pt>
                <c:pt idx="3">
                  <c:v>5.9409999999999998E-2</c:v>
                </c:pt>
                <c:pt idx="4">
                  <c:v>5.0866617530966163E-2</c:v>
                </c:pt>
                <c:pt idx="5" formatCode="0.000000">
                  <c:v>4.4557793603859398E-2</c:v>
                </c:pt>
                <c:pt idx="6" formatCode="0.000000">
                  <c:v>4.7230826358345933E-2</c:v>
                </c:pt>
                <c:pt idx="7" formatCode="0.000000">
                  <c:v>4.726742712341786E-2</c:v>
                </c:pt>
                <c:pt idx="8" formatCode="0.000000">
                  <c:v>5.0063402987943616E-2</c:v>
                </c:pt>
                <c:pt idx="9" formatCode="0.000000">
                  <c:v>5.1263982756287033E-2</c:v>
                </c:pt>
                <c:pt idx="10" formatCode="0.000000">
                  <c:v>5.2519669545230907E-2</c:v>
                </c:pt>
                <c:pt idx="11" formatCode="0.000000">
                  <c:v>5.3631456719670408E-2</c:v>
                </c:pt>
                <c:pt idx="12" formatCode="0.000000">
                  <c:v>5.4938729124067352E-2</c:v>
                </c:pt>
                <c:pt idx="13" formatCode="0.000000">
                  <c:v>5.4202514347745964E-2</c:v>
                </c:pt>
                <c:pt idx="14" formatCode="0.000000">
                  <c:v>5.5165712848991515E-2</c:v>
                </c:pt>
                <c:pt idx="15" formatCode="0.000000">
                  <c:v>5.6340056922194487E-2</c:v>
                </c:pt>
                <c:pt idx="16" formatCode="0.000000">
                  <c:v>5.7182704240860742E-2</c:v>
                </c:pt>
                <c:pt idx="17" formatCode="0.000000">
                  <c:v>5.7985731108936671E-2</c:v>
                </c:pt>
                <c:pt idx="18" formatCode="0.000000">
                  <c:v>5.8759238065201384E-2</c:v>
                </c:pt>
                <c:pt idx="19" formatCode="0.000000">
                  <c:v>5.9419454682164627E-2</c:v>
                </c:pt>
                <c:pt idx="20" formatCode="0.000000">
                  <c:v>5.9988027439823635E-2</c:v>
                </c:pt>
                <c:pt idx="21" formatCode="0.000000">
                  <c:v>6.0827477887844456E-2</c:v>
                </c:pt>
                <c:pt idx="22" formatCode="0.000000">
                  <c:v>6.1600824103536206E-2</c:v>
                </c:pt>
                <c:pt idx="23" formatCode="0.000000">
                  <c:v>6.2328219034447692E-2</c:v>
                </c:pt>
                <c:pt idx="24" formatCode="0.000000">
                  <c:v>6.3028919075908879E-2</c:v>
                </c:pt>
                <c:pt idx="25" formatCode="0.000000">
                  <c:v>6.3627613997549487E-2</c:v>
                </c:pt>
                <c:pt idx="26" formatCode="0.000000">
                  <c:v>6.4301693261680559E-2</c:v>
                </c:pt>
                <c:pt idx="27" formatCode="0.000000">
                  <c:v>6.4916741058391306E-2</c:v>
                </c:pt>
                <c:pt idx="28" formatCode="0.000000">
                  <c:v>6.5633147143792286E-2</c:v>
                </c:pt>
                <c:pt idx="29" formatCode="0.000000">
                  <c:v>6.6251161671731784E-2</c:v>
                </c:pt>
                <c:pt idx="30" formatCode="0.000000">
                  <c:v>6.6846173498339961E-2</c:v>
                </c:pt>
                <c:pt idx="31" formatCode="0.000000">
                  <c:v>6.7440497815231357E-2</c:v>
                </c:pt>
                <c:pt idx="32" formatCode="0.000000">
                  <c:v>6.8025818314987899E-2</c:v>
                </c:pt>
                <c:pt idx="33" formatCode="0.000000">
                  <c:v>6.8649147678298425E-2</c:v>
                </c:pt>
                <c:pt idx="34" formatCode="0.000000">
                  <c:v>6.9226028685391697E-2</c:v>
                </c:pt>
                <c:pt idx="35" formatCode="0.000000">
                  <c:v>6.9792078172181929E-2</c:v>
                </c:pt>
                <c:pt idx="36" formatCode="0.000000">
                  <c:v>7.0354933888513188E-2</c:v>
                </c:pt>
                <c:pt idx="37" formatCode="0.000000">
                  <c:v>7.0907248978267778E-2</c:v>
                </c:pt>
                <c:pt idx="38" formatCode="0.000000">
                  <c:v>7.1456587429190477E-2</c:v>
                </c:pt>
                <c:pt idx="39" formatCode="0.000000">
                  <c:v>7.1981017127107069E-2</c:v>
                </c:pt>
                <c:pt idx="40" formatCode="0.000000">
                  <c:v>7.2495861741871559E-2</c:v>
                </c:pt>
                <c:pt idx="41" formatCode="0.000000">
                  <c:v>7.3000558868626678E-2</c:v>
                </c:pt>
                <c:pt idx="42" formatCode="0.000000">
                  <c:v>7.3492933120044138E-2</c:v>
                </c:pt>
                <c:pt idx="43" formatCode="0.000000">
                  <c:v>7.3971063420300714E-2</c:v>
                </c:pt>
                <c:pt idx="44" formatCode="0.000000">
                  <c:v>7.4436024715870061E-2</c:v>
                </c:pt>
                <c:pt idx="45" formatCode="0.000000">
                  <c:v>7.4888165666683271E-2</c:v>
                </c:pt>
                <c:pt idx="46" formatCode="0.000000">
                  <c:v>7.5327390578222811E-2</c:v>
                </c:pt>
                <c:pt idx="47" formatCode="0.000000">
                  <c:v>7.5752505967867936E-2</c:v>
                </c:pt>
                <c:pt idx="48" formatCode="0.000000">
                  <c:v>7.6163252153125596E-2</c:v>
                </c:pt>
                <c:pt idx="49" formatCode="0.000000">
                  <c:v>7.6558999646648571E-2</c:v>
                </c:pt>
                <c:pt idx="50" formatCode="0.000000">
                  <c:v>7.6940324927387657E-2</c:v>
                </c:pt>
                <c:pt idx="51" formatCode="0.000000">
                  <c:v>7.7306898901878585E-2</c:v>
                </c:pt>
                <c:pt idx="52" formatCode="0.000000">
                  <c:v>7.7658385773350491E-2</c:v>
                </c:pt>
              </c:numCache>
            </c:numRef>
          </c:yVal>
          <c:smooth val="1"/>
          <c:extLst>
            <c:ext xmlns:c16="http://schemas.microsoft.com/office/drawing/2014/chart" uri="{C3380CC4-5D6E-409C-BE32-E72D297353CC}">
              <c16:uniqueId val="{00000001-5DF8-4C63-8A48-365727310690}"/>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Uso suelo [Mha]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Cereales</a:t>
            </a:r>
            <a:r>
              <a:rPr lang="en-US" baseline="0"/>
              <a:t> y pseudocereales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'CC70-Tendencial'!$K$230:$BK$230</c:f>
              <c:numCache>
                <c:formatCode>General</c:formatCode>
                <c:ptCount val="53"/>
                <c:pt idx="0">
                  <c:v>1.5675000000000001E-2</c:v>
                </c:pt>
                <c:pt idx="1">
                  <c:v>1.5810000000000001E-2</c:v>
                </c:pt>
                <c:pt idx="2">
                  <c:v>2.3879000000000001E-2</c:v>
                </c:pt>
                <c:pt idx="3">
                  <c:v>1.9668999999999999E-2</c:v>
                </c:pt>
                <c:pt idx="4">
                  <c:v>1.3838983196032719E-2</c:v>
                </c:pt>
                <c:pt idx="5">
                  <c:v>1.3770431459215481E-2</c:v>
                </c:pt>
                <c:pt idx="6">
                  <c:v>1.4609529592780245E-2</c:v>
                </c:pt>
                <c:pt idx="7">
                  <c:v>1.4634751122864663E-2</c:v>
                </c:pt>
                <c:pt idx="8">
                  <c:v>1.5513109603417985E-2</c:v>
                </c:pt>
                <c:pt idx="9">
                  <c:v>1.5898824094688728E-2</c:v>
                </c:pt>
                <c:pt idx="10">
                  <c:v>1.6301933704302021E-2</c:v>
                </c:pt>
                <c:pt idx="11">
                  <c:v>1.6660885138287417E-2</c:v>
                </c:pt>
                <c:pt idx="12">
                  <c:v>1.7080597486973909E-2</c:v>
                </c:pt>
                <c:pt idx="13">
                  <c:v>1.6868628352689877E-2</c:v>
                </c:pt>
                <c:pt idx="14">
                  <c:v>1.7182443781283627E-2</c:v>
                </c:pt>
                <c:pt idx="15">
                  <c:v>1.7561878486999586E-2</c:v>
                </c:pt>
                <c:pt idx="16">
                  <c:v>1.7838890214265112E-2</c:v>
                </c:pt>
                <c:pt idx="17">
                  <c:v>1.8103858307567729E-2</c:v>
                </c:pt>
                <c:pt idx="18">
                  <c:v>1.8359893406475921E-2</c:v>
                </c:pt>
                <c:pt idx="19">
                  <c:v>1.8581043695213895E-2</c:v>
                </c:pt>
                <c:pt idx="20">
                  <c:v>1.8773989447685244E-2</c:v>
                </c:pt>
                <c:pt idx="21">
                  <c:v>1.9050978349049816E-2</c:v>
                </c:pt>
                <c:pt idx="22">
                  <c:v>1.9307647815322623E-2</c:v>
                </c:pt>
                <c:pt idx="23">
                  <c:v>1.9550225388597631E-2</c:v>
                </c:pt>
                <c:pt idx="24">
                  <c:v>1.9784660641576562E-2</c:v>
                </c:pt>
                <c:pt idx="25">
                  <c:v>1.9987619517798282E-2</c:v>
                </c:pt>
                <c:pt idx="26">
                  <c:v>2.0214019458684493E-2</c:v>
                </c:pt>
                <c:pt idx="27">
                  <c:v>2.0422223607677096E-2</c:v>
                </c:pt>
                <c:pt idx="28">
                  <c:v>2.066188215365752E-2</c:v>
                </c:pt>
                <c:pt idx="29">
                  <c:v>2.0871131970685037E-2</c:v>
                </c:pt>
                <c:pt idx="30">
                  <c:v>2.1073303511263748E-2</c:v>
                </c:pt>
                <c:pt idx="31">
                  <c:v>2.1275292868520024E-2</c:v>
                </c:pt>
                <c:pt idx="32">
                  <c:v>2.1474513623458993E-2</c:v>
                </c:pt>
                <c:pt idx="33">
                  <c:v>2.1685498497567759E-2</c:v>
                </c:pt>
                <c:pt idx="34">
                  <c:v>2.1882096145366531E-2</c:v>
                </c:pt>
                <c:pt idx="35">
                  <c:v>2.2075314472089762E-2</c:v>
                </c:pt>
                <c:pt idx="36">
                  <c:v>2.2267500299238366E-2</c:v>
                </c:pt>
                <c:pt idx="37">
                  <c:v>2.2456365368479961E-2</c:v>
                </c:pt>
                <c:pt idx="38">
                  <c:v>2.2644231819586687E-2</c:v>
                </c:pt>
                <c:pt idx="39">
                  <c:v>2.2824305260487194E-2</c:v>
                </c:pt>
                <c:pt idx="40">
                  <c:v>2.3001306780140472E-2</c:v>
                </c:pt>
                <c:pt idx="41">
                  <c:v>2.3175046253355858E-2</c:v>
                </c:pt>
                <c:pt idx="42">
                  <c:v>2.3344835671793074E-2</c:v>
                </c:pt>
                <c:pt idx="43">
                  <c:v>2.3510066278977254E-2</c:v>
                </c:pt>
                <c:pt idx="44">
                  <c:v>2.367105415552568E-2</c:v>
                </c:pt>
                <c:pt idx="45">
                  <c:v>2.3827890847053154E-2</c:v>
                </c:pt>
                <c:pt idx="46">
                  <c:v>2.3980530674611412E-2</c:v>
                </c:pt>
                <c:pt idx="47">
                  <c:v>2.4128589778816264E-2</c:v>
                </c:pt>
                <c:pt idx="48">
                  <c:v>2.4271972396754899E-2</c:v>
                </c:pt>
                <c:pt idx="49">
                  <c:v>2.4410469100806489E-2</c:v>
                </c:pt>
                <c:pt idx="50">
                  <c:v>2.4544241721630413E-2</c:v>
                </c:pt>
                <c:pt idx="51">
                  <c:v>2.4673173372673114E-2</c:v>
                </c:pt>
                <c:pt idx="52">
                  <c:v>2.4797145344250857E-2</c:v>
                </c:pt>
              </c:numCache>
            </c:numRef>
          </c:yVal>
          <c:smooth val="1"/>
          <c:extLst>
            <c:ext xmlns:c16="http://schemas.microsoft.com/office/drawing/2014/chart" uri="{C3380CC4-5D6E-409C-BE32-E72D297353CC}">
              <c16:uniqueId val="{00000000-544D-4B7F-8B0C-3669313617FD}"/>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'CC70-Tendencial'!$K$246:$BK$246</c:f>
              <c:numCache>
                <c:formatCode>General</c:formatCode>
                <c:ptCount val="53"/>
                <c:pt idx="0">
                  <c:v>1.5675000000000001E-2</c:v>
                </c:pt>
                <c:pt idx="1">
                  <c:v>1.5810000000000001E-2</c:v>
                </c:pt>
                <c:pt idx="2">
                  <c:v>2.3879000000000001E-2</c:v>
                </c:pt>
                <c:pt idx="3">
                  <c:v>1.9668999999999999E-2</c:v>
                </c:pt>
                <c:pt idx="4">
                  <c:v>1.3838983196032719E-2</c:v>
                </c:pt>
                <c:pt idx="5" formatCode="0.000000">
                  <c:v>1.2804467290434315E-2</c:v>
                </c:pt>
                <c:pt idx="6" formatCode="0.000000">
                  <c:v>1.7403829106086555E-2</c:v>
                </c:pt>
                <c:pt idx="7" formatCode="0.000000">
                  <c:v>2.2003190921738795E-2</c:v>
                </c:pt>
                <c:pt idx="8" formatCode="0.000000">
                  <c:v>2.6602552737391039E-2</c:v>
                </c:pt>
                <c:pt idx="9" formatCode="0.000000">
                  <c:v>3.1201914553043279E-2</c:v>
                </c:pt>
                <c:pt idx="10" formatCode="0.000000">
                  <c:v>3.5801276368695518E-2</c:v>
                </c:pt>
                <c:pt idx="11" formatCode="0.000000">
                  <c:v>4.0400638184347762E-2</c:v>
                </c:pt>
                <c:pt idx="12" formatCode="0.000000">
                  <c:v>4.4999999999999998E-2</c:v>
                </c:pt>
                <c:pt idx="13" formatCode="0.000000">
                  <c:v>4.5124999999999998E-2</c:v>
                </c:pt>
                <c:pt idx="14" formatCode="0.000000">
                  <c:v>4.5249999999999999E-2</c:v>
                </c:pt>
                <c:pt idx="15" formatCode="0.000000">
                  <c:v>4.5374999999999999E-2</c:v>
                </c:pt>
                <c:pt idx="16" formatCode="0.000000">
                  <c:v>4.5499999999999999E-2</c:v>
                </c:pt>
                <c:pt idx="17" formatCode="0.000000">
                  <c:v>4.5624999999999999E-2</c:v>
                </c:pt>
                <c:pt idx="18" formatCode="0.000000">
                  <c:v>4.5749999999999999E-2</c:v>
                </c:pt>
                <c:pt idx="19" formatCode="0.000000">
                  <c:v>4.5874999999999999E-2</c:v>
                </c:pt>
                <c:pt idx="20" formatCode="0.000000">
                  <c:v>4.5999999999999999E-2</c:v>
                </c:pt>
                <c:pt idx="21" formatCode="0.000000">
                  <c:v>4.6124999999999999E-2</c:v>
                </c:pt>
                <c:pt idx="22" formatCode="0.000000">
                  <c:v>4.6249999999999999E-2</c:v>
                </c:pt>
                <c:pt idx="23" formatCode="0.000000">
                  <c:v>4.6375E-2</c:v>
                </c:pt>
                <c:pt idx="24" formatCode="0.000000">
                  <c:v>4.65E-2</c:v>
                </c:pt>
                <c:pt idx="25" formatCode="0.000000">
                  <c:v>4.6625E-2</c:v>
                </c:pt>
                <c:pt idx="26" formatCode="0.000000">
                  <c:v>4.675E-2</c:v>
                </c:pt>
                <c:pt idx="27" formatCode="0.000000">
                  <c:v>4.6875E-2</c:v>
                </c:pt>
                <c:pt idx="28" formatCode="0.000000">
                  <c:v>4.7E-2</c:v>
                </c:pt>
                <c:pt idx="29" formatCode="0.000000">
                  <c:v>4.7125E-2</c:v>
                </c:pt>
                <c:pt idx="30" formatCode="0.000000">
                  <c:v>4.725E-2</c:v>
                </c:pt>
                <c:pt idx="31" formatCode="0.000000">
                  <c:v>4.7375E-2</c:v>
                </c:pt>
                <c:pt idx="32" formatCode="0.000000">
                  <c:v>4.7500000000000001E-2</c:v>
                </c:pt>
                <c:pt idx="33" formatCode="0.000000">
                  <c:v>4.7625000000000001E-2</c:v>
                </c:pt>
                <c:pt idx="34" formatCode="0.000000">
                  <c:v>4.7750000000000001E-2</c:v>
                </c:pt>
                <c:pt idx="35" formatCode="0.000000">
                  <c:v>4.7875000000000001E-2</c:v>
                </c:pt>
                <c:pt idx="36" formatCode="0.000000">
                  <c:v>4.8000000000000001E-2</c:v>
                </c:pt>
                <c:pt idx="37" formatCode="0.000000">
                  <c:v>4.8125000000000001E-2</c:v>
                </c:pt>
                <c:pt idx="38" formatCode="0.000000">
                  <c:v>4.8250000000000001E-2</c:v>
                </c:pt>
                <c:pt idx="39" formatCode="0.000000">
                  <c:v>4.8375000000000001E-2</c:v>
                </c:pt>
                <c:pt idx="40" formatCode="0.000000">
                  <c:v>4.8500000000000001E-2</c:v>
                </c:pt>
                <c:pt idx="41" formatCode="0.000000">
                  <c:v>4.8625000000000002E-2</c:v>
                </c:pt>
                <c:pt idx="42" formatCode="0.000000">
                  <c:v>4.8750000000000002E-2</c:v>
                </c:pt>
                <c:pt idx="43" formatCode="0.000000">
                  <c:v>4.8875000000000002E-2</c:v>
                </c:pt>
                <c:pt idx="44" formatCode="0.000000">
                  <c:v>4.9000000000000002E-2</c:v>
                </c:pt>
                <c:pt idx="45" formatCode="0.000000">
                  <c:v>4.9125000000000002E-2</c:v>
                </c:pt>
                <c:pt idx="46" formatCode="0.000000">
                  <c:v>4.9250000000000002E-2</c:v>
                </c:pt>
                <c:pt idx="47" formatCode="0.000000">
                  <c:v>4.9375000000000002E-2</c:v>
                </c:pt>
                <c:pt idx="48" formatCode="0.000000">
                  <c:v>4.9500000000000002E-2</c:v>
                </c:pt>
                <c:pt idx="49" formatCode="0.000000">
                  <c:v>4.9625000000000002E-2</c:v>
                </c:pt>
                <c:pt idx="50" formatCode="0.000000">
                  <c:v>4.9750000000000003E-2</c:v>
                </c:pt>
                <c:pt idx="51" formatCode="0.000000">
                  <c:v>4.9875000000000003E-2</c:v>
                </c:pt>
                <c:pt idx="52" formatCode="0.000000">
                  <c:v>0.05</c:v>
                </c:pt>
              </c:numCache>
            </c:numRef>
          </c:yVal>
          <c:smooth val="1"/>
          <c:extLst>
            <c:ext xmlns:c16="http://schemas.microsoft.com/office/drawing/2014/chart" uri="{C3380CC4-5D6E-409C-BE32-E72D297353CC}">
              <c16:uniqueId val="{00000001-544D-4B7F-8B0C-3669313617FD}"/>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Uso suelo [Mha]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Tubérculos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'CC70-Tendencial'!$K$231:$BK$231</c:f>
              <c:numCache>
                <c:formatCode>General</c:formatCode>
                <c:ptCount val="53"/>
                <c:pt idx="0">
                  <c:v>3.9402E-2</c:v>
                </c:pt>
                <c:pt idx="1">
                  <c:v>3.5994999999999999E-2</c:v>
                </c:pt>
                <c:pt idx="2">
                  <c:v>3.6186000000000003E-2</c:v>
                </c:pt>
                <c:pt idx="3">
                  <c:v>3.9580999999999998E-2</c:v>
                </c:pt>
                <c:pt idx="4">
                  <c:v>3.7412769150859976E-2</c:v>
                </c:pt>
                <c:pt idx="5">
                  <c:v>3.7227444097125605E-2</c:v>
                </c:pt>
                <c:pt idx="6">
                  <c:v>3.9495890002528213E-2</c:v>
                </c:pt>
                <c:pt idx="7">
                  <c:v>3.9564074728914059E-2</c:v>
                </c:pt>
                <c:pt idx="8">
                  <c:v>4.1938658366970805E-2</c:v>
                </c:pt>
                <c:pt idx="9">
                  <c:v>4.2981411798754039E-2</c:v>
                </c:pt>
                <c:pt idx="10">
                  <c:v>4.4071191774155617E-2</c:v>
                </c:pt>
                <c:pt idx="11">
                  <c:v>4.5041593063458119E-2</c:v>
                </c:pt>
                <c:pt idx="12">
                  <c:v>4.6176257437909742E-2</c:v>
                </c:pt>
                <c:pt idx="13">
                  <c:v>4.5603213004244303E-2</c:v>
                </c:pt>
                <c:pt idx="14">
                  <c:v>4.6451592109822082E-2</c:v>
                </c:pt>
                <c:pt idx="15">
                  <c:v>4.7477368559702103E-2</c:v>
                </c:pt>
                <c:pt idx="16">
                  <c:v>4.8226251310512662E-2</c:v>
                </c:pt>
                <c:pt idx="17">
                  <c:v>4.8942574899222283E-2</c:v>
                </c:pt>
                <c:pt idx="18">
                  <c:v>4.9634748732681082E-2</c:v>
                </c:pt>
                <c:pt idx="19">
                  <c:v>5.0232613805786433E-2</c:v>
                </c:pt>
                <c:pt idx="20">
                  <c:v>5.0754229794013013E-2</c:v>
                </c:pt>
                <c:pt idx="21">
                  <c:v>5.1503050836520951E-2</c:v>
                </c:pt>
                <c:pt idx="22">
                  <c:v>5.2196939639889958E-2</c:v>
                </c:pt>
                <c:pt idx="23">
                  <c:v>5.2852731949307279E-2</c:v>
                </c:pt>
                <c:pt idx="24">
                  <c:v>5.3486512038225846E-2</c:v>
                </c:pt>
                <c:pt idx="25">
                  <c:v>5.4035197839461438E-2</c:v>
                </c:pt>
                <c:pt idx="26">
                  <c:v>5.4647254997430415E-2</c:v>
                </c:pt>
                <c:pt idx="27">
                  <c:v>5.52101210441747E-2</c:v>
                </c:pt>
                <c:pt idx="28">
                  <c:v>5.585802195775965E-2</c:v>
                </c:pt>
                <c:pt idx="29">
                  <c:v>5.6423714898376442E-2</c:v>
                </c:pt>
                <c:pt idx="30">
                  <c:v>5.6970272190151564E-2</c:v>
                </c:pt>
                <c:pt idx="31">
                  <c:v>5.7516336961451101E-2</c:v>
                </c:pt>
                <c:pt idx="32">
                  <c:v>5.8054917000823381E-2</c:v>
                </c:pt>
                <c:pt idx="33">
                  <c:v>5.8625300552674023E-2</c:v>
                </c:pt>
                <c:pt idx="34">
                  <c:v>5.9156789196637846E-2</c:v>
                </c:pt>
                <c:pt idx="35">
                  <c:v>5.9679142071196137E-2</c:v>
                </c:pt>
                <c:pt idx="36">
                  <c:v>6.0198703651937059E-2</c:v>
                </c:pt>
                <c:pt idx="37">
                  <c:v>6.0709287784897245E-2</c:v>
                </c:pt>
                <c:pt idx="38">
                  <c:v>6.1217172220255342E-2</c:v>
                </c:pt>
                <c:pt idx="39">
                  <c:v>6.1703988771672429E-2</c:v>
                </c:pt>
                <c:pt idx="40">
                  <c:v>6.2182500588641609E-2</c:v>
                </c:pt>
                <c:pt idx="41">
                  <c:v>6.2652193680375598E-2</c:v>
                </c:pt>
                <c:pt idx="42">
                  <c:v>6.3111208062159904E-2</c:v>
                </c:pt>
                <c:pt idx="43">
                  <c:v>6.3557898001418603E-2</c:v>
                </c:pt>
                <c:pt idx="44">
                  <c:v>6.3993118001044014E-2</c:v>
                </c:pt>
                <c:pt idx="45">
                  <c:v>6.4417115548507195E-2</c:v>
                </c:pt>
                <c:pt idx="46">
                  <c:v>6.4829767153814527E-2</c:v>
                </c:pt>
                <c:pt idx="47">
                  <c:v>6.5230035078692655E-2</c:v>
                </c:pt>
                <c:pt idx="48">
                  <c:v>6.5617660434486275E-2</c:v>
                </c:pt>
                <c:pt idx="49">
                  <c:v>6.5992077047574038E-2</c:v>
                </c:pt>
                <c:pt idx="50">
                  <c:v>6.6353722416362823E-2</c:v>
                </c:pt>
                <c:pt idx="51">
                  <c:v>6.6702280545841777E-2</c:v>
                </c:pt>
                <c:pt idx="52">
                  <c:v>6.7037430512289067E-2</c:v>
                </c:pt>
              </c:numCache>
            </c:numRef>
          </c:yVal>
          <c:smooth val="1"/>
          <c:extLst>
            <c:ext xmlns:c16="http://schemas.microsoft.com/office/drawing/2014/chart" uri="{C3380CC4-5D6E-409C-BE32-E72D297353CC}">
              <c16:uniqueId val="{00000000-0FA5-4506-94DE-5B0164E9E996}"/>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'CC70-Tendencial'!$K$247:$BK$247</c:f>
              <c:numCache>
                <c:formatCode>General</c:formatCode>
                <c:ptCount val="53"/>
                <c:pt idx="0">
                  <c:v>3.9402E-2</c:v>
                </c:pt>
                <c:pt idx="1">
                  <c:v>3.5994999999999999E-2</c:v>
                </c:pt>
                <c:pt idx="2">
                  <c:v>3.6186000000000003E-2</c:v>
                </c:pt>
                <c:pt idx="3">
                  <c:v>3.9580999999999998E-2</c:v>
                </c:pt>
                <c:pt idx="4">
                  <c:v>3.7412769150859976E-2</c:v>
                </c:pt>
                <c:pt idx="5" formatCode="0.000000">
                  <c:v>3.5446846750857929E-2</c:v>
                </c:pt>
                <c:pt idx="6" formatCode="0.000000">
                  <c:v>3.7503847369052837E-2</c:v>
                </c:pt>
                <c:pt idx="7" formatCode="0.000000">
                  <c:v>3.7466211684397975E-2</c:v>
                </c:pt>
                <c:pt idx="8" formatCode="0.000000">
                  <c:v>3.9607378916014964E-2</c:v>
                </c:pt>
                <c:pt idx="9" formatCode="0.000000">
                  <c:v>4.0482795524804487E-2</c:v>
                </c:pt>
                <c:pt idx="10" formatCode="0.000000">
                  <c:v>4.139798329673685E-2</c:v>
                </c:pt>
                <c:pt idx="11" formatCode="0.000000">
                  <c:v>4.2196727656404913E-2</c:v>
                </c:pt>
                <c:pt idx="12" formatCode="0.000000">
                  <c:v>4.3145034225998941E-2</c:v>
                </c:pt>
                <c:pt idx="13" formatCode="0.000000">
                  <c:v>4.2496932053726726E-2</c:v>
                </c:pt>
                <c:pt idx="14" formatCode="0.000000">
                  <c:v>4.3173892949011056E-2</c:v>
                </c:pt>
                <c:pt idx="15" formatCode="0.000000">
                  <c:v>4.4012097646490229E-2</c:v>
                </c:pt>
                <c:pt idx="16" formatCode="0.000000">
                  <c:v>4.4590170817776074E-2</c:v>
                </c:pt>
                <c:pt idx="17" formatCode="0.000000">
                  <c:v>4.5135518976950673E-2</c:v>
                </c:pt>
                <c:pt idx="18" formatCode="0.000000">
                  <c:v>4.565614177766357E-2</c:v>
                </c:pt>
                <c:pt idx="19" formatCode="0.000000">
                  <c:v>4.6087847620310443E-2</c:v>
                </c:pt>
                <c:pt idx="20" formatCode="0.000000">
                  <c:v>4.6447853127519895E-2</c:v>
                </c:pt>
                <c:pt idx="21" formatCode="0.000000">
                  <c:v>4.7013811784894936E-2</c:v>
                </c:pt>
                <c:pt idx="22" formatCode="0.000000">
                  <c:v>4.752719277743845E-2</c:v>
                </c:pt>
                <c:pt idx="23" formatCode="0.000000">
                  <c:v>4.8003696428711294E-2</c:v>
                </c:pt>
                <c:pt idx="24" formatCode="0.000000">
                  <c:v>4.845818484656618E-2</c:v>
                </c:pt>
                <c:pt idx="25" formatCode="0.000000">
                  <c:v>4.8833793523253941E-2</c:v>
                </c:pt>
                <c:pt idx="26" formatCode="0.000000">
                  <c:v>4.9265018757481745E-2</c:v>
                </c:pt>
                <c:pt idx="27" formatCode="0.000000">
                  <c:v>4.9650183446416279E-2</c:v>
                </c:pt>
                <c:pt idx="28" formatCode="0.000000">
                  <c:v>5.0110109258907271E-2</c:v>
                </c:pt>
                <c:pt idx="29" formatCode="0.000000">
                  <c:v>5.049451124262648E-2</c:v>
                </c:pt>
                <c:pt idx="30" formatCode="0.000000">
                  <c:v>5.086028219623303E-2</c:v>
                </c:pt>
                <c:pt idx="31" formatCode="0.000000">
                  <c:v>5.1224176731378038E-2</c:v>
                </c:pt>
                <c:pt idx="32" formatCode="0.000000">
                  <c:v>5.1579999011932331E-2</c:v>
                </c:pt>
                <c:pt idx="33" formatCode="0.000000">
                  <c:v>5.1962660178793321E-2</c:v>
                </c:pt>
                <c:pt idx="34" formatCode="0.000000">
                  <c:v>5.2309419790977578E-2</c:v>
                </c:pt>
                <c:pt idx="35" formatCode="0.000000">
                  <c:v>5.2646808368298569E-2</c:v>
                </c:pt>
                <c:pt idx="36" formatCode="0.000000">
                  <c:v>5.2980486204926625E-2</c:v>
                </c:pt>
                <c:pt idx="37" formatCode="0.000000">
                  <c:v>5.3305049980655647E-2</c:v>
                </c:pt>
                <c:pt idx="38" formatCode="0.000000">
                  <c:v>5.3626073160088328E-2</c:v>
                </c:pt>
                <c:pt idx="39" formatCode="0.000000">
                  <c:v>5.3927519849847928E-2</c:v>
                </c:pt>
                <c:pt idx="40" formatCode="0.000000">
                  <c:v>5.422066890231627E-2</c:v>
                </c:pt>
                <c:pt idx="41" formatCode="0.000000">
                  <c:v>5.4505135365580736E-2</c:v>
                </c:pt>
                <c:pt idx="42" formatCode="0.000000">
                  <c:v>5.4779368065683474E-2</c:v>
                </c:pt>
                <c:pt idx="43" formatCode="0.000000">
                  <c:v>5.5042015127723873E-2</c:v>
                </c:pt>
                <c:pt idx="44" formatCode="0.000000">
                  <c:v>5.5293898875898952E-2</c:v>
                </c:pt>
                <c:pt idx="45" formatCode="0.000000">
                  <c:v>5.5535310084038635E-2</c:v>
                </c:pt>
                <c:pt idx="46" formatCode="0.000000">
                  <c:v>5.5766217135794625E-2</c:v>
                </c:pt>
                <c:pt idx="47" formatCode="0.000000">
                  <c:v>5.5985802775975584E-2</c:v>
                </c:pt>
                <c:pt idx="48" formatCode="0.000000">
                  <c:v>5.6193924262459435E-2</c:v>
                </c:pt>
                <c:pt idx="49" formatCode="0.000000">
                  <c:v>5.6390176812018987E-2</c:v>
                </c:pt>
                <c:pt idx="50" formatCode="0.000000">
                  <c:v>5.6575015529470044E-2</c:v>
                </c:pt>
                <c:pt idx="51" formatCode="0.000000">
                  <c:v>5.6748249353532433E-2</c:v>
                </c:pt>
                <c:pt idx="52" formatCode="0.000000">
                  <c:v>5.6909684268669977E-2</c:v>
                </c:pt>
              </c:numCache>
            </c:numRef>
          </c:yVal>
          <c:smooth val="1"/>
          <c:extLst>
            <c:ext xmlns:c16="http://schemas.microsoft.com/office/drawing/2014/chart" uri="{C3380CC4-5D6E-409C-BE32-E72D297353CC}">
              <c16:uniqueId val="{00000001-0FA5-4506-94DE-5B0164E9E996}"/>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Uso suelo [Mha]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Fruta fresca</a:t>
            </a:r>
          </a:p>
        </c:rich>
      </c:tx>
      <c:layout>
        <c:manualLayout>
          <c:xMode val="edge"/>
          <c:yMode val="edge"/>
          <c:x val="0.36960320442327804"/>
          <c:y val="3.27241713097484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'CC70-Tendencial'!$K$232:$BK$232</c:f>
              <c:numCache>
                <c:formatCode>General</c:formatCode>
                <c:ptCount val="53"/>
                <c:pt idx="0">
                  <c:v>0.16350400000000001</c:v>
                </c:pt>
                <c:pt idx="1">
                  <c:v>0.195711</c:v>
                </c:pt>
                <c:pt idx="2">
                  <c:v>0.186835</c:v>
                </c:pt>
                <c:pt idx="3">
                  <c:v>0.17084299999999999</c:v>
                </c:pt>
                <c:pt idx="4">
                  <c:v>0.17689230288687302</c:v>
                </c:pt>
                <c:pt idx="5">
                  <c:v>0.17601606260095576</c:v>
                </c:pt>
                <c:pt idx="6">
                  <c:v>0.18674156165618253</c:v>
                </c:pt>
                <c:pt idx="7">
                  <c:v>0.18706394766357665</c:v>
                </c:pt>
                <c:pt idx="8">
                  <c:v>0.19829127933848134</c:v>
                </c:pt>
                <c:pt idx="9">
                  <c:v>0.20322154940610307</c:v>
                </c:pt>
                <c:pt idx="10">
                  <c:v>0.20837416691782645</c:v>
                </c:pt>
                <c:pt idx="11">
                  <c:v>0.21296234690784369</c:v>
                </c:pt>
                <c:pt idx="12">
                  <c:v>0.21832718353330444</c:v>
                </c:pt>
                <c:pt idx="13">
                  <c:v>0.21561775699717076</c:v>
                </c:pt>
                <c:pt idx="14">
                  <c:v>0.21962900067447311</c:v>
                </c:pt>
                <c:pt idx="15">
                  <c:v>0.22447900142514535</c:v>
                </c:pt>
                <c:pt idx="16">
                  <c:v>0.22801981375713204</c:v>
                </c:pt>
                <c:pt idx="17">
                  <c:v>0.23140668225403724</c:v>
                </c:pt>
                <c:pt idx="18">
                  <c:v>0.23467936765470471</c:v>
                </c:pt>
                <c:pt idx="19">
                  <c:v>0.2375061493123464</c:v>
                </c:pt>
                <c:pt idx="20">
                  <c:v>0.23997241565600971</c:v>
                </c:pt>
                <c:pt idx="21">
                  <c:v>0.24351293622333944</c:v>
                </c:pt>
                <c:pt idx="22">
                  <c:v>0.24679373021857726</c:v>
                </c:pt>
                <c:pt idx="23">
                  <c:v>0.24989439917362208</c:v>
                </c:pt>
                <c:pt idx="24">
                  <c:v>0.25289099156699951</c:v>
                </c:pt>
                <c:pt idx="25">
                  <c:v>0.25548524740918332</c:v>
                </c:pt>
                <c:pt idx="26">
                  <c:v>0.25837913103845855</c:v>
                </c:pt>
                <c:pt idx="27">
                  <c:v>0.26104043287430884</c:v>
                </c:pt>
                <c:pt idx="28">
                  <c:v>0.26410379031209735</c:v>
                </c:pt>
                <c:pt idx="29">
                  <c:v>0.2667784580595996</c:v>
                </c:pt>
                <c:pt idx="30">
                  <c:v>0.26936265003993293</c:v>
                </c:pt>
                <c:pt idx="31">
                  <c:v>0.27194451332118508</c:v>
                </c:pt>
                <c:pt idx="32">
                  <c:v>0.27449098784354148</c:v>
                </c:pt>
                <c:pt idx="33">
                  <c:v>0.27718783339402209</c:v>
                </c:pt>
                <c:pt idx="34">
                  <c:v>0.27970077890227568</c:v>
                </c:pt>
                <c:pt idx="35">
                  <c:v>0.28217052933768472</c:v>
                </c:pt>
                <c:pt idx="36">
                  <c:v>0.28462708218300364</c:v>
                </c:pt>
                <c:pt idx="37">
                  <c:v>0.28704118852013771</c:v>
                </c:pt>
                <c:pt idx="38">
                  <c:v>0.28944253034566864</c:v>
                </c:pt>
                <c:pt idx="39">
                  <c:v>0.29174426055217578</c:v>
                </c:pt>
                <c:pt idx="40">
                  <c:v>0.29400672492419122</c:v>
                </c:pt>
                <c:pt idx="41">
                  <c:v>0.29622749324828546</c:v>
                </c:pt>
                <c:pt idx="42">
                  <c:v>0.29839777128155831</c:v>
                </c:pt>
                <c:pt idx="43">
                  <c:v>0.30050977779231008</c:v>
                </c:pt>
                <c:pt idx="44">
                  <c:v>0.30256755297825599</c:v>
                </c:pt>
                <c:pt idx="45">
                  <c:v>0.30457226699145074</c:v>
                </c:pt>
                <c:pt idx="46">
                  <c:v>0.30652333595559078</c:v>
                </c:pt>
                <c:pt idx="47">
                  <c:v>0.30841585331291166</c:v>
                </c:pt>
                <c:pt idx="48">
                  <c:v>0.31024859500511809</c:v>
                </c:pt>
                <c:pt idx="49">
                  <c:v>0.31201888409174339</c:v>
                </c:pt>
                <c:pt idx="50">
                  <c:v>0.31372878912057095</c:v>
                </c:pt>
                <c:pt idx="51">
                  <c:v>0.31537681602723622</c:v>
                </c:pt>
                <c:pt idx="52">
                  <c:v>0.31696144744380589</c:v>
                </c:pt>
              </c:numCache>
            </c:numRef>
          </c:yVal>
          <c:smooth val="1"/>
          <c:extLst>
            <c:ext xmlns:c16="http://schemas.microsoft.com/office/drawing/2014/chart" uri="{C3380CC4-5D6E-409C-BE32-E72D297353CC}">
              <c16:uniqueId val="{00000000-7E95-4CC8-A8F1-310937FA7DA9}"/>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'CC70-Tendencial'!$K$248:$BK$248</c:f>
              <c:numCache>
                <c:formatCode>General</c:formatCode>
                <c:ptCount val="53"/>
                <c:pt idx="0">
                  <c:v>0.16350400000000001</c:v>
                </c:pt>
                <c:pt idx="1">
                  <c:v>0.195711</c:v>
                </c:pt>
                <c:pt idx="2">
                  <c:v>0.186835</c:v>
                </c:pt>
                <c:pt idx="3">
                  <c:v>0.17084299999999999</c:v>
                </c:pt>
                <c:pt idx="4">
                  <c:v>0.17689230288687302</c:v>
                </c:pt>
                <c:pt idx="5" formatCode="0.000000">
                  <c:v>0.14541205997338172</c:v>
                </c:pt>
                <c:pt idx="6" formatCode="0.000000">
                  <c:v>0.15395453274484105</c:v>
                </c:pt>
                <c:pt idx="7" formatCode="0.000000">
                  <c:v>0.15388230683150206</c:v>
                </c:pt>
                <c:pt idx="8" formatCode="0.000000">
                  <c:v>0.16281740440943268</c:v>
                </c:pt>
                <c:pt idx="9" formatCode="0.000000">
                  <c:v>0.16654283840487227</c:v>
                </c:pt>
                <c:pt idx="10" formatCode="0.000000">
                  <c:v>0.1704475569512745</c:v>
                </c:pt>
                <c:pt idx="11" formatCode="0.000000">
                  <c:v>0.17388243137901144</c:v>
                </c:pt>
                <c:pt idx="12" formatCode="0.000000">
                  <c:v>0.1779556938355428</c:v>
                </c:pt>
                <c:pt idx="13" formatCode="0.000000">
                  <c:v>0.17535823819238733</c:v>
                </c:pt>
                <c:pt idx="14" formatCode="0.000000">
                  <c:v>0.1783094073660203</c:v>
                </c:pt>
                <c:pt idx="15" formatCode="0.000000">
                  <c:v>0.18195027752135387</c:v>
                </c:pt>
                <c:pt idx="16" formatCode="0.000000">
                  <c:v>0.18451039676099074</c:v>
                </c:pt>
                <c:pt idx="17" formatCode="0.000000">
                  <c:v>0.18694271570145096</c:v>
                </c:pt>
                <c:pt idx="18" formatCode="0.000000">
                  <c:v>0.1892803930892778</c:v>
                </c:pt>
                <c:pt idx="19" formatCode="0.000000">
                  <c:v>0.19125020787977379</c:v>
                </c:pt>
                <c:pt idx="20" formatCode="0.000000">
                  <c:v>0.19292291137968343</c:v>
                </c:pt>
                <c:pt idx="21" formatCode="0.000000">
                  <c:v>0.19548201592199632</c:v>
                </c:pt>
                <c:pt idx="22" formatCode="0.000000">
                  <c:v>0.1978279370309694</c:v>
                </c:pt>
                <c:pt idx="23" formatCode="0.000000">
                  <c:v>0.20002654934125369</c:v>
                </c:pt>
                <c:pt idx="24" formatCode="0.000000">
                  <c:v>0.20214086127196437</c:v>
                </c:pt>
                <c:pt idx="25" formatCode="0.000000">
                  <c:v>0.20392488554308533</c:v>
                </c:pt>
                <c:pt idx="26" formatCode="0.000000">
                  <c:v>0.20595843293712535</c:v>
                </c:pt>
                <c:pt idx="27" formatCode="0.000000">
                  <c:v>0.20780237350212657</c:v>
                </c:pt>
                <c:pt idx="28" formatCode="0.000000">
                  <c:v>0.20998137274649487</c:v>
                </c:pt>
                <c:pt idx="29" formatCode="0.000000">
                  <c:v>0.21184230536488802</c:v>
                </c:pt>
                <c:pt idx="30" formatCode="0.000000">
                  <c:v>0.21363181466561235</c:v>
                </c:pt>
                <c:pt idx="31" formatCode="0.000000">
                  <c:v>0.21542306968672237</c:v>
                </c:pt>
                <c:pt idx="32" formatCode="0.000000">
                  <c:v>0.21718897774364315</c:v>
                </c:pt>
                <c:pt idx="33" formatCode="0.000000">
                  <c:v>0.21908382719111813</c:v>
                </c:pt>
                <c:pt idx="34" formatCode="0.000000">
                  <c:v>0.2208309717086889</c:v>
                </c:pt>
                <c:pt idx="35" formatCode="0.000000">
                  <c:v>0.22254727141164046</c:v>
                </c:pt>
                <c:pt idx="36" formatCode="0.000000">
                  <c:v>0.22425795429955178</c:v>
                </c:pt>
                <c:pt idx="37" formatCode="0.000000">
                  <c:v>0.22593906668473038</c:v>
                </c:pt>
                <c:pt idx="38" formatCode="0.000000">
                  <c:v>0.22761562582846076</c:v>
                </c:pt>
                <c:pt idx="39" formatCode="0.000000">
                  <c:v>0.22921565978441297</c:v>
                </c:pt>
                <c:pt idx="40" formatCode="0.000000">
                  <c:v>0.23078967104324269</c:v>
                </c:pt>
                <c:pt idx="41" formatCode="0.000000">
                  <c:v>0.23233595235801638</c:v>
                </c:pt>
                <c:pt idx="42" formatCode="0.000000">
                  <c:v>0.23384747141837051</c:v>
                </c:pt>
                <c:pt idx="43" formatCode="0.000000">
                  <c:v>0.23531801200031385</c:v>
                </c:pt>
                <c:pt idx="44" formatCode="0.000000">
                  <c:v>0.23675123011277877</c:v>
                </c:pt>
                <c:pt idx="45" formatCode="0.000000">
                  <c:v>0.23814838942269168</c:v>
                </c:pt>
                <c:pt idx="46" formatCode="0.000000">
                  <c:v>0.23950928472073985</c:v>
                </c:pt>
                <c:pt idx="47" formatCode="0.000000">
                  <c:v>0.24083007244747248</c:v>
                </c:pt>
                <c:pt idx="48" formatCode="0.000000">
                  <c:v>0.24210998671966091</c:v>
                </c:pt>
                <c:pt idx="49" formatCode="0.000000">
                  <c:v>0.24334702859539853</c:v>
                </c:pt>
                <c:pt idx="50" formatCode="0.000000">
                  <c:v>0.24454319145319472</c:v>
                </c:pt>
                <c:pt idx="51" formatCode="0.000000">
                  <c:v>0.24569746281473037</c:v>
                </c:pt>
                <c:pt idx="52" formatCode="0.000000">
                  <c:v>0.24680879993116997</c:v>
                </c:pt>
              </c:numCache>
            </c:numRef>
          </c:yVal>
          <c:smooth val="1"/>
          <c:extLst>
            <c:ext xmlns:c16="http://schemas.microsoft.com/office/drawing/2014/chart" uri="{C3380CC4-5D6E-409C-BE32-E72D297353CC}">
              <c16:uniqueId val="{00000001-7E95-4CC8-A8F1-310937FA7DA9}"/>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Uso suelo [Mha]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Verduras</a:t>
            </a:r>
          </a:p>
        </c:rich>
      </c:tx>
      <c:layout>
        <c:manualLayout>
          <c:xMode val="edge"/>
          <c:yMode val="edge"/>
          <c:x val="0.36960320442327804"/>
          <c:y val="3.27241713097484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'CC70-Tendencial'!$K$233:$BK$233</c:f>
              <c:numCache>
                <c:formatCode>General</c:formatCode>
                <c:ptCount val="53"/>
                <c:pt idx="0">
                  <c:v>2.2915999999999999E-2</c:v>
                </c:pt>
                <c:pt idx="1">
                  <c:v>1.8966E-2</c:v>
                </c:pt>
                <c:pt idx="2">
                  <c:v>1.7247999999999999E-2</c:v>
                </c:pt>
                <c:pt idx="3">
                  <c:v>1.3710999999999999E-2</c:v>
                </c:pt>
                <c:pt idx="4">
                  <c:v>1.5923912236602625E-2</c:v>
                </c:pt>
                <c:pt idx="5">
                  <c:v>1.5845032753530681E-2</c:v>
                </c:pt>
                <c:pt idx="6">
                  <c:v>1.6810546248814989E-2</c:v>
                </c:pt>
                <c:pt idx="7">
                  <c:v>1.6839567559546274E-2</c:v>
                </c:pt>
                <c:pt idx="8">
                  <c:v>1.7850256217699742E-2</c:v>
                </c:pt>
                <c:pt idx="9">
                  <c:v>1.8294081000227256E-2</c:v>
                </c:pt>
                <c:pt idx="10">
                  <c:v>1.8757921584053774E-2</c:v>
                </c:pt>
                <c:pt idx="11">
                  <c:v>1.9170951287971957E-2</c:v>
                </c:pt>
                <c:pt idx="12">
                  <c:v>1.9653895916954385E-2</c:v>
                </c:pt>
                <c:pt idx="13">
                  <c:v>1.9409992311942768E-2</c:v>
                </c:pt>
                <c:pt idx="14">
                  <c:v>1.9771085990042708E-2</c:v>
                </c:pt>
                <c:pt idx="15">
                  <c:v>2.0207684898196177E-2</c:v>
                </c:pt>
                <c:pt idx="16">
                  <c:v>2.0526430168061847E-2</c:v>
                </c:pt>
                <c:pt idx="17">
                  <c:v>2.0831317355471713E-2</c:v>
                </c:pt>
                <c:pt idx="18">
                  <c:v>2.1125925737225708E-2</c:v>
                </c:pt>
                <c:pt idx="19">
                  <c:v>2.138039369481181E-2</c:v>
                </c:pt>
                <c:pt idx="20">
                  <c:v>2.1602407927017817E-2</c:v>
                </c:pt>
                <c:pt idx="21">
                  <c:v>2.1921126932118343E-2</c:v>
                </c:pt>
                <c:pt idx="22">
                  <c:v>2.221646525263278E-2</c:v>
                </c:pt>
                <c:pt idx="23">
                  <c:v>2.2495588648671492E-2</c:v>
                </c:pt>
                <c:pt idx="24">
                  <c:v>2.2765343033131789E-2</c:v>
                </c:pt>
                <c:pt idx="25">
                  <c:v>2.29988789285667E-2</c:v>
                </c:pt>
                <c:pt idx="26">
                  <c:v>2.3259387431104485E-2</c:v>
                </c:pt>
                <c:pt idx="27">
                  <c:v>2.3498958832333237E-2</c:v>
                </c:pt>
                <c:pt idx="28">
                  <c:v>2.377472343142879E-2</c:v>
                </c:pt>
                <c:pt idx="29">
                  <c:v>2.4015498037096822E-2</c:v>
                </c:pt>
                <c:pt idx="30">
                  <c:v>2.4248127979868705E-2</c:v>
                </c:pt>
                <c:pt idx="31">
                  <c:v>2.448054829226556E-2</c:v>
                </c:pt>
                <c:pt idx="32">
                  <c:v>2.4709782895156563E-2</c:v>
                </c:pt>
                <c:pt idx="33">
                  <c:v>2.4952553955065196E-2</c:v>
                </c:pt>
                <c:pt idx="34">
                  <c:v>2.5178770263382388E-2</c:v>
                </c:pt>
                <c:pt idx="35">
                  <c:v>2.5401098134849559E-2</c:v>
                </c:pt>
                <c:pt idx="36">
                  <c:v>2.5622237954248329E-2</c:v>
                </c:pt>
                <c:pt idx="37">
                  <c:v>2.5839556722871821E-2</c:v>
                </c:pt>
                <c:pt idx="38">
                  <c:v>2.6055726425316658E-2</c:v>
                </c:pt>
                <c:pt idx="39">
                  <c:v>2.6262929052014314E-2</c:v>
                </c:pt>
                <c:pt idx="40">
                  <c:v>2.6466596953389619E-2</c:v>
                </c:pt>
                <c:pt idx="41">
                  <c:v>2.6666511360707384E-2</c:v>
                </c:pt>
                <c:pt idx="42">
                  <c:v>2.6861880612884314E-2</c:v>
                </c:pt>
                <c:pt idx="43">
                  <c:v>2.7052004240489824E-2</c:v>
                </c:pt>
                <c:pt idx="44">
                  <c:v>2.7237245943655491E-2</c:v>
                </c:pt>
                <c:pt idx="45">
                  <c:v>2.7417711059913349E-2</c:v>
                </c:pt>
                <c:pt idx="46">
                  <c:v>2.7593347028496983E-2</c:v>
                </c:pt>
                <c:pt idx="47">
                  <c:v>2.7763712159214388E-2</c:v>
                </c:pt>
                <c:pt idx="48">
                  <c:v>2.7928696261873293E-2</c:v>
                </c:pt>
                <c:pt idx="49">
                  <c:v>2.8088058357276985E-2</c:v>
                </c:pt>
                <c:pt idx="50">
                  <c:v>2.8241984656881939E-2</c:v>
                </c:pt>
                <c:pt idx="51">
                  <c:v>2.8390340664447063E-2</c:v>
                </c:pt>
                <c:pt idx="52">
                  <c:v>2.8532989785935159E-2</c:v>
                </c:pt>
              </c:numCache>
            </c:numRef>
          </c:yVal>
          <c:smooth val="1"/>
          <c:extLst>
            <c:ext xmlns:c16="http://schemas.microsoft.com/office/drawing/2014/chart" uri="{C3380CC4-5D6E-409C-BE32-E72D297353CC}">
              <c16:uniqueId val="{00000000-96DB-4E97-AC8D-85A18403CFD9}"/>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'CC70-Tendencial'!$K$249:$BK$249</c:f>
              <c:numCache>
                <c:formatCode>General</c:formatCode>
                <c:ptCount val="53"/>
                <c:pt idx="0">
                  <c:v>2.2915999999999999E-2</c:v>
                </c:pt>
                <c:pt idx="1">
                  <c:v>1.8966E-2</c:v>
                </c:pt>
                <c:pt idx="2">
                  <c:v>1.7247999999999999E-2</c:v>
                </c:pt>
                <c:pt idx="3">
                  <c:v>1.3710999999999999E-2</c:v>
                </c:pt>
                <c:pt idx="4">
                  <c:v>1.5923912236602625E-2</c:v>
                </c:pt>
                <c:pt idx="5" formatCode="0.000000">
                  <c:v>1.530548786697831E-2</c:v>
                </c:pt>
                <c:pt idx="6" formatCode="0.000000">
                  <c:v>1.6223030380731057E-2</c:v>
                </c:pt>
                <c:pt idx="7" formatCode="0.000000">
                  <c:v>1.6227869423244199E-2</c:v>
                </c:pt>
                <c:pt idx="8" formatCode="0.000000">
                  <c:v>1.7196034821123741E-2</c:v>
                </c:pt>
                <c:pt idx="9" formatCode="0.000000">
                  <c:v>1.7611140107276716E-2</c:v>
                </c:pt>
                <c:pt idx="10" formatCode="0.000000">
                  <c:v>1.8048056184248613E-2</c:v>
                </c:pt>
                <c:pt idx="11" formatCode="0.000000">
                  <c:v>1.8436563833689391E-2</c:v>
                </c:pt>
                <c:pt idx="12" formatCode="0.000000">
                  <c:v>1.88971119841445E-2</c:v>
                </c:pt>
                <c:pt idx="13" formatCode="0.000000">
                  <c:v>1.8627628734595562E-2</c:v>
                </c:pt>
                <c:pt idx="14" formatCode="0.000000">
                  <c:v>1.8966725475932821E-2</c:v>
                </c:pt>
                <c:pt idx="15" formatCode="0.000000">
                  <c:v>1.938393160695185E-2</c:v>
                </c:pt>
                <c:pt idx="16" formatCode="0.000000">
                  <c:v>1.9683687703529917E-2</c:v>
                </c:pt>
                <c:pt idx="17" formatCode="0.000000">
                  <c:v>1.9970718766427423E-2</c:v>
                </c:pt>
                <c:pt idx="18" formatCode="0.000000">
                  <c:v>2.0248588464316066E-2</c:v>
                </c:pt>
                <c:pt idx="19" formatCode="0.000000">
                  <c:v>2.0486396020889322E-2</c:v>
                </c:pt>
                <c:pt idx="20" formatCode="0.000000">
                  <c:v>2.06916389288298E-2</c:v>
                </c:pt>
                <c:pt idx="21" formatCode="0.000000">
                  <c:v>2.099847467823477E-2</c:v>
                </c:pt>
                <c:pt idx="22" formatCode="0.000000">
                  <c:v>2.1282733129784074E-2</c:v>
                </c:pt>
                <c:pt idx="23" formatCode="0.000000">
                  <c:v>2.1551670692685165E-2</c:v>
                </c:pt>
                <c:pt idx="24" formatCode="0.000000">
                  <c:v>2.1812361190021272E-2</c:v>
                </c:pt>
                <c:pt idx="25" formatCode="0.000000">
                  <c:v>2.2036217636458442E-2</c:v>
                </c:pt>
                <c:pt idx="26" formatCode="0.000000">
                  <c:v>2.229023946844607E-2</c:v>
                </c:pt>
                <c:pt idx="27" formatCode="0.000000">
                  <c:v>2.2523533660742921E-2</c:v>
                </c:pt>
                <c:pt idx="28" formatCode="0.000000">
                  <c:v>2.279744833311435E-2</c:v>
                </c:pt>
                <c:pt idx="29" formatCode="0.000000">
                  <c:v>2.3035520569163821E-2</c:v>
                </c:pt>
                <c:pt idx="30" formatCode="0.000000">
                  <c:v>2.3266516322063377E-2</c:v>
                </c:pt>
                <c:pt idx="31" formatCode="0.000000">
                  <c:v>2.3499070594222966E-2</c:v>
                </c:pt>
                <c:pt idx="32" formatCode="0.000000">
                  <c:v>2.3729982748448383E-2</c:v>
                </c:pt>
                <c:pt idx="33" formatCode="0.000000">
                  <c:v>2.3977796984923763E-2</c:v>
                </c:pt>
                <c:pt idx="34" formatCode="0.000000">
                  <c:v>2.4209391786480062E-2</c:v>
                </c:pt>
                <c:pt idx="35" formatCode="0.000000">
                  <c:v>2.4438744461951611E-2</c:v>
                </c:pt>
                <c:pt idx="36" formatCode="0.000000">
                  <c:v>2.4668931483209561E-2</c:v>
                </c:pt>
                <c:pt idx="37" formatCode="0.000000">
                  <c:v>2.4897068506988689E-2</c:v>
                </c:pt>
                <c:pt idx="38" formatCode="0.000000">
                  <c:v>2.5126238706796877E-2</c:v>
                </c:pt>
                <c:pt idx="39" formatCode="0.000000">
                  <c:v>2.5347604420465474E-2</c:v>
                </c:pt>
                <c:pt idx="40" formatCode="0.000000">
                  <c:v>2.5567361002376138E-2</c:v>
                </c:pt>
                <c:pt idx="41" formatCode="0.000000">
                  <c:v>2.578531174716445E-2</c:v>
                </c:pt>
                <c:pt idx="42" formatCode="0.000000">
                  <c:v>2.6000590043041741E-2</c:v>
                </c:pt>
                <c:pt idx="43" formatCode="0.000000">
                  <c:v>2.6212416420001161E-2</c:v>
                </c:pt>
                <c:pt idx="44" formatCode="0.000000">
                  <c:v>2.6421245309565897E-2</c:v>
                </c:pt>
                <c:pt idx="45" formatCode="0.000000">
                  <c:v>2.662723642177374E-2</c:v>
                </c:pt>
                <c:pt idx="46" formatCode="0.000000">
                  <c:v>2.683036557284401E-2</c:v>
                </c:pt>
                <c:pt idx="47" formatCode="0.000000">
                  <c:v>2.703014229975903E-2</c:v>
                </c:pt>
                <c:pt idx="48" formatCode="0.000000">
                  <c:v>2.7226463695277141E-2</c:v>
                </c:pt>
                <c:pt idx="49" formatCode="0.000000">
                  <c:v>2.7419065852493495E-2</c:v>
                </c:pt>
                <c:pt idx="50" formatCode="0.000000">
                  <c:v>2.7608199143800152E-2</c:v>
                </c:pt>
                <c:pt idx="51" formatCode="0.000000">
                  <c:v>2.779372650789266E-2</c:v>
                </c:pt>
                <c:pt idx="52" formatCode="0.000000">
                  <c:v>2.7975504627212235E-2</c:v>
                </c:pt>
              </c:numCache>
            </c:numRef>
          </c:yVal>
          <c:smooth val="1"/>
          <c:extLst>
            <c:ext xmlns:c16="http://schemas.microsoft.com/office/drawing/2014/chart" uri="{C3380CC4-5D6E-409C-BE32-E72D297353CC}">
              <c16:uniqueId val="{00000001-96DB-4E97-AC8D-85A18403CFD9}"/>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Uso suelo [Mha]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Florícola</a:t>
            </a:r>
          </a:p>
        </c:rich>
      </c:tx>
      <c:layout>
        <c:manualLayout>
          <c:xMode val="edge"/>
          <c:yMode val="edge"/>
          <c:x val="0.36960320442327804"/>
          <c:y val="3.27241713097484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'CC70-Tendencial'!$K$234:$BK$234</c:f>
              <c:numCache>
                <c:formatCode>General</c:formatCode>
                <c:ptCount val="53"/>
                <c:pt idx="0">
                  <c:v>7.5079999999999999E-3</c:v>
                </c:pt>
                <c:pt idx="1">
                  <c:v>9.3159999999999996E-3</c:v>
                </c:pt>
                <c:pt idx="2">
                  <c:v>5.2180000000000004E-3</c:v>
                </c:pt>
                <c:pt idx="3">
                  <c:v>7.4640000000000001E-3</c:v>
                </c:pt>
                <c:pt idx="4">
                  <c:v>7.8539999999999999E-3</c:v>
                </c:pt>
                <c:pt idx="5">
                  <c:v>7.8150950216980593E-3</c:v>
                </c:pt>
                <c:pt idx="6">
                  <c:v>8.2913060733096344E-3</c:v>
                </c:pt>
                <c:pt idx="7">
                  <c:v>8.3056199787806522E-3</c:v>
                </c:pt>
                <c:pt idx="8">
                  <c:v>8.8041123469369664E-3</c:v>
                </c:pt>
                <c:pt idx="9">
                  <c:v>9.0230158293336249E-3</c:v>
                </c:pt>
                <c:pt idx="10">
                  <c:v>9.2517915153110756E-3</c:v>
                </c:pt>
                <c:pt idx="11">
                  <c:v>9.4555062335520447E-3</c:v>
                </c:pt>
                <c:pt idx="12">
                  <c:v>9.6937044262869511E-3</c:v>
                </c:pt>
                <c:pt idx="13">
                  <c:v>9.5734061675865553E-3</c:v>
                </c:pt>
                <c:pt idx="14">
                  <c:v>9.7515049730596253E-3</c:v>
                </c:pt>
                <c:pt idx="15">
                  <c:v>9.9668445060642936E-3</c:v>
                </c:pt>
                <c:pt idx="16">
                  <c:v>1.0124056208334958E-2</c:v>
                </c:pt>
                <c:pt idx="17">
                  <c:v>1.0274432820208823E-2</c:v>
                </c:pt>
                <c:pt idx="18">
                  <c:v>1.0419739714388839E-2</c:v>
                </c:pt>
                <c:pt idx="19">
                  <c:v>1.0545248528377859E-2</c:v>
                </c:pt>
                <c:pt idx="20">
                  <c:v>1.0654750499616932E-2</c:v>
                </c:pt>
                <c:pt idx="21">
                  <c:v>1.0811949247566927E-2</c:v>
                </c:pt>
                <c:pt idx="22">
                  <c:v>1.0957616162509386E-2</c:v>
                </c:pt>
                <c:pt idx="23">
                  <c:v>1.1095285544248941E-2</c:v>
                </c:pt>
                <c:pt idx="24">
                  <c:v>1.1228333937386982E-2</c:v>
                </c:pt>
                <c:pt idx="25">
                  <c:v>1.1343518629156992E-2</c:v>
                </c:pt>
                <c:pt idx="26">
                  <c:v>1.1472006763764314E-2</c:v>
                </c:pt>
                <c:pt idx="27">
                  <c:v>1.1590168290736662E-2</c:v>
                </c:pt>
                <c:pt idx="28">
                  <c:v>1.1726181044959086E-2</c:v>
                </c:pt>
                <c:pt idx="29">
                  <c:v>1.1844936017029956E-2</c:v>
                </c:pt>
                <c:pt idx="30">
                  <c:v>1.195967387437199E-2</c:v>
                </c:pt>
                <c:pt idx="31">
                  <c:v>1.2074308337715048E-2</c:v>
                </c:pt>
                <c:pt idx="32">
                  <c:v>1.2187371543813831E-2</c:v>
                </c:pt>
                <c:pt idx="33">
                  <c:v>1.2307111208049082E-2</c:v>
                </c:pt>
                <c:pt idx="34">
                  <c:v>1.241868572938055E-2</c:v>
                </c:pt>
                <c:pt idx="35">
                  <c:v>1.2528342393933713E-2</c:v>
                </c:pt>
                <c:pt idx="36">
                  <c:v>1.2637413086848339E-2</c:v>
                </c:pt>
                <c:pt idx="37">
                  <c:v>1.2744599159178331E-2</c:v>
                </c:pt>
                <c:pt idx="38">
                  <c:v>1.2851218488509926E-2</c:v>
                </c:pt>
                <c:pt idx="39">
                  <c:v>1.2953415072232783E-2</c:v>
                </c:pt>
                <c:pt idx="40">
                  <c:v>1.3053868256954865E-2</c:v>
                </c:pt>
                <c:pt idx="41">
                  <c:v>1.3152470141450601E-2</c:v>
                </c:pt>
                <c:pt idx="42">
                  <c:v>1.3248830262242436E-2</c:v>
                </c:pt>
                <c:pt idx="43">
                  <c:v>1.3342603133445615E-2</c:v>
                </c:pt>
                <c:pt idx="44">
                  <c:v>1.3433968139421907E-2</c:v>
                </c:pt>
                <c:pt idx="45">
                  <c:v>1.3522977234801828E-2</c:v>
                </c:pt>
                <c:pt idx="46">
                  <c:v>1.3609604495537735E-2</c:v>
                </c:pt>
                <c:pt idx="47">
                  <c:v>1.3693632070971042E-2</c:v>
                </c:pt>
                <c:pt idx="48">
                  <c:v>1.3775005613039716E-2</c:v>
                </c:pt>
                <c:pt idx="49">
                  <c:v>1.3853606265863185E-2</c:v>
                </c:pt>
                <c:pt idx="50">
                  <c:v>1.3929525872749643E-2</c:v>
                </c:pt>
                <c:pt idx="51">
                  <c:v>1.4002698097395431E-2</c:v>
                </c:pt>
                <c:pt idx="52">
                  <c:v>1.407305556882084E-2</c:v>
                </c:pt>
              </c:numCache>
            </c:numRef>
          </c:yVal>
          <c:smooth val="1"/>
          <c:extLst>
            <c:ext xmlns:c16="http://schemas.microsoft.com/office/drawing/2014/chart" uri="{C3380CC4-5D6E-409C-BE32-E72D297353CC}">
              <c16:uniqueId val="{00000000-3911-4997-9480-ACCA4F858AE5}"/>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'CC70-Tendencial'!$K$250:$BK$250</c:f>
              <c:numCache>
                <c:formatCode>General</c:formatCode>
                <c:ptCount val="53"/>
                <c:pt idx="0">
                  <c:v>7.5079999999999999E-3</c:v>
                </c:pt>
                <c:pt idx="1">
                  <c:v>9.3159999999999996E-3</c:v>
                </c:pt>
                <c:pt idx="2">
                  <c:v>5.2180000000000004E-3</c:v>
                </c:pt>
                <c:pt idx="3">
                  <c:v>7.4640000000000001E-3</c:v>
                </c:pt>
                <c:pt idx="4">
                  <c:v>7.8539999999999999E-3</c:v>
                </c:pt>
                <c:pt idx="5" formatCode="0.000000">
                  <c:v>7.0811578637346448E-3</c:v>
                </c:pt>
                <c:pt idx="6" formatCode="0.000000">
                  <c:v>7.5014828555120244E-3</c:v>
                </c:pt>
                <c:pt idx="7" formatCode="0.000000">
                  <c:v>7.5026419548749213E-3</c:v>
                </c:pt>
                <c:pt idx="8" formatCode="0.000000">
                  <c:v>7.9428518279694368E-3</c:v>
                </c:pt>
                <c:pt idx="9" formatCode="0.000000">
                  <c:v>8.1295812134799007E-3</c:v>
                </c:pt>
                <c:pt idx="10" formatCode="0.000000">
                  <c:v>8.3253371300083603E-3</c:v>
                </c:pt>
                <c:pt idx="11" formatCode="0.000000">
                  <c:v>8.4984736968030522E-3</c:v>
                </c:pt>
                <c:pt idx="12" formatCode="0.000000">
                  <c:v>8.703028412641289E-3</c:v>
                </c:pt>
                <c:pt idx="13" formatCode="0.000000">
                  <c:v>8.5824207691675234E-3</c:v>
                </c:pt>
                <c:pt idx="14" formatCode="0.000000">
                  <c:v>8.7327143978991363E-3</c:v>
                </c:pt>
                <c:pt idx="15" formatCode="0.000000">
                  <c:v>8.9169584892997856E-3</c:v>
                </c:pt>
                <c:pt idx="16" formatCode="0.000000">
                  <c:v>9.0486966871702965E-3</c:v>
                </c:pt>
                <c:pt idx="17" formatCode="0.000000">
                  <c:v>9.1744456267759608E-3</c:v>
                </c:pt>
                <c:pt idx="18" formatCode="0.000000">
                  <c:v>9.2958197430164612E-3</c:v>
                </c:pt>
                <c:pt idx="19" formatCode="0.000000">
                  <c:v>9.3994534627189971E-3</c:v>
                </c:pt>
                <c:pt idx="20" formatCode="0.000000">
                  <c:v>9.4887873892130926E-3</c:v>
                </c:pt>
                <c:pt idx="21" formatCode="0.000000">
                  <c:v>9.621722226031847E-3</c:v>
                </c:pt>
                <c:pt idx="22" formatCode="0.000000">
                  <c:v>9.7444740528004597E-3</c:v>
                </c:pt>
                <c:pt idx="23" formatCode="0.000000">
                  <c:v>9.8602572934595491E-3</c:v>
                </c:pt>
                <c:pt idx="24" formatCode="0.000000">
                  <c:v>9.9721498887088596E-3</c:v>
                </c:pt>
                <c:pt idx="25" formatCode="0.000000">
                  <c:v>1.0068091008782689E-2</c:v>
                </c:pt>
                <c:pt idx="26" formatCode="0.000000">
                  <c:v>1.0176486375500719E-2</c:v>
                </c:pt>
                <c:pt idx="27" formatCode="0.000000">
                  <c:v>1.0275811446297689E-2</c:v>
                </c:pt>
                <c:pt idx="28" formatCode="0.000000">
                  <c:v>1.0391795738810838E-2</c:v>
                </c:pt>
                <c:pt idx="29" formatCode="0.000000">
                  <c:v>1.0492399910843421E-2</c:v>
                </c:pt>
                <c:pt idx="30" formatCode="0.000000">
                  <c:v>1.0589714253522703E-2</c:v>
                </c:pt>
                <c:pt idx="31" formatCode="0.000000">
                  <c:v>1.0687326883739022E-2</c:v>
                </c:pt>
                <c:pt idx="32" formatCode="0.000000">
                  <c:v>1.078390489531772E-2</c:v>
                </c:pt>
                <c:pt idx="33" formatCode="0.000000">
                  <c:v>1.0887028418900902E-2</c:v>
                </c:pt>
                <c:pt idx="34" formatCode="0.000000">
                  <c:v>1.0983098097119568E-2</c:v>
                </c:pt>
                <c:pt idx="35" formatCode="0.000000">
                  <c:v>1.1077851426073699E-2</c:v>
                </c:pt>
                <c:pt idx="36" formatCode="0.000000">
                  <c:v>1.1172525045154171E-2</c:v>
                </c:pt>
                <c:pt idx="37" formatCode="0.000000">
                  <c:v>1.1265936139172601E-2</c:v>
                </c:pt>
                <c:pt idx="38" formatCode="0.000000">
                  <c:v>1.1359311586201655E-2</c:v>
                </c:pt>
                <c:pt idx="39" formatCode="0.000000">
                  <c:v>1.1449101834548255E-2</c:v>
                </c:pt>
                <c:pt idx="40" formatCode="0.000000">
                  <c:v>1.1537787729835176E-2</c:v>
                </c:pt>
                <c:pt idx="41" formatCode="0.000000">
                  <c:v>1.1625279656059388E-2</c:v>
                </c:pt>
                <c:pt idx="42" formatCode="0.000000">
                  <c:v>1.1711225086033143E-2</c:v>
                </c:pt>
                <c:pt idx="43" formatCode="0.000000">
                  <c:v>1.179531109081482E-2</c:v>
                </c:pt>
                <c:pt idx="44" formatCode="0.000000">
                  <c:v>1.1877711353058061E-2</c:v>
                </c:pt>
                <c:pt idx="45" formatCode="0.000000">
                  <c:v>1.1958481541975702E-2</c:v>
                </c:pt>
                <c:pt idx="46" formatCode="0.000000">
                  <c:v>1.2037604713446372E-2</c:v>
                </c:pt>
                <c:pt idx="47" formatCode="0.000000">
                  <c:v>1.2114884012109426E-2</c:v>
                </c:pt>
                <c:pt idx="48" formatCode="0.000000">
                  <c:v>1.2190274268929385E-2</c:v>
                </c:pt>
                <c:pt idx="49" formatCode="0.000000">
                  <c:v>1.2263669163742389E-2</c:v>
                </c:pt>
                <c:pt idx="50" formatCode="0.000000">
                  <c:v>1.2335159528986997E-2</c:v>
                </c:pt>
                <c:pt idx="51" formatCode="0.000000">
                  <c:v>1.2404687500114153E-2</c:v>
                </c:pt>
                <c:pt idx="52" formatCode="0.000000">
                  <c:v>1.2472193518443159E-2</c:v>
                </c:pt>
              </c:numCache>
            </c:numRef>
          </c:yVal>
          <c:smooth val="1"/>
          <c:extLst>
            <c:ext xmlns:c16="http://schemas.microsoft.com/office/drawing/2014/chart" uri="{C3380CC4-5D6E-409C-BE32-E72D297353CC}">
              <c16:uniqueId val="{00000001-3911-4997-9480-ACCA4F858AE5}"/>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Uso suelo [Mha]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Arroz</a:t>
            </a:r>
          </a:p>
        </c:rich>
      </c:tx>
      <c:layout>
        <c:manualLayout>
          <c:xMode val="edge"/>
          <c:yMode val="edge"/>
          <c:x val="0.36960320442327804"/>
          <c:y val="3.27241713097484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'CC70-Tendencial'!$K$235:$BK$235</c:f>
              <c:numCache>
                <c:formatCode>General</c:formatCode>
                <c:ptCount val="53"/>
                <c:pt idx="0">
                  <c:v>0.29829800000000001</c:v>
                </c:pt>
                <c:pt idx="1">
                  <c:v>0.25727299999999997</c:v>
                </c:pt>
                <c:pt idx="2">
                  <c:v>0.31287599999999999</c:v>
                </c:pt>
                <c:pt idx="3">
                  <c:v>0.340281</c:v>
                </c:pt>
                <c:pt idx="4">
                  <c:v>0.340281</c:v>
                </c:pt>
                <c:pt idx="5">
                  <c:v>0.33859540986483794</c:v>
                </c:pt>
                <c:pt idx="6">
                  <c:v>0.35922764475832381</c:v>
                </c:pt>
                <c:pt idx="7">
                  <c:v>0.35984780646797282</c:v>
                </c:pt>
                <c:pt idx="8">
                  <c:v>0.3814453976990142</c:v>
                </c:pt>
                <c:pt idx="9">
                  <c:v>0.39092957084561686</c:v>
                </c:pt>
                <c:pt idx="10">
                  <c:v>0.40084146531978199</c:v>
                </c:pt>
                <c:pt idx="11">
                  <c:v>0.40966757278575539</c:v>
                </c:pt>
                <c:pt idx="12">
                  <c:v>0.41998770510330397</c:v>
                </c:pt>
                <c:pt idx="13">
                  <c:v>0.41477568425165773</c:v>
                </c:pt>
                <c:pt idx="14">
                  <c:v>0.42249196126021155</c:v>
                </c:pt>
                <c:pt idx="15">
                  <c:v>0.43182172337255709</c:v>
                </c:pt>
                <c:pt idx="16">
                  <c:v>0.43863304948159249</c:v>
                </c:pt>
                <c:pt idx="17">
                  <c:v>0.44514823968595341</c:v>
                </c:pt>
                <c:pt idx="18">
                  <c:v>0.45144378020778564</c:v>
                </c:pt>
                <c:pt idx="19">
                  <c:v>0.45688155264641533</c:v>
                </c:pt>
                <c:pt idx="20">
                  <c:v>0.46162581547748266</c:v>
                </c:pt>
                <c:pt idx="21">
                  <c:v>0.46843658032993646</c:v>
                </c:pt>
                <c:pt idx="22">
                  <c:v>0.47474771904696406</c:v>
                </c:pt>
                <c:pt idx="23">
                  <c:v>0.48071235807010104</c:v>
                </c:pt>
                <c:pt idx="24">
                  <c:v>0.48647678896714791</c:v>
                </c:pt>
                <c:pt idx="25">
                  <c:v>0.49146726033208182</c:v>
                </c:pt>
                <c:pt idx="26">
                  <c:v>0.49703411428322952</c:v>
                </c:pt>
                <c:pt idx="27">
                  <c:v>0.50215355947799367</c:v>
                </c:pt>
                <c:pt idx="28">
                  <c:v>0.50804642375346609</c:v>
                </c:pt>
                <c:pt idx="29">
                  <c:v>0.5131915804444831</c:v>
                </c:pt>
                <c:pt idx="30">
                  <c:v>0.51816269234086765</c:v>
                </c:pt>
                <c:pt idx="31">
                  <c:v>0.52312932460733552</c:v>
                </c:pt>
                <c:pt idx="32">
                  <c:v>0.52802788086331975</c:v>
                </c:pt>
                <c:pt idx="33">
                  <c:v>0.53321570015102482</c:v>
                </c:pt>
                <c:pt idx="34">
                  <c:v>0.53804975791690113</c:v>
                </c:pt>
                <c:pt idx="35">
                  <c:v>0.54280072296284143</c:v>
                </c:pt>
                <c:pt idx="36">
                  <c:v>0.5475263003063201</c:v>
                </c:pt>
                <c:pt idx="37">
                  <c:v>0.55217022491524825</c:v>
                </c:pt>
                <c:pt idx="38">
                  <c:v>0.55678959491834024</c:v>
                </c:pt>
                <c:pt idx="39">
                  <c:v>0.56121734583580873</c:v>
                </c:pt>
                <c:pt idx="40">
                  <c:v>0.56556956255982382</c:v>
                </c:pt>
                <c:pt idx="41">
                  <c:v>0.56984157018117521</c:v>
                </c:pt>
                <c:pt idx="42">
                  <c:v>0.57401645154903447</c:v>
                </c:pt>
                <c:pt idx="43">
                  <c:v>0.57807923820371854</c:v>
                </c:pt>
                <c:pt idx="44">
                  <c:v>0.58203770212001837</c:v>
                </c:pt>
                <c:pt idx="45">
                  <c:v>0.58589409427496797</c:v>
                </c:pt>
                <c:pt idx="46">
                  <c:v>0.58964729148791362</c:v>
                </c:pt>
                <c:pt idx="47">
                  <c:v>0.5932878552001648</c:v>
                </c:pt>
                <c:pt idx="48">
                  <c:v>0.59681343073730131</c:v>
                </c:pt>
                <c:pt idx="49">
                  <c:v>0.60021886857068851</c:v>
                </c:pt>
                <c:pt idx="50">
                  <c:v>0.60350814788707896</c:v>
                </c:pt>
                <c:pt idx="51">
                  <c:v>0.60667839461163886</c:v>
                </c:pt>
                <c:pt idx="52">
                  <c:v>0.6097266898413447</c:v>
                </c:pt>
              </c:numCache>
            </c:numRef>
          </c:yVal>
          <c:smooth val="1"/>
          <c:extLst>
            <c:ext xmlns:c16="http://schemas.microsoft.com/office/drawing/2014/chart" uri="{C3380CC4-5D6E-409C-BE32-E72D297353CC}">
              <c16:uniqueId val="{00000000-BFBF-4DE0-A91C-FCFBF9DAED8E}"/>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'CC70-Tendencial'!$K$220:$BK$220</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'CC70-Tendencial'!$K$251:$BK$251</c:f>
              <c:numCache>
                <c:formatCode>General</c:formatCode>
                <c:ptCount val="53"/>
                <c:pt idx="0">
                  <c:v>0.29829800000000001</c:v>
                </c:pt>
                <c:pt idx="1">
                  <c:v>0.25727299999999997</c:v>
                </c:pt>
                <c:pt idx="2">
                  <c:v>0.31287599999999999</c:v>
                </c:pt>
                <c:pt idx="3">
                  <c:v>0.340281</c:v>
                </c:pt>
                <c:pt idx="4">
                  <c:v>0.340281</c:v>
                </c:pt>
                <c:pt idx="5" formatCode="0.000000">
                  <c:v>0.33859962296013391</c:v>
                </c:pt>
                <c:pt idx="6" formatCode="0.000000">
                  <c:v>0.35768621504711873</c:v>
                </c:pt>
                <c:pt idx="7" formatCode="0.000000">
                  <c:v>0.35680837087661565</c:v>
                </c:pt>
                <c:pt idx="8" formatCode="0.000000">
                  <c:v>0.3766954493683583</c:v>
                </c:pt>
                <c:pt idx="9" formatCode="0.000000">
                  <c:v>0.38454986776844197</c:v>
                </c:pt>
                <c:pt idx="10" formatCode="0.000000">
                  <c:v>0.39280497478963922</c:v>
                </c:pt>
                <c:pt idx="11" formatCode="0.000000">
                  <c:v>0.39998045975233593</c:v>
                </c:pt>
                <c:pt idx="12" formatCode="0.000000">
                  <c:v>0.40860014079927559</c:v>
                </c:pt>
                <c:pt idx="13" formatCode="0.000000">
                  <c:v>0.40214015542983844</c:v>
                </c:pt>
                <c:pt idx="14" formatCode="0.000000">
                  <c:v>0.4082597977190936</c:v>
                </c:pt>
                <c:pt idx="15" formatCode="0.000000">
                  <c:v>0.41593494890595967</c:v>
                </c:pt>
                <c:pt idx="16" formatCode="0.000000">
                  <c:v>0.42118401791223087</c:v>
                </c:pt>
                <c:pt idx="17" formatCode="0.000000">
                  <c:v>0.42615845556826876</c:v>
                </c:pt>
                <c:pt idx="18" formatCode="0.000000">
                  <c:v>0.43093465363352157</c:v>
                </c:pt>
                <c:pt idx="19" formatCode="0.000000">
                  <c:v>0.43490753951152145</c:v>
                </c:pt>
                <c:pt idx="20" formatCode="0.000000">
                  <c:v>0.43824035729123079</c:v>
                </c:pt>
                <c:pt idx="21" formatCode="0.000000">
                  <c:v>0.44355291672792868</c:v>
                </c:pt>
                <c:pt idx="22" formatCode="0.000000">
                  <c:v>0.44840627031562474</c:v>
                </c:pt>
                <c:pt idx="23" formatCode="0.000000">
                  <c:v>0.4529489400775053</c:v>
                </c:pt>
                <c:pt idx="24" formatCode="0.000000">
                  <c:v>0.45732140171830576</c:v>
                </c:pt>
                <c:pt idx="25" formatCode="0.000000">
                  <c:v>0.46098704557768355</c:v>
                </c:pt>
                <c:pt idx="26" formatCode="0.000000">
                  <c:v>0.46521540982668019</c:v>
                </c:pt>
                <c:pt idx="27" formatCode="0.000000">
                  <c:v>0.46904675484204283</c:v>
                </c:pt>
                <c:pt idx="28" formatCode="0.000000">
                  <c:v>0.47362258472652313</c:v>
                </c:pt>
                <c:pt idx="29" formatCode="0.000000">
                  <c:v>0.47752307458046639</c:v>
                </c:pt>
                <c:pt idx="30" formatCode="0.000000">
                  <c:v>0.4812855210335002</c:v>
                </c:pt>
                <c:pt idx="31" formatCode="0.000000">
                  <c:v>0.48506835815848359</c:v>
                </c:pt>
                <c:pt idx="32" formatCode="0.000000">
                  <c:v>0.48881295795728841</c:v>
                </c:pt>
                <c:pt idx="33" formatCode="0.000000">
                  <c:v>0.49285034950986684</c:v>
                </c:pt>
                <c:pt idx="34" formatCode="0.000000">
                  <c:v>0.49658578012069915</c:v>
                </c:pt>
                <c:pt idx="35" formatCode="0.000000">
                  <c:v>0.50027052258009419</c:v>
                </c:pt>
                <c:pt idx="36" formatCode="0.000000">
                  <c:v>0.50395825382630666</c:v>
                </c:pt>
                <c:pt idx="37" formatCode="0.000000">
                  <c:v>0.50759751579597223</c:v>
                </c:pt>
                <c:pt idx="38" formatCode="0.000000">
                  <c:v>0.51124124208522126</c:v>
                </c:pt>
                <c:pt idx="39" formatCode="0.000000">
                  <c:v>0.51473636427407143</c:v>
                </c:pt>
                <c:pt idx="40" formatCode="0.000000">
                  <c:v>0.51819004833880145</c:v>
                </c:pt>
                <c:pt idx="41" formatCode="0.000000">
                  <c:v>0.52159836606869536</c:v>
                </c:pt>
                <c:pt idx="42" formatCode="0.000000">
                  <c:v>0.52494617453186376</c:v>
                </c:pt>
                <c:pt idx="43" formatCode="0.000000">
                  <c:v>0.52822013690657199</c:v>
                </c:pt>
                <c:pt idx="44" formatCode="0.000000">
                  <c:v>0.53142770578672061</c:v>
                </c:pt>
                <c:pt idx="45" formatCode="0.000000">
                  <c:v>0.53457123679363971</c:v>
                </c:pt>
                <c:pt idx="46" formatCode="0.000000">
                  <c:v>0.5376499690512716</c:v>
                </c:pt>
                <c:pt idx="47" formatCode="0.000000">
                  <c:v>0.5406555291951749</c:v>
                </c:pt>
                <c:pt idx="48" formatCode="0.000000">
                  <c:v>0.54358598901885069</c:v>
                </c:pt>
                <c:pt idx="49" formatCode="0.000000">
                  <c:v>0.54643684511688251</c:v>
                </c:pt>
                <c:pt idx="50" formatCode="0.000000">
                  <c:v>0.54921188441782531</c:v>
                </c:pt>
                <c:pt idx="51" formatCode="0.000000">
                  <c:v>0.55190861579600614</c:v>
                </c:pt>
                <c:pt idx="52" formatCode="0.000000">
                  <c:v>0.55452447935442195</c:v>
                </c:pt>
              </c:numCache>
            </c:numRef>
          </c:yVal>
          <c:smooth val="1"/>
          <c:extLst>
            <c:ext xmlns:c16="http://schemas.microsoft.com/office/drawing/2014/chart" uri="{C3380CC4-5D6E-409C-BE32-E72D297353CC}">
              <c16:uniqueId val="{00000001-BFBF-4DE0-A91C-FCFBF9DAED8E}"/>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Uso suelo [Mha]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Banano</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'CC70-Tendencial'!$A$181:$A$195</c:f>
              <c:strCache>
                <c:ptCount val="1"/>
                <c:pt idx="0">
                  <c:v>Datos Escenario Compromiso climático 2070 - F. NPK</c:v>
                </c:pt>
              </c:strCache>
            </c:strRef>
          </c:tx>
          <c:spPr>
            <a:solidFill>
              <a:schemeClr val="accent2"/>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'CC70-Tendencial'!$C$181:$J$181</c:f>
              <c:numCache>
                <c:formatCode>#,##0.000</c:formatCode>
                <c:ptCount val="8"/>
                <c:pt idx="0">
                  <c:v>769</c:v>
                </c:pt>
                <c:pt idx="1">
                  <c:v>831.7</c:v>
                </c:pt>
                <c:pt idx="2">
                  <c:v>1089.5006962699699</c:v>
                </c:pt>
                <c:pt idx="3">
                  <c:v>1157.8980858320945</c:v>
                </c:pt>
                <c:pt idx="4">
                  <c:v>1229.4425633765986</c:v>
                </c:pt>
                <c:pt idx="5">
                  <c:v>1354.3146864264111</c:v>
                </c:pt>
                <c:pt idx="6">
                  <c:v>1633.0547996279552</c:v>
                </c:pt>
                <c:pt idx="7">
                  <c:v>1973.0692998147947</c:v>
                </c:pt>
              </c:numCache>
            </c:numRef>
          </c:val>
          <c:extLst>
            <c:ext xmlns:c16="http://schemas.microsoft.com/office/drawing/2014/chart" uri="{C3380CC4-5D6E-409C-BE32-E72D297353CC}">
              <c16:uniqueId val="{00000001-9F56-4983-A2B8-76A4B48AAFDA}"/>
            </c:ext>
          </c:extLst>
        </c:ser>
        <c:ser>
          <c:idx val="2"/>
          <c:order val="2"/>
          <c:tx>
            <c:strRef>
              <c:f>'CC70-Tendencial'!$A$197:$A$211</c:f>
              <c:strCache>
                <c:ptCount val="1"/>
                <c:pt idx="0">
                  <c:v>Datos Escenario Compromiso climático 2070 - Fertilizantes Orgánicos</c:v>
                </c:pt>
              </c:strCache>
            </c:strRef>
          </c:tx>
          <c:spPr>
            <a:solidFill>
              <a:schemeClr val="accent3"/>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'CC70-Tendencial'!$C$197:$J$197</c:f>
              <c:numCache>
                <c:formatCode>#,##0.000</c:formatCode>
                <c:ptCount val="8"/>
                <c:pt idx="0">
                  <c:v>0</c:v>
                </c:pt>
                <c:pt idx="1">
                  <c:v>0</c:v>
                </c:pt>
                <c:pt idx="2">
                  <c:v>33.695897822782577</c:v>
                </c:pt>
                <c:pt idx="3">
                  <c:v>100.68679007235603</c:v>
                </c:pt>
                <c:pt idx="4">
                  <c:v>269.87763586315577</c:v>
                </c:pt>
                <c:pt idx="5">
                  <c:v>526.67793361027111</c:v>
                </c:pt>
                <c:pt idx="6">
                  <c:v>716.66433652737589</c:v>
                </c:pt>
                <c:pt idx="7">
                  <c:v>971.81025214758563</c:v>
                </c:pt>
              </c:numCache>
            </c:numRef>
          </c:val>
          <c:extLst>
            <c:ext xmlns:c16="http://schemas.microsoft.com/office/drawing/2014/chart" uri="{C3380CC4-5D6E-409C-BE32-E72D297353CC}">
              <c16:uniqueId val="{00000002-9F56-4983-A2B8-76A4B48AAFDA}"/>
            </c:ext>
          </c:extLst>
        </c:ser>
        <c:dLbls>
          <c:showLegendKey val="0"/>
          <c:showVal val="0"/>
          <c:showCatName val="0"/>
          <c:showSerName val="0"/>
          <c:showPercent val="0"/>
          <c:showBubbleSize val="0"/>
        </c:dLbls>
        <c:gapWidth val="100"/>
        <c:overlap val="100"/>
        <c:axId val="1192787183"/>
        <c:axId val="1192787599"/>
      </c:barChart>
      <c:lineChart>
        <c:grouping val="standard"/>
        <c:varyColors val="0"/>
        <c:ser>
          <c:idx val="0"/>
          <c:order val="0"/>
          <c:tx>
            <c:strRef>
              <c:f>'CC70-Tendencial'!$A$149:$A$163</c:f>
              <c:strCache>
                <c:ptCount val="1"/>
                <c:pt idx="0">
                  <c:v>Datos Escenario Tendencial - F. NPK</c:v>
                </c:pt>
              </c:strCache>
            </c:strRef>
          </c:tx>
          <c:spPr>
            <a:ln w="28575" cap="rnd">
              <a:solidFill>
                <a:schemeClr val="accent1"/>
              </a:solidFill>
              <a:round/>
            </a:ln>
            <a:effectLst/>
          </c:spPr>
          <c:marker>
            <c:symbol val="none"/>
          </c:marker>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'CC70-Tendencial'!$C$149:$J$149</c:f>
              <c:numCache>
                <c:formatCode>#,##0.000</c:formatCode>
                <c:ptCount val="8"/>
                <c:pt idx="0">
                  <c:v>769</c:v>
                </c:pt>
                <c:pt idx="1">
                  <c:v>831.7</c:v>
                </c:pt>
                <c:pt idx="2">
                  <c:v>1141.1719294405848</c:v>
                </c:pt>
                <c:pt idx="3">
                  <c:v>1251.8275567161202</c:v>
                </c:pt>
                <c:pt idx="4">
                  <c:v>1459.4374049851695</c:v>
                </c:pt>
                <c:pt idx="5">
                  <c:v>1796.3719632733571</c:v>
                </c:pt>
                <c:pt idx="6">
                  <c:v>2190.637119497751</c:v>
                </c:pt>
                <c:pt idx="7">
                  <c:v>2683.1445059765238</c:v>
                </c:pt>
              </c:numCache>
            </c:numRef>
          </c:val>
          <c:smooth val="0"/>
          <c:extLst>
            <c:ext xmlns:c16="http://schemas.microsoft.com/office/drawing/2014/chart" uri="{C3380CC4-5D6E-409C-BE32-E72D297353CC}">
              <c16:uniqueId val="{00000000-9F56-4983-A2B8-76A4B48AAFDA}"/>
            </c:ext>
          </c:extLst>
        </c:ser>
        <c:dLbls>
          <c:showLegendKey val="0"/>
          <c:showVal val="0"/>
          <c:showCatName val="0"/>
          <c:showSerName val="0"/>
          <c:showPercent val="0"/>
          <c:showBubbleSize val="0"/>
        </c:dLbls>
        <c:marker val="1"/>
        <c:smooth val="0"/>
        <c:axId val="1192787183"/>
        <c:axId val="1192787599"/>
      </c:lineChart>
      <c:catAx>
        <c:axId val="1192787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599"/>
        <c:crosses val="autoZero"/>
        <c:auto val="1"/>
        <c:lblAlgn val="ctr"/>
        <c:lblOffset val="100"/>
        <c:noMultiLvlLbl val="0"/>
      </c:catAx>
      <c:valAx>
        <c:axId val="119278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Fertilizantes</a:t>
                </a:r>
                <a:r>
                  <a:rPr lang="en-US" baseline="0"/>
                  <a:t> [kg/ha]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Cacao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'CC70-Tendencial'!$A$181:$A$195</c:f>
              <c:strCache>
                <c:ptCount val="1"/>
                <c:pt idx="0">
                  <c:v>Datos Escenario Compromiso climático 2070 - F. NPK</c:v>
                </c:pt>
              </c:strCache>
            </c:strRef>
          </c:tx>
          <c:spPr>
            <a:solidFill>
              <a:schemeClr val="accent2"/>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'CC70-Tendencial'!$C$182:$J$182</c:f>
              <c:numCache>
                <c:formatCode>#,##0.000</c:formatCode>
                <c:ptCount val="8"/>
                <c:pt idx="0">
                  <c:v>30.379732311994736</c:v>
                </c:pt>
                <c:pt idx="1">
                  <c:v>123.19989497262668</c:v>
                </c:pt>
                <c:pt idx="2">
                  <c:v>140.72570095622328</c:v>
                </c:pt>
                <c:pt idx="3">
                  <c:v>149.19588835035208</c:v>
                </c:pt>
                <c:pt idx="4">
                  <c:v>157.6684113852053</c:v>
                </c:pt>
                <c:pt idx="5">
                  <c:v>172.89909142910142</c:v>
                </c:pt>
                <c:pt idx="6">
                  <c:v>207.58305208352309</c:v>
                </c:pt>
                <c:pt idx="7">
                  <c:v>249.76285677544726</c:v>
                </c:pt>
              </c:numCache>
            </c:numRef>
          </c:val>
          <c:extLst>
            <c:ext xmlns:c16="http://schemas.microsoft.com/office/drawing/2014/chart" uri="{C3380CC4-5D6E-409C-BE32-E72D297353CC}">
              <c16:uniqueId val="{00000000-C511-427E-9CB3-34F75A95D144}"/>
            </c:ext>
          </c:extLst>
        </c:ser>
        <c:ser>
          <c:idx val="2"/>
          <c:order val="2"/>
          <c:tx>
            <c:strRef>
              <c:f>'CC70-Tendencial'!$A$197:$A$211</c:f>
              <c:strCache>
                <c:ptCount val="1"/>
                <c:pt idx="0">
                  <c:v>Datos Escenario Compromiso climático 2070 - Fertilizantes Orgánicos</c:v>
                </c:pt>
              </c:strCache>
            </c:strRef>
          </c:tx>
          <c:spPr>
            <a:solidFill>
              <a:schemeClr val="accent3"/>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'CC70-Tendencial'!$C$198:$J$198</c:f>
              <c:numCache>
                <c:formatCode>#,##0.000</c:formatCode>
                <c:ptCount val="8"/>
                <c:pt idx="0">
                  <c:v>0</c:v>
                </c:pt>
                <c:pt idx="1">
                  <c:v>0</c:v>
                </c:pt>
                <c:pt idx="2">
                  <c:v>4.3523412666873176</c:v>
                </c:pt>
                <c:pt idx="3">
                  <c:v>12.973555508726268</c:v>
                </c:pt>
                <c:pt idx="4">
                  <c:v>34.610139084557254</c:v>
                </c:pt>
                <c:pt idx="5">
                  <c:v>67.238535555761672</c:v>
                </c:pt>
                <c:pt idx="6">
                  <c:v>91.097598396366237</c:v>
                </c:pt>
                <c:pt idx="7">
                  <c:v>123.01752647148896</c:v>
                </c:pt>
              </c:numCache>
            </c:numRef>
          </c:val>
          <c:extLst>
            <c:ext xmlns:c16="http://schemas.microsoft.com/office/drawing/2014/chart" uri="{C3380CC4-5D6E-409C-BE32-E72D297353CC}">
              <c16:uniqueId val="{00000001-C511-427E-9CB3-34F75A95D144}"/>
            </c:ext>
          </c:extLst>
        </c:ser>
        <c:dLbls>
          <c:showLegendKey val="0"/>
          <c:showVal val="0"/>
          <c:showCatName val="0"/>
          <c:showSerName val="0"/>
          <c:showPercent val="0"/>
          <c:showBubbleSize val="0"/>
        </c:dLbls>
        <c:gapWidth val="100"/>
        <c:overlap val="100"/>
        <c:axId val="1192787183"/>
        <c:axId val="1192787599"/>
      </c:barChart>
      <c:lineChart>
        <c:grouping val="standard"/>
        <c:varyColors val="0"/>
        <c:ser>
          <c:idx val="0"/>
          <c:order val="0"/>
          <c:tx>
            <c:strRef>
              <c:f>'CC70-Tendencial'!$A$149:$A$163</c:f>
              <c:strCache>
                <c:ptCount val="1"/>
                <c:pt idx="0">
                  <c:v>Datos Escenario Tendencial - F. NPK</c:v>
                </c:pt>
              </c:strCache>
            </c:strRef>
          </c:tx>
          <c:spPr>
            <a:ln w="28575" cap="rnd">
              <a:solidFill>
                <a:schemeClr val="accent1"/>
              </a:solidFill>
              <a:round/>
            </a:ln>
            <a:effectLst/>
          </c:spPr>
          <c:marker>
            <c:symbol val="none"/>
          </c:marker>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'CC70-Tendencial'!$C$150:$J$150</c:f>
              <c:numCache>
                <c:formatCode>#,##0.000</c:formatCode>
                <c:ptCount val="8"/>
                <c:pt idx="0">
                  <c:v>30.379732311994736</c:v>
                </c:pt>
                <c:pt idx="1">
                  <c:v>123.19989497262668</c:v>
                </c:pt>
                <c:pt idx="2">
                  <c:v>147.61961314253585</c:v>
                </c:pt>
                <c:pt idx="3">
                  <c:v>161.93379356446994</c:v>
                </c:pt>
                <c:pt idx="4">
                  <c:v>188.78976915885849</c:v>
                </c:pt>
                <c:pt idx="5">
                  <c:v>232.3749186579665</c:v>
                </c:pt>
                <c:pt idx="6">
                  <c:v>283.37623435450439</c:v>
                </c:pt>
                <c:pt idx="7">
                  <c:v>347.08595940660757</c:v>
                </c:pt>
              </c:numCache>
            </c:numRef>
          </c:val>
          <c:smooth val="0"/>
          <c:extLst>
            <c:ext xmlns:c16="http://schemas.microsoft.com/office/drawing/2014/chart" uri="{C3380CC4-5D6E-409C-BE32-E72D297353CC}">
              <c16:uniqueId val="{00000002-C511-427E-9CB3-34F75A95D144}"/>
            </c:ext>
          </c:extLst>
        </c:ser>
        <c:dLbls>
          <c:showLegendKey val="0"/>
          <c:showVal val="0"/>
          <c:showCatName val="0"/>
          <c:showSerName val="0"/>
          <c:showPercent val="0"/>
          <c:showBubbleSize val="0"/>
        </c:dLbls>
        <c:marker val="1"/>
        <c:smooth val="0"/>
        <c:axId val="1192787183"/>
        <c:axId val="1192787599"/>
      </c:lineChart>
      <c:catAx>
        <c:axId val="1192787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599"/>
        <c:crosses val="autoZero"/>
        <c:auto val="1"/>
        <c:lblAlgn val="ctr"/>
        <c:lblOffset val="100"/>
        <c:noMultiLvlLbl val="0"/>
      </c:catAx>
      <c:valAx>
        <c:axId val="119278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Fertilizantes [kg/ha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Tipo</a:t>
            </a:r>
            <a:r>
              <a:rPr lang="en-US" baseline="0"/>
              <a:t> de vaca en el hato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'CC70-Tendencial'!$K$275</c:f>
              <c:strCache>
                <c:ptCount val="1"/>
                <c:pt idx="0">
                  <c:v>2018</c:v>
                </c:pt>
              </c:strCache>
            </c:strRef>
          </c:tx>
          <c:spPr>
            <a:solidFill>
              <a:schemeClr val="accent1"/>
            </a:solidFill>
            <a:ln>
              <a:noFill/>
            </a:ln>
            <a:effectLst/>
          </c:spPr>
          <c:invertIfNegative val="0"/>
          <c:cat>
            <c:strRef>
              <c:f>'CC70-Tendencial'!$B$276:$B$282</c:f>
              <c:strCache>
                <c:ptCount val="7"/>
                <c:pt idx="0">
                  <c:v>Raza importada (Tendencial)</c:v>
                </c:pt>
                <c:pt idx="1">
                  <c:v>Raza criolla (Tendencial)</c:v>
                </c:pt>
                <c:pt idx="2">
                  <c:v>Raza mestiza (Tendencial)</c:v>
                </c:pt>
                <c:pt idx="4">
                  <c:v>Raza importada (CC70)</c:v>
                </c:pt>
                <c:pt idx="5">
                  <c:v>Raza criolla (CC70)</c:v>
                </c:pt>
                <c:pt idx="6">
                  <c:v>Raza mestiza (CC70)</c:v>
                </c:pt>
              </c:strCache>
            </c:strRef>
          </c:cat>
          <c:val>
            <c:numRef>
              <c:f>'CC70-Tendencial'!$M$276:$M$282</c:f>
              <c:numCache>
                <c:formatCode>General</c:formatCode>
                <c:ptCount val="7"/>
                <c:pt idx="0">
                  <c:v>39.299999999999997</c:v>
                </c:pt>
                <c:pt idx="1">
                  <c:v>24.8</c:v>
                </c:pt>
                <c:pt idx="2">
                  <c:v>35.9</c:v>
                </c:pt>
                <c:pt idx="4">
                  <c:v>39.299999999999997</c:v>
                </c:pt>
                <c:pt idx="5">
                  <c:v>24.8</c:v>
                </c:pt>
                <c:pt idx="6">
                  <c:v>35.9</c:v>
                </c:pt>
              </c:numCache>
            </c:numRef>
          </c:val>
          <c:extLst>
            <c:ext xmlns:c16="http://schemas.microsoft.com/office/drawing/2014/chart" uri="{C3380CC4-5D6E-409C-BE32-E72D297353CC}">
              <c16:uniqueId val="{00000000-C391-45AD-955C-EDDF922A89A0}"/>
            </c:ext>
          </c:extLst>
        </c:ser>
        <c:ser>
          <c:idx val="1"/>
          <c:order val="1"/>
          <c:tx>
            <c:strRef>
              <c:f>'CC70-Tendencial'!$N$275</c:f>
              <c:strCache>
                <c:ptCount val="1"/>
                <c:pt idx="0">
                  <c:v>2025</c:v>
                </c:pt>
              </c:strCache>
            </c:strRef>
          </c:tx>
          <c:spPr>
            <a:solidFill>
              <a:schemeClr val="accent2"/>
            </a:solidFill>
            <a:ln>
              <a:noFill/>
            </a:ln>
            <a:effectLst/>
          </c:spPr>
          <c:invertIfNegative val="0"/>
          <c:cat>
            <c:strRef>
              <c:f>'CC70-Tendencial'!$B$276:$B$282</c:f>
              <c:strCache>
                <c:ptCount val="7"/>
                <c:pt idx="0">
                  <c:v>Raza importada (Tendencial)</c:v>
                </c:pt>
                <c:pt idx="1">
                  <c:v>Raza criolla (Tendencial)</c:v>
                </c:pt>
                <c:pt idx="2">
                  <c:v>Raza mestiza (Tendencial)</c:v>
                </c:pt>
                <c:pt idx="4">
                  <c:v>Raza importada (CC70)</c:v>
                </c:pt>
                <c:pt idx="5">
                  <c:v>Raza criolla (CC70)</c:v>
                </c:pt>
                <c:pt idx="6">
                  <c:v>Raza mestiza (CC70)</c:v>
                </c:pt>
              </c:strCache>
            </c:strRef>
          </c:cat>
          <c:val>
            <c:numRef>
              <c:f>'CC70-Tendencial'!$N$276:$N$282</c:f>
              <c:numCache>
                <c:formatCode>General</c:formatCode>
                <c:ptCount val="7"/>
                <c:pt idx="0">
                  <c:v>39.299999999999997</c:v>
                </c:pt>
                <c:pt idx="1">
                  <c:v>24.8</c:v>
                </c:pt>
                <c:pt idx="2">
                  <c:v>35.9</c:v>
                </c:pt>
                <c:pt idx="4">
                  <c:v>39.299999999999997</c:v>
                </c:pt>
                <c:pt idx="5">
                  <c:v>24.8</c:v>
                </c:pt>
                <c:pt idx="6">
                  <c:v>35.9</c:v>
                </c:pt>
              </c:numCache>
            </c:numRef>
          </c:val>
          <c:extLst>
            <c:ext xmlns:c16="http://schemas.microsoft.com/office/drawing/2014/chart" uri="{C3380CC4-5D6E-409C-BE32-E72D297353CC}">
              <c16:uniqueId val="{00000001-C391-45AD-955C-EDDF922A89A0}"/>
            </c:ext>
          </c:extLst>
        </c:ser>
        <c:ser>
          <c:idx val="2"/>
          <c:order val="2"/>
          <c:tx>
            <c:strRef>
              <c:f>'CC70-Tendencial'!$O$275</c:f>
              <c:strCache>
                <c:ptCount val="1"/>
                <c:pt idx="0">
                  <c:v>2030</c:v>
                </c:pt>
              </c:strCache>
            </c:strRef>
          </c:tx>
          <c:spPr>
            <a:solidFill>
              <a:schemeClr val="accent3"/>
            </a:solidFill>
            <a:ln>
              <a:noFill/>
            </a:ln>
            <a:effectLst/>
          </c:spPr>
          <c:invertIfNegative val="0"/>
          <c:cat>
            <c:strRef>
              <c:f>'CC70-Tendencial'!$B$276:$B$282</c:f>
              <c:strCache>
                <c:ptCount val="7"/>
                <c:pt idx="0">
                  <c:v>Raza importada (Tendencial)</c:v>
                </c:pt>
                <c:pt idx="1">
                  <c:v>Raza criolla (Tendencial)</c:v>
                </c:pt>
                <c:pt idx="2">
                  <c:v>Raza mestiza (Tendencial)</c:v>
                </c:pt>
                <c:pt idx="4">
                  <c:v>Raza importada (CC70)</c:v>
                </c:pt>
                <c:pt idx="5">
                  <c:v>Raza criolla (CC70)</c:v>
                </c:pt>
                <c:pt idx="6">
                  <c:v>Raza mestiza (CC70)</c:v>
                </c:pt>
              </c:strCache>
            </c:strRef>
          </c:cat>
          <c:val>
            <c:numRef>
              <c:f>'CC70-Tendencial'!$O$276:$O$282</c:f>
              <c:numCache>
                <c:formatCode>General</c:formatCode>
                <c:ptCount val="7"/>
                <c:pt idx="0">
                  <c:v>39.299999999999997</c:v>
                </c:pt>
                <c:pt idx="1">
                  <c:v>24.8</c:v>
                </c:pt>
                <c:pt idx="2">
                  <c:v>35.9</c:v>
                </c:pt>
                <c:pt idx="4">
                  <c:v>39.299999999999997</c:v>
                </c:pt>
                <c:pt idx="5">
                  <c:v>24.8</c:v>
                </c:pt>
                <c:pt idx="6">
                  <c:v>35.9</c:v>
                </c:pt>
              </c:numCache>
            </c:numRef>
          </c:val>
          <c:extLst>
            <c:ext xmlns:c16="http://schemas.microsoft.com/office/drawing/2014/chart" uri="{C3380CC4-5D6E-409C-BE32-E72D297353CC}">
              <c16:uniqueId val="{00000002-C391-45AD-955C-EDDF922A89A0}"/>
            </c:ext>
          </c:extLst>
        </c:ser>
        <c:ser>
          <c:idx val="3"/>
          <c:order val="3"/>
          <c:tx>
            <c:strRef>
              <c:f>'CC70-Tendencial'!$P$275</c:f>
              <c:strCache>
                <c:ptCount val="1"/>
                <c:pt idx="0">
                  <c:v>2040</c:v>
                </c:pt>
              </c:strCache>
            </c:strRef>
          </c:tx>
          <c:spPr>
            <a:solidFill>
              <a:schemeClr val="accent4"/>
            </a:solidFill>
            <a:ln>
              <a:noFill/>
            </a:ln>
            <a:effectLst/>
          </c:spPr>
          <c:invertIfNegative val="0"/>
          <c:cat>
            <c:strRef>
              <c:f>'CC70-Tendencial'!$B$276:$B$282</c:f>
              <c:strCache>
                <c:ptCount val="7"/>
                <c:pt idx="0">
                  <c:v>Raza importada (Tendencial)</c:v>
                </c:pt>
                <c:pt idx="1">
                  <c:v>Raza criolla (Tendencial)</c:v>
                </c:pt>
                <c:pt idx="2">
                  <c:v>Raza mestiza (Tendencial)</c:v>
                </c:pt>
                <c:pt idx="4">
                  <c:v>Raza importada (CC70)</c:v>
                </c:pt>
                <c:pt idx="5">
                  <c:v>Raza criolla (CC70)</c:v>
                </c:pt>
                <c:pt idx="6">
                  <c:v>Raza mestiza (CC70)</c:v>
                </c:pt>
              </c:strCache>
            </c:strRef>
          </c:cat>
          <c:val>
            <c:numRef>
              <c:f>'CC70-Tendencial'!$P$276:$P$282</c:f>
              <c:numCache>
                <c:formatCode>General</c:formatCode>
                <c:ptCount val="7"/>
                <c:pt idx="0">
                  <c:v>39.299999999999997</c:v>
                </c:pt>
                <c:pt idx="1">
                  <c:v>24.8</c:v>
                </c:pt>
                <c:pt idx="2">
                  <c:v>35.9</c:v>
                </c:pt>
                <c:pt idx="4">
                  <c:v>38.049999999999997</c:v>
                </c:pt>
                <c:pt idx="5">
                  <c:v>23.55</c:v>
                </c:pt>
                <c:pt idx="6">
                  <c:v>38.4</c:v>
                </c:pt>
              </c:numCache>
            </c:numRef>
          </c:val>
          <c:extLst>
            <c:ext xmlns:c16="http://schemas.microsoft.com/office/drawing/2014/chart" uri="{C3380CC4-5D6E-409C-BE32-E72D297353CC}">
              <c16:uniqueId val="{00000003-C391-45AD-955C-EDDF922A89A0}"/>
            </c:ext>
          </c:extLst>
        </c:ser>
        <c:ser>
          <c:idx val="4"/>
          <c:order val="4"/>
          <c:tx>
            <c:strRef>
              <c:f>'CC70-Tendencial'!$Q$275</c:f>
              <c:strCache>
                <c:ptCount val="1"/>
                <c:pt idx="0">
                  <c:v>2050</c:v>
                </c:pt>
              </c:strCache>
            </c:strRef>
          </c:tx>
          <c:spPr>
            <a:solidFill>
              <a:schemeClr val="accent5"/>
            </a:solidFill>
            <a:ln>
              <a:noFill/>
            </a:ln>
            <a:effectLst/>
          </c:spPr>
          <c:invertIfNegative val="0"/>
          <c:cat>
            <c:strRef>
              <c:f>'CC70-Tendencial'!$B$276:$B$282</c:f>
              <c:strCache>
                <c:ptCount val="7"/>
                <c:pt idx="0">
                  <c:v>Raza importada (Tendencial)</c:v>
                </c:pt>
                <c:pt idx="1">
                  <c:v>Raza criolla (Tendencial)</c:v>
                </c:pt>
                <c:pt idx="2">
                  <c:v>Raza mestiza (Tendencial)</c:v>
                </c:pt>
                <c:pt idx="4">
                  <c:v>Raza importada (CC70)</c:v>
                </c:pt>
                <c:pt idx="5">
                  <c:v>Raza criolla (CC70)</c:v>
                </c:pt>
                <c:pt idx="6">
                  <c:v>Raza mestiza (CC70)</c:v>
                </c:pt>
              </c:strCache>
            </c:strRef>
          </c:cat>
          <c:val>
            <c:numRef>
              <c:f>'CC70-Tendencial'!$Q$276:$Q$282</c:f>
              <c:numCache>
                <c:formatCode>General</c:formatCode>
                <c:ptCount val="7"/>
                <c:pt idx="0">
                  <c:v>39.299999999999997</c:v>
                </c:pt>
                <c:pt idx="1">
                  <c:v>24.8</c:v>
                </c:pt>
                <c:pt idx="2">
                  <c:v>35.9</c:v>
                </c:pt>
                <c:pt idx="4">
                  <c:v>36.799999999999997</c:v>
                </c:pt>
                <c:pt idx="5">
                  <c:v>22.3</c:v>
                </c:pt>
                <c:pt idx="6">
                  <c:v>40.9</c:v>
                </c:pt>
              </c:numCache>
            </c:numRef>
          </c:val>
          <c:extLst>
            <c:ext xmlns:c16="http://schemas.microsoft.com/office/drawing/2014/chart" uri="{C3380CC4-5D6E-409C-BE32-E72D297353CC}">
              <c16:uniqueId val="{00000004-C391-45AD-955C-EDDF922A89A0}"/>
            </c:ext>
          </c:extLst>
        </c:ser>
        <c:ser>
          <c:idx val="5"/>
          <c:order val="5"/>
          <c:tx>
            <c:strRef>
              <c:f>'CC70-Tendencial'!$R$275</c:f>
              <c:strCache>
                <c:ptCount val="1"/>
                <c:pt idx="0">
                  <c:v>2060</c:v>
                </c:pt>
              </c:strCache>
            </c:strRef>
          </c:tx>
          <c:spPr>
            <a:solidFill>
              <a:schemeClr val="accent6"/>
            </a:solidFill>
            <a:ln>
              <a:noFill/>
            </a:ln>
            <a:effectLst/>
          </c:spPr>
          <c:invertIfNegative val="0"/>
          <c:cat>
            <c:strRef>
              <c:f>'CC70-Tendencial'!$B$276:$B$282</c:f>
              <c:strCache>
                <c:ptCount val="7"/>
                <c:pt idx="0">
                  <c:v>Raza importada (Tendencial)</c:v>
                </c:pt>
                <c:pt idx="1">
                  <c:v>Raza criolla (Tendencial)</c:v>
                </c:pt>
                <c:pt idx="2">
                  <c:v>Raza mestiza (Tendencial)</c:v>
                </c:pt>
                <c:pt idx="4">
                  <c:v>Raza importada (CC70)</c:v>
                </c:pt>
                <c:pt idx="5">
                  <c:v>Raza criolla (CC70)</c:v>
                </c:pt>
                <c:pt idx="6">
                  <c:v>Raza mestiza (CC70)</c:v>
                </c:pt>
              </c:strCache>
            </c:strRef>
          </c:cat>
          <c:val>
            <c:numRef>
              <c:f>'CC70-Tendencial'!$R$276:$R$282</c:f>
              <c:numCache>
                <c:formatCode>General</c:formatCode>
                <c:ptCount val="7"/>
                <c:pt idx="0">
                  <c:v>39.299999999999997</c:v>
                </c:pt>
                <c:pt idx="1">
                  <c:v>24.8</c:v>
                </c:pt>
                <c:pt idx="2">
                  <c:v>35.9</c:v>
                </c:pt>
                <c:pt idx="4">
                  <c:v>35.549999999999997</c:v>
                </c:pt>
                <c:pt idx="5">
                  <c:v>21.05</c:v>
                </c:pt>
                <c:pt idx="6">
                  <c:v>43.4</c:v>
                </c:pt>
              </c:numCache>
            </c:numRef>
          </c:val>
          <c:extLst>
            <c:ext xmlns:c16="http://schemas.microsoft.com/office/drawing/2014/chart" uri="{C3380CC4-5D6E-409C-BE32-E72D297353CC}">
              <c16:uniqueId val="{00000005-C391-45AD-955C-EDDF922A89A0}"/>
            </c:ext>
          </c:extLst>
        </c:ser>
        <c:ser>
          <c:idx val="6"/>
          <c:order val="6"/>
          <c:tx>
            <c:strRef>
              <c:f>'CC70-Tendencial'!$S$275</c:f>
              <c:strCache>
                <c:ptCount val="1"/>
                <c:pt idx="0">
                  <c:v>2070</c:v>
                </c:pt>
              </c:strCache>
            </c:strRef>
          </c:tx>
          <c:spPr>
            <a:solidFill>
              <a:schemeClr val="accent1">
                <a:lumMod val="60000"/>
              </a:schemeClr>
            </a:solidFill>
            <a:ln>
              <a:noFill/>
            </a:ln>
            <a:effectLst/>
          </c:spPr>
          <c:invertIfNegative val="0"/>
          <c:cat>
            <c:strRef>
              <c:f>'CC70-Tendencial'!$B$276:$B$282</c:f>
              <c:strCache>
                <c:ptCount val="7"/>
                <c:pt idx="0">
                  <c:v>Raza importada (Tendencial)</c:v>
                </c:pt>
                <c:pt idx="1">
                  <c:v>Raza criolla (Tendencial)</c:v>
                </c:pt>
                <c:pt idx="2">
                  <c:v>Raza mestiza (Tendencial)</c:v>
                </c:pt>
                <c:pt idx="4">
                  <c:v>Raza importada (CC70)</c:v>
                </c:pt>
                <c:pt idx="5">
                  <c:v>Raza criolla (CC70)</c:v>
                </c:pt>
                <c:pt idx="6">
                  <c:v>Raza mestiza (CC70)</c:v>
                </c:pt>
              </c:strCache>
            </c:strRef>
          </c:cat>
          <c:val>
            <c:numRef>
              <c:f>'CC70-Tendencial'!$S$276:$S$282</c:f>
              <c:numCache>
                <c:formatCode>General</c:formatCode>
                <c:ptCount val="7"/>
                <c:pt idx="0">
                  <c:v>39.299999999999997</c:v>
                </c:pt>
                <c:pt idx="1">
                  <c:v>24.8</c:v>
                </c:pt>
                <c:pt idx="2">
                  <c:v>35.9</c:v>
                </c:pt>
                <c:pt idx="4">
                  <c:v>34.299999999999997</c:v>
                </c:pt>
                <c:pt idx="5">
                  <c:v>19.8</c:v>
                </c:pt>
                <c:pt idx="6">
                  <c:v>45.900000000000006</c:v>
                </c:pt>
              </c:numCache>
            </c:numRef>
          </c:val>
          <c:extLst>
            <c:ext xmlns:c16="http://schemas.microsoft.com/office/drawing/2014/chart" uri="{C3380CC4-5D6E-409C-BE32-E72D297353CC}">
              <c16:uniqueId val="{00000006-C391-45AD-955C-EDDF922A89A0}"/>
            </c:ext>
          </c:extLst>
        </c:ser>
        <c:dLbls>
          <c:showLegendKey val="0"/>
          <c:showVal val="0"/>
          <c:showCatName val="0"/>
          <c:showSerName val="0"/>
          <c:showPercent val="0"/>
          <c:showBubbleSize val="0"/>
        </c:dLbls>
        <c:gapWidth val="219"/>
        <c:axId val="1585045007"/>
        <c:axId val="1585046255"/>
      </c:barChart>
      <c:catAx>
        <c:axId val="1585045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046255"/>
        <c:crosses val="autoZero"/>
        <c:auto val="1"/>
        <c:lblAlgn val="ctr"/>
        <c:lblOffset val="100"/>
        <c:noMultiLvlLbl val="0"/>
      </c:catAx>
      <c:valAx>
        <c:axId val="15850462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Raza</a:t>
                </a:r>
                <a:r>
                  <a:rPr lang="en-US" baseline="0"/>
                  <a:t> en el hato</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045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Café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'CC70-Tendencial'!$A$181:$A$195</c:f>
              <c:strCache>
                <c:ptCount val="1"/>
                <c:pt idx="0">
                  <c:v>Datos Escenario Compromiso climático 2070 - F. NPK</c:v>
                </c:pt>
              </c:strCache>
            </c:strRef>
          </c:tx>
          <c:spPr>
            <a:solidFill>
              <a:schemeClr val="accent2"/>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'CC70-Tendencial'!$C$183:$J$183</c:f>
              <c:numCache>
                <c:formatCode>#,##0.000</c:formatCode>
                <c:ptCount val="8"/>
                <c:pt idx="0">
                  <c:v>200</c:v>
                </c:pt>
                <c:pt idx="1">
                  <c:v>200</c:v>
                </c:pt>
                <c:pt idx="2">
                  <c:v>182.15243164309661</c:v>
                </c:pt>
                <c:pt idx="3">
                  <c:v>193.11606671351785</c:v>
                </c:pt>
                <c:pt idx="4">
                  <c:v>204.08272498890102</c:v>
                </c:pt>
                <c:pt idx="5">
                  <c:v>223.79700167555038</c:v>
                </c:pt>
                <c:pt idx="6">
                  <c:v>268.69120173486795</c:v>
                </c:pt>
                <c:pt idx="7">
                  <c:v>323.28786701106321</c:v>
                </c:pt>
              </c:numCache>
            </c:numRef>
          </c:val>
          <c:extLst>
            <c:ext xmlns:c16="http://schemas.microsoft.com/office/drawing/2014/chart" uri="{C3380CC4-5D6E-409C-BE32-E72D297353CC}">
              <c16:uniqueId val="{00000000-D562-4459-BDFB-9075D45CB88A}"/>
            </c:ext>
          </c:extLst>
        </c:ser>
        <c:ser>
          <c:idx val="2"/>
          <c:order val="2"/>
          <c:tx>
            <c:strRef>
              <c:f>'CC70-Tendencial'!$A$197:$A$211</c:f>
              <c:strCache>
                <c:ptCount val="1"/>
                <c:pt idx="0">
                  <c:v>Datos Escenario Compromiso climático 2070 - Fertilizantes Orgánicos</c:v>
                </c:pt>
              </c:strCache>
            </c:strRef>
          </c:tx>
          <c:spPr>
            <a:solidFill>
              <a:schemeClr val="accent3"/>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'CC70-Tendencial'!$C$199:$J$199</c:f>
              <c:numCache>
                <c:formatCode>#,##0.000</c:formatCode>
                <c:ptCount val="8"/>
                <c:pt idx="0">
                  <c:v>0</c:v>
                </c:pt>
                <c:pt idx="1">
                  <c:v>0</c:v>
                </c:pt>
                <c:pt idx="2">
                  <c:v>5.6335803600957712</c:v>
                </c:pt>
                <c:pt idx="3">
                  <c:v>16.792701453349377</c:v>
                </c:pt>
                <c:pt idx="4">
                  <c:v>44.798646948783144</c:v>
                </c:pt>
                <c:pt idx="5">
                  <c:v>87.0321673182696</c:v>
                </c:pt>
                <c:pt idx="6">
                  <c:v>117.91484392681254</c:v>
                </c:pt>
                <c:pt idx="7">
                  <c:v>159.231337483061</c:v>
                </c:pt>
              </c:numCache>
            </c:numRef>
          </c:val>
          <c:extLst>
            <c:ext xmlns:c16="http://schemas.microsoft.com/office/drawing/2014/chart" uri="{C3380CC4-5D6E-409C-BE32-E72D297353CC}">
              <c16:uniqueId val="{00000001-D562-4459-BDFB-9075D45CB88A}"/>
            </c:ext>
          </c:extLst>
        </c:ser>
        <c:dLbls>
          <c:showLegendKey val="0"/>
          <c:showVal val="0"/>
          <c:showCatName val="0"/>
          <c:showSerName val="0"/>
          <c:showPercent val="0"/>
          <c:showBubbleSize val="0"/>
        </c:dLbls>
        <c:gapWidth val="100"/>
        <c:overlap val="100"/>
        <c:axId val="1192787183"/>
        <c:axId val="1192787599"/>
      </c:barChart>
      <c:lineChart>
        <c:grouping val="standard"/>
        <c:varyColors val="0"/>
        <c:ser>
          <c:idx val="0"/>
          <c:order val="0"/>
          <c:tx>
            <c:strRef>
              <c:f>'CC70-Tendencial'!$A$149:$A$163</c:f>
              <c:strCache>
                <c:ptCount val="1"/>
                <c:pt idx="0">
                  <c:v>Datos Escenario Tendencial - F. NPK</c:v>
                </c:pt>
              </c:strCache>
            </c:strRef>
          </c:tx>
          <c:spPr>
            <a:ln w="28575" cap="rnd">
              <a:solidFill>
                <a:schemeClr val="accent1"/>
              </a:solidFill>
              <a:round/>
            </a:ln>
            <a:effectLst/>
          </c:spPr>
          <c:marker>
            <c:symbol val="none"/>
          </c:marker>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'CC70-Tendencial'!$C$151:$J$151</c:f>
              <c:numCache>
                <c:formatCode>#,##0.000</c:formatCode>
                <c:ptCount val="8"/>
                <c:pt idx="0">
                  <c:v>200</c:v>
                </c:pt>
                <c:pt idx="1">
                  <c:v>200</c:v>
                </c:pt>
                <c:pt idx="2">
                  <c:v>191.07576874312957</c:v>
                </c:pt>
                <c:pt idx="3">
                  <c:v>209.60374730792913</c:v>
                </c:pt>
                <c:pt idx="4">
                  <c:v>244.36556569238533</c:v>
                </c:pt>
                <c:pt idx="5">
                  <c:v>300.78128016987165</c:v>
                </c:pt>
                <c:pt idx="6">
                  <c:v>366.79632651887874</c:v>
                </c:pt>
                <c:pt idx="7">
                  <c:v>449.26087463410698</c:v>
                </c:pt>
              </c:numCache>
            </c:numRef>
          </c:val>
          <c:smooth val="0"/>
          <c:extLst>
            <c:ext xmlns:c16="http://schemas.microsoft.com/office/drawing/2014/chart" uri="{C3380CC4-5D6E-409C-BE32-E72D297353CC}">
              <c16:uniqueId val="{00000002-D562-4459-BDFB-9075D45CB88A}"/>
            </c:ext>
          </c:extLst>
        </c:ser>
        <c:dLbls>
          <c:showLegendKey val="0"/>
          <c:showVal val="0"/>
          <c:showCatName val="0"/>
          <c:showSerName val="0"/>
          <c:showPercent val="0"/>
          <c:showBubbleSize val="0"/>
        </c:dLbls>
        <c:marker val="1"/>
        <c:smooth val="0"/>
        <c:axId val="1192787183"/>
        <c:axId val="1192787599"/>
      </c:lineChart>
      <c:catAx>
        <c:axId val="1192787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599"/>
        <c:crosses val="autoZero"/>
        <c:auto val="1"/>
        <c:lblAlgn val="ctr"/>
        <c:lblOffset val="100"/>
        <c:noMultiLvlLbl val="0"/>
      </c:catAx>
      <c:valAx>
        <c:axId val="119278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Fertilizantes [kg/ha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Caña de azúcar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'CC70-Tendencial'!$A$181:$A$195</c:f>
              <c:strCache>
                <c:ptCount val="1"/>
                <c:pt idx="0">
                  <c:v>Datos Escenario Compromiso climático 2070 - F. NPK</c:v>
                </c:pt>
              </c:strCache>
            </c:strRef>
          </c:tx>
          <c:spPr>
            <a:solidFill>
              <a:schemeClr val="accent2"/>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'CC70-Tendencial'!$C$184:$J$184</c:f>
              <c:numCache>
                <c:formatCode>#,##0.000</c:formatCode>
                <c:ptCount val="8"/>
                <c:pt idx="0">
                  <c:v>466</c:v>
                </c:pt>
                <c:pt idx="1">
                  <c:v>367.7</c:v>
                </c:pt>
                <c:pt idx="2">
                  <c:v>451.52373349647593</c:v>
                </c:pt>
                <c:pt idx="3">
                  <c:v>478.70065007692011</c:v>
                </c:pt>
                <c:pt idx="4">
                  <c:v>505.8850606489579</c:v>
                </c:pt>
                <c:pt idx="5">
                  <c:v>554.75327356515834</c:v>
                </c:pt>
                <c:pt idx="6">
                  <c:v>666.03807300631399</c:v>
                </c:pt>
                <c:pt idx="7">
                  <c:v>801.37357152036498</c:v>
                </c:pt>
              </c:numCache>
            </c:numRef>
          </c:val>
          <c:extLst>
            <c:ext xmlns:c16="http://schemas.microsoft.com/office/drawing/2014/chart" uri="{C3380CC4-5D6E-409C-BE32-E72D297353CC}">
              <c16:uniqueId val="{00000000-8C98-42FA-8E4A-0D03B7386C5D}"/>
            </c:ext>
          </c:extLst>
        </c:ser>
        <c:ser>
          <c:idx val="2"/>
          <c:order val="2"/>
          <c:tx>
            <c:strRef>
              <c:f>'CC70-Tendencial'!$A$197:$A$211</c:f>
              <c:strCache>
                <c:ptCount val="1"/>
                <c:pt idx="0">
                  <c:v>Datos Escenario Compromiso climático 2070 - Fertilizantes Orgánicos</c:v>
                </c:pt>
              </c:strCache>
            </c:strRef>
          </c:tx>
          <c:spPr>
            <a:solidFill>
              <a:schemeClr val="accent3"/>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'CC70-Tendencial'!$C$200:$J$200</c:f>
              <c:numCache>
                <c:formatCode>#,##0.000</c:formatCode>
                <c:ptCount val="8"/>
                <c:pt idx="0">
                  <c:v>0</c:v>
                </c:pt>
                <c:pt idx="1">
                  <c:v>0</c:v>
                </c:pt>
                <c:pt idx="2">
                  <c:v>13.964651551437399</c:v>
                </c:pt>
                <c:pt idx="3">
                  <c:v>41.626143484949573</c:v>
                </c:pt>
                <c:pt idx="4">
                  <c:v>111.04794014245417</c:v>
                </c:pt>
                <c:pt idx="5">
                  <c:v>215.73738416422827</c:v>
                </c:pt>
                <c:pt idx="6">
                  <c:v>292.29008959269891</c:v>
                </c:pt>
                <c:pt idx="7">
                  <c:v>394.70638597271716</c:v>
                </c:pt>
              </c:numCache>
            </c:numRef>
          </c:val>
          <c:extLst>
            <c:ext xmlns:c16="http://schemas.microsoft.com/office/drawing/2014/chart" uri="{C3380CC4-5D6E-409C-BE32-E72D297353CC}">
              <c16:uniqueId val="{00000001-8C98-42FA-8E4A-0D03B7386C5D}"/>
            </c:ext>
          </c:extLst>
        </c:ser>
        <c:dLbls>
          <c:showLegendKey val="0"/>
          <c:showVal val="0"/>
          <c:showCatName val="0"/>
          <c:showSerName val="0"/>
          <c:showPercent val="0"/>
          <c:showBubbleSize val="0"/>
        </c:dLbls>
        <c:gapWidth val="100"/>
        <c:overlap val="100"/>
        <c:axId val="1192787183"/>
        <c:axId val="1192787599"/>
      </c:barChart>
      <c:lineChart>
        <c:grouping val="standard"/>
        <c:varyColors val="0"/>
        <c:ser>
          <c:idx val="0"/>
          <c:order val="0"/>
          <c:tx>
            <c:strRef>
              <c:f>'CC70-Tendencial'!$A$149:$A$163</c:f>
              <c:strCache>
                <c:ptCount val="1"/>
                <c:pt idx="0">
                  <c:v>Datos Escenario Tendencial - F. NPK</c:v>
                </c:pt>
              </c:strCache>
            </c:strRef>
          </c:tx>
          <c:spPr>
            <a:ln w="28575" cap="rnd">
              <a:solidFill>
                <a:schemeClr val="accent1"/>
              </a:solidFill>
              <a:round/>
            </a:ln>
            <a:effectLst/>
          </c:spPr>
          <c:marker>
            <c:symbol val="none"/>
          </c:marker>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'CC70-Tendencial'!$C$152:$J$152</c:f>
              <c:numCache>
                <c:formatCode>#,##0.000</c:formatCode>
                <c:ptCount val="8"/>
                <c:pt idx="0">
                  <c:v>466</c:v>
                </c:pt>
                <c:pt idx="1">
                  <c:v>367.7</c:v>
                </c:pt>
                <c:pt idx="2">
                  <c:v>473.64311146091057</c:v>
                </c:pt>
                <c:pt idx="3">
                  <c:v>519.57070067977247</c:v>
                </c:pt>
                <c:pt idx="4">
                  <c:v>605.73911401630085</c:v>
                </c:pt>
                <c:pt idx="5">
                  <c:v>745.58371449167009</c:v>
                </c:pt>
                <c:pt idx="6">
                  <c:v>909.22336467679713</c:v>
                </c:pt>
                <c:pt idx="7">
                  <c:v>1113.6384268871336</c:v>
                </c:pt>
              </c:numCache>
            </c:numRef>
          </c:val>
          <c:smooth val="0"/>
          <c:extLst>
            <c:ext xmlns:c16="http://schemas.microsoft.com/office/drawing/2014/chart" uri="{C3380CC4-5D6E-409C-BE32-E72D297353CC}">
              <c16:uniqueId val="{00000002-8C98-42FA-8E4A-0D03B7386C5D}"/>
            </c:ext>
          </c:extLst>
        </c:ser>
        <c:dLbls>
          <c:showLegendKey val="0"/>
          <c:showVal val="0"/>
          <c:showCatName val="0"/>
          <c:showSerName val="0"/>
          <c:showPercent val="0"/>
          <c:showBubbleSize val="0"/>
        </c:dLbls>
        <c:marker val="1"/>
        <c:smooth val="0"/>
        <c:axId val="1192787183"/>
        <c:axId val="1192787599"/>
      </c:lineChart>
      <c:catAx>
        <c:axId val="1192787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599"/>
        <c:crosses val="autoZero"/>
        <c:auto val="1"/>
        <c:lblAlgn val="ctr"/>
        <c:lblOffset val="100"/>
        <c:noMultiLvlLbl val="0"/>
      </c:catAx>
      <c:valAx>
        <c:axId val="119278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Fertilizantes [kg/ha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Maiz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'CC70-Tendencial'!$A$181:$A$195</c:f>
              <c:strCache>
                <c:ptCount val="1"/>
                <c:pt idx="0">
                  <c:v>Datos Escenario Compromiso climático 2070 - F. NPK</c:v>
                </c:pt>
              </c:strCache>
            </c:strRef>
          </c:tx>
          <c:spPr>
            <a:solidFill>
              <a:schemeClr val="accent2"/>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'CC70-Tendencial'!$C$185:$J$185</c:f>
              <c:numCache>
                <c:formatCode>#,##0.000</c:formatCode>
                <c:ptCount val="8"/>
                <c:pt idx="0">
                  <c:v>517</c:v>
                </c:pt>
                <c:pt idx="1">
                  <c:v>650.4</c:v>
                </c:pt>
                <c:pt idx="2">
                  <c:v>664.96352398650436</c:v>
                </c:pt>
                <c:pt idx="3">
                  <c:v>704.98724119064207</c:v>
                </c:pt>
                <c:pt idx="4">
                  <c:v>745.02199487124687</c:v>
                </c:pt>
                <c:pt idx="5">
                  <c:v>816.99070141086236</c:v>
                </c:pt>
                <c:pt idx="6">
                  <c:v>980.88093998034799</c:v>
                </c:pt>
                <c:pt idx="7">
                  <c:v>1180.1908839239177</c:v>
                </c:pt>
              </c:numCache>
            </c:numRef>
          </c:val>
          <c:extLst>
            <c:ext xmlns:c16="http://schemas.microsoft.com/office/drawing/2014/chart" uri="{C3380CC4-5D6E-409C-BE32-E72D297353CC}">
              <c16:uniqueId val="{00000000-BC08-4270-A2D3-58D654544217}"/>
            </c:ext>
          </c:extLst>
        </c:ser>
        <c:ser>
          <c:idx val="2"/>
          <c:order val="2"/>
          <c:tx>
            <c:strRef>
              <c:f>'CC70-Tendencial'!$A$197:$A$211</c:f>
              <c:strCache>
                <c:ptCount val="1"/>
                <c:pt idx="0">
                  <c:v>Datos Escenario Compromiso climático 2070 - Fertilizantes Orgánicos</c:v>
                </c:pt>
              </c:strCache>
            </c:strRef>
          </c:tx>
          <c:spPr>
            <a:solidFill>
              <a:schemeClr val="accent3"/>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'CC70-Tendencial'!$C$201:$J$201</c:f>
              <c:numCache>
                <c:formatCode>#,##0.000</c:formatCode>
                <c:ptCount val="8"/>
                <c:pt idx="0">
                  <c:v>0</c:v>
                </c:pt>
                <c:pt idx="1">
                  <c:v>0</c:v>
                </c:pt>
                <c:pt idx="2">
                  <c:v>20.565882185149622</c:v>
                </c:pt>
                <c:pt idx="3">
                  <c:v>61.303238364403661</c:v>
                </c:pt>
                <c:pt idx="4">
                  <c:v>163.54141350832248</c:v>
                </c:pt>
                <c:pt idx="5">
                  <c:v>317.71860610422431</c:v>
                </c:pt>
                <c:pt idx="6">
                  <c:v>430.45854200576417</c:v>
                </c:pt>
                <c:pt idx="7">
                  <c:v>581.28804730581032</c:v>
                </c:pt>
              </c:numCache>
            </c:numRef>
          </c:val>
          <c:extLst>
            <c:ext xmlns:c16="http://schemas.microsoft.com/office/drawing/2014/chart" uri="{C3380CC4-5D6E-409C-BE32-E72D297353CC}">
              <c16:uniqueId val="{00000001-BC08-4270-A2D3-58D654544217}"/>
            </c:ext>
          </c:extLst>
        </c:ser>
        <c:dLbls>
          <c:showLegendKey val="0"/>
          <c:showVal val="0"/>
          <c:showCatName val="0"/>
          <c:showSerName val="0"/>
          <c:showPercent val="0"/>
          <c:showBubbleSize val="0"/>
        </c:dLbls>
        <c:gapWidth val="100"/>
        <c:overlap val="100"/>
        <c:axId val="1192787183"/>
        <c:axId val="1192787599"/>
      </c:barChart>
      <c:lineChart>
        <c:grouping val="standard"/>
        <c:varyColors val="0"/>
        <c:ser>
          <c:idx val="0"/>
          <c:order val="0"/>
          <c:tx>
            <c:strRef>
              <c:f>'CC70-Tendencial'!$A$149:$A$163</c:f>
              <c:strCache>
                <c:ptCount val="1"/>
                <c:pt idx="0">
                  <c:v>Datos Escenario Tendencial - F. NPK</c:v>
                </c:pt>
              </c:strCache>
            </c:strRef>
          </c:tx>
          <c:spPr>
            <a:ln w="28575" cap="rnd">
              <a:solidFill>
                <a:schemeClr val="accent1"/>
              </a:solidFill>
              <a:round/>
            </a:ln>
            <a:effectLst/>
          </c:spPr>
          <c:marker>
            <c:symbol val="none"/>
          </c:marker>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'CC70-Tendencial'!$C$153:$J$153</c:f>
              <c:numCache>
                <c:formatCode>#,##0.000</c:formatCode>
                <c:ptCount val="8"/>
                <c:pt idx="0">
                  <c:v>517</c:v>
                </c:pt>
                <c:pt idx="1">
                  <c:v>650.4</c:v>
                </c:pt>
                <c:pt idx="2">
                  <c:v>697.53895342344822</c:v>
                </c:pt>
                <c:pt idx="3">
                  <c:v>765.17697399588701</c:v>
                </c:pt>
                <c:pt idx="4">
                  <c:v>892.07805922761372</c:v>
                </c:pt>
                <c:pt idx="5">
                  <c:v>1098.0286027848379</c:v>
                </c:pt>
                <c:pt idx="6">
                  <c:v>1339.0223543389195</c:v>
                </c:pt>
                <c:pt idx="7">
                  <c:v>1640.0664635172177</c:v>
                </c:pt>
              </c:numCache>
            </c:numRef>
          </c:val>
          <c:smooth val="0"/>
          <c:extLst>
            <c:ext xmlns:c16="http://schemas.microsoft.com/office/drawing/2014/chart" uri="{C3380CC4-5D6E-409C-BE32-E72D297353CC}">
              <c16:uniqueId val="{00000002-BC08-4270-A2D3-58D654544217}"/>
            </c:ext>
          </c:extLst>
        </c:ser>
        <c:dLbls>
          <c:showLegendKey val="0"/>
          <c:showVal val="0"/>
          <c:showCatName val="0"/>
          <c:showSerName val="0"/>
          <c:showPercent val="0"/>
          <c:showBubbleSize val="0"/>
        </c:dLbls>
        <c:marker val="1"/>
        <c:smooth val="0"/>
        <c:axId val="1192787183"/>
        <c:axId val="1192787599"/>
      </c:lineChart>
      <c:catAx>
        <c:axId val="1192787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599"/>
        <c:crosses val="autoZero"/>
        <c:auto val="1"/>
        <c:lblAlgn val="ctr"/>
        <c:lblOffset val="100"/>
        <c:noMultiLvlLbl val="0"/>
      </c:catAx>
      <c:valAx>
        <c:axId val="119278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Fertilizantes [kg/ha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Palma africana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'CC70-Tendencial'!$A$181:$A$195</c:f>
              <c:strCache>
                <c:ptCount val="1"/>
                <c:pt idx="0">
                  <c:v>Datos Escenario Compromiso climático 2070 - F. NPK</c:v>
                </c:pt>
              </c:strCache>
            </c:strRef>
          </c:tx>
          <c:spPr>
            <a:solidFill>
              <a:schemeClr val="accent2"/>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'CC70-Tendencial'!$C$186:$J$186</c:f>
              <c:numCache>
                <c:formatCode>#,##0.000</c:formatCode>
                <c:ptCount val="8"/>
                <c:pt idx="0">
                  <c:v>201.02416595832574</c:v>
                </c:pt>
                <c:pt idx="1">
                  <c:v>199.73610791490233</c:v>
                </c:pt>
                <c:pt idx="2">
                  <c:v>288.12228746369806</c:v>
                </c:pt>
                <c:pt idx="3">
                  <c:v>305.46417846626429</c:v>
                </c:pt>
                <c:pt idx="4">
                  <c:v>322.81085146773802</c:v>
                </c:pt>
                <c:pt idx="5">
                  <c:v>353.99419853267926</c:v>
                </c:pt>
                <c:pt idx="6">
                  <c:v>425.00625968532933</c:v>
                </c:pt>
                <c:pt idx="7">
                  <c:v>511.3653378780877</c:v>
                </c:pt>
              </c:numCache>
            </c:numRef>
          </c:val>
          <c:extLst>
            <c:ext xmlns:c16="http://schemas.microsoft.com/office/drawing/2014/chart" uri="{C3380CC4-5D6E-409C-BE32-E72D297353CC}">
              <c16:uniqueId val="{00000000-E465-4E74-88DD-3A8A9526E585}"/>
            </c:ext>
          </c:extLst>
        </c:ser>
        <c:ser>
          <c:idx val="2"/>
          <c:order val="2"/>
          <c:tx>
            <c:strRef>
              <c:f>'CC70-Tendencial'!$A$197:$A$211</c:f>
              <c:strCache>
                <c:ptCount val="1"/>
                <c:pt idx="0">
                  <c:v>Datos Escenario Compromiso climático 2070 - Fertilizantes Orgánicos</c:v>
                </c:pt>
              </c:strCache>
            </c:strRef>
          </c:tx>
          <c:spPr>
            <a:solidFill>
              <a:schemeClr val="accent3"/>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'CC70-Tendencial'!$C$202:$J$202</c:f>
              <c:numCache>
                <c:formatCode>#,##0.000</c:formatCode>
                <c:ptCount val="8"/>
                <c:pt idx="0">
                  <c:v>0</c:v>
                </c:pt>
                <c:pt idx="1">
                  <c:v>0</c:v>
                </c:pt>
                <c:pt idx="2">
                  <c:v>8.9109985813514871</c:v>
                </c:pt>
                <c:pt idx="3">
                  <c:v>26.562102475327329</c:v>
                </c:pt>
                <c:pt idx="4">
                  <c:v>70.860918614869306</c:v>
                </c:pt>
                <c:pt idx="5">
                  <c:v>137.66441054048641</c:v>
                </c:pt>
                <c:pt idx="6">
                  <c:v>186.51353842305818</c:v>
                </c:pt>
                <c:pt idx="7">
                  <c:v>251.86650970114772</c:v>
                </c:pt>
              </c:numCache>
            </c:numRef>
          </c:val>
          <c:extLst>
            <c:ext xmlns:c16="http://schemas.microsoft.com/office/drawing/2014/chart" uri="{C3380CC4-5D6E-409C-BE32-E72D297353CC}">
              <c16:uniqueId val="{00000001-E465-4E74-88DD-3A8A9526E585}"/>
            </c:ext>
          </c:extLst>
        </c:ser>
        <c:dLbls>
          <c:showLegendKey val="0"/>
          <c:showVal val="0"/>
          <c:showCatName val="0"/>
          <c:showSerName val="0"/>
          <c:showPercent val="0"/>
          <c:showBubbleSize val="0"/>
        </c:dLbls>
        <c:gapWidth val="100"/>
        <c:overlap val="100"/>
        <c:axId val="1192787183"/>
        <c:axId val="1192787599"/>
      </c:barChart>
      <c:lineChart>
        <c:grouping val="standard"/>
        <c:varyColors val="0"/>
        <c:ser>
          <c:idx val="0"/>
          <c:order val="0"/>
          <c:tx>
            <c:strRef>
              <c:f>'CC70-Tendencial'!$A$149:$A$163</c:f>
              <c:strCache>
                <c:ptCount val="1"/>
                <c:pt idx="0">
                  <c:v>Datos Escenario Tendencial - F. NPK</c:v>
                </c:pt>
              </c:strCache>
            </c:strRef>
          </c:tx>
          <c:spPr>
            <a:ln w="28575" cap="rnd">
              <a:solidFill>
                <a:schemeClr val="accent1"/>
              </a:solidFill>
              <a:round/>
            </a:ln>
            <a:effectLst/>
          </c:spPr>
          <c:marker>
            <c:symbol val="none"/>
          </c:marker>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'CC70-Tendencial'!$C$154:$J$154</c:f>
              <c:numCache>
                <c:formatCode>#,##0.000</c:formatCode>
                <c:ptCount val="8"/>
                <c:pt idx="0">
                  <c:v>201.02416595832574</c:v>
                </c:pt>
                <c:pt idx="1">
                  <c:v>199.73610791490233</c:v>
                </c:pt>
                <c:pt idx="2">
                  <c:v>302.23690714722079</c:v>
                </c:pt>
                <c:pt idx="3">
                  <c:v>331.54380971236543</c:v>
                </c:pt>
                <c:pt idx="4">
                  <c:v>386.52882714519052</c:v>
                </c:pt>
                <c:pt idx="5">
                  <c:v>475.76521316281452</c:v>
                </c:pt>
                <c:pt idx="6">
                  <c:v>580.18548353486176</c:v>
                </c:pt>
                <c:pt idx="7">
                  <c:v>710.62499523006693</c:v>
                </c:pt>
              </c:numCache>
            </c:numRef>
          </c:val>
          <c:smooth val="0"/>
          <c:extLst>
            <c:ext xmlns:c16="http://schemas.microsoft.com/office/drawing/2014/chart" uri="{C3380CC4-5D6E-409C-BE32-E72D297353CC}">
              <c16:uniqueId val="{00000002-E465-4E74-88DD-3A8A9526E585}"/>
            </c:ext>
          </c:extLst>
        </c:ser>
        <c:dLbls>
          <c:showLegendKey val="0"/>
          <c:showVal val="0"/>
          <c:showCatName val="0"/>
          <c:showSerName val="0"/>
          <c:showPercent val="0"/>
          <c:showBubbleSize val="0"/>
        </c:dLbls>
        <c:marker val="1"/>
        <c:smooth val="0"/>
        <c:axId val="1192787183"/>
        <c:axId val="1192787599"/>
      </c:lineChart>
      <c:catAx>
        <c:axId val="1192787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599"/>
        <c:crosses val="autoZero"/>
        <c:auto val="1"/>
        <c:lblAlgn val="ctr"/>
        <c:lblOffset val="100"/>
        <c:noMultiLvlLbl val="0"/>
      </c:catAx>
      <c:valAx>
        <c:axId val="119278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Fertilizantes [kg/ha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Soya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'CC70-Tendencial'!$A$181:$A$195</c:f>
              <c:strCache>
                <c:ptCount val="1"/>
                <c:pt idx="0">
                  <c:v>Datos Escenario Compromiso climático 2070 - F. NPK</c:v>
                </c:pt>
              </c:strCache>
            </c:strRef>
          </c:tx>
          <c:spPr>
            <a:solidFill>
              <a:schemeClr val="accent2"/>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'CC70-Tendencial'!$C$187:$J$187</c:f>
              <c:numCache>
                <c:formatCode>#,##0.000</c:formatCode>
                <c:ptCount val="8"/>
                <c:pt idx="0">
                  <c:v>107.77264867839591</c:v>
                </c:pt>
                <c:pt idx="1">
                  <c:v>156.70408071033322</c:v>
                </c:pt>
                <c:pt idx="2">
                  <c:v>113.77284336276315</c:v>
                </c:pt>
                <c:pt idx="3">
                  <c:v>120.02892539271402</c:v>
                </c:pt>
                <c:pt idx="4">
                  <c:v>125.6304610215857</c:v>
                </c:pt>
                <c:pt idx="5">
                  <c:v>136.48475566757244</c:v>
                </c:pt>
                <c:pt idx="6">
                  <c:v>162.38249660061476</c:v>
                </c:pt>
                <c:pt idx="7">
                  <c:v>193.66039830849505</c:v>
                </c:pt>
              </c:numCache>
            </c:numRef>
          </c:val>
          <c:extLst>
            <c:ext xmlns:c16="http://schemas.microsoft.com/office/drawing/2014/chart" uri="{C3380CC4-5D6E-409C-BE32-E72D297353CC}">
              <c16:uniqueId val="{00000000-BF2D-4953-9CF4-543419352111}"/>
            </c:ext>
          </c:extLst>
        </c:ser>
        <c:ser>
          <c:idx val="2"/>
          <c:order val="2"/>
          <c:tx>
            <c:strRef>
              <c:f>'CC70-Tendencial'!$A$197:$A$211</c:f>
              <c:strCache>
                <c:ptCount val="1"/>
                <c:pt idx="0">
                  <c:v>Datos Escenario Compromiso climático 2070 - Fertilizantes Orgánicos</c:v>
                </c:pt>
              </c:strCache>
            </c:strRef>
          </c:tx>
          <c:spPr>
            <a:solidFill>
              <a:schemeClr val="accent3"/>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'CC70-Tendencial'!$C$203:$J$203</c:f>
              <c:numCache>
                <c:formatCode>#,##0.000</c:formatCode>
                <c:ptCount val="8"/>
                <c:pt idx="0">
                  <c:v>0</c:v>
                </c:pt>
                <c:pt idx="1">
                  <c:v>0</c:v>
                </c:pt>
                <c:pt idx="2">
                  <c:v>3.5187477328689636</c:v>
                </c:pt>
                <c:pt idx="3">
                  <c:v>10.437297860236001</c:v>
                </c:pt>
                <c:pt idx="4">
                  <c:v>27.577418273031004</c:v>
                </c:pt>
                <c:pt idx="5">
                  <c:v>53.077404981833737</c:v>
                </c:pt>
                <c:pt idx="6">
                  <c:v>71.261383400269779</c:v>
                </c:pt>
                <c:pt idx="7">
                  <c:v>95.38497230119907</c:v>
                </c:pt>
              </c:numCache>
            </c:numRef>
          </c:val>
          <c:extLst>
            <c:ext xmlns:c16="http://schemas.microsoft.com/office/drawing/2014/chart" uri="{C3380CC4-5D6E-409C-BE32-E72D297353CC}">
              <c16:uniqueId val="{00000001-BF2D-4953-9CF4-543419352111}"/>
            </c:ext>
          </c:extLst>
        </c:ser>
        <c:dLbls>
          <c:showLegendKey val="0"/>
          <c:showVal val="0"/>
          <c:showCatName val="0"/>
          <c:showSerName val="0"/>
          <c:showPercent val="0"/>
          <c:showBubbleSize val="0"/>
        </c:dLbls>
        <c:gapWidth val="100"/>
        <c:overlap val="100"/>
        <c:axId val="1192787183"/>
        <c:axId val="1192787599"/>
      </c:barChart>
      <c:lineChart>
        <c:grouping val="standard"/>
        <c:varyColors val="0"/>
        <c:ser>
          <c:idx val="0"/>
          <c:order val="0"/>
          <c:tx>
            <c:strRef>
              <c:f>'CC70-Tendencial'!$A$149:$A$163</c:f>
              <c:strCache>
                <c:ptCount val="1"/>
                <c:pt idx="0">
                  <c:v>Datos Escenario Tendencial - F. NPK</c:v>
                </c:pt>
              </c:strCache>
            </c:strRef>
          </c:tx>
          <c:spPr>
            <a:ln w="28575" cap="rnd">
              <a:solidFill>
                <a:schemeClr val="accent1"/>
              </a:solidFill>
              <a:round/>
            </a:ln>
            <a:effectLst/>
          </c:spPr>
          <c:marker>
            <c:symbol val="none"/>
          </c:marker>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'CC70-Tendencial'!$C$155:$J$155</c:f>
              <c:numCache>
                <c:formatCode>#,##0.000</c:formatCode>
                <c:ptCount val="8"/>
                <c:pt idx="0">
                  <c:v>107.77264867839591</c:v>
                </c:pt>
                <c:pt idx="1">
                  <c:v>156.70408071033322</c:v>
                </c:pt>
                <c:pt idx="2">
                  <c:v>119.70334924201941</c:v>
                </c:pt>
                <c:pt idx="3">
                  <c:v>131.31058287232028</c:v>
                </c:pt>
                <c:pt idx="4">
                  <c:v>153.087839683759</c:v>
                </c:pt>
                <c:pt idx="5">
                  <c:v>188.43062551818431</c:v>
                </c:pt>
                <c:pt idx="6">
                  <c:v>229.78711043682699</c:v>
                </c:pt>
                <c:pt idx="7">
                  <c:v>281.44872440313179</c:v>
                </c:pt>
              </c:numCache>
            </c:numRef>
          </c:val>
          <c:smooth val="0"/>
          <c:extLst>
            <c:ext xmlns:c16="http://schemas.microsoft.com/office/drawing/2014/chart" uri="{C3380CC4-5D6E-409C-BE32-E72D297353CC}">
              <c16:uniqueId val="{00000002-BF2D-4953-9CF4-543419352111}"/>
            </c:ext>
          </c:extLst>
        </c:ser>
        <c:dLbls>
          <c:showLegendKey val="0"/>
          <c:showVal val="0"/>
          <c:showCatName val="0"/>
          <c:showSerName val="0"/>
          <c:showPercent val="0"/>
          <c:showBubbleSize val="0"/>
        </c:dLbls>
        <c:marker val="1"/>
        <c:smooth val="0"/>
        <c:axId val="1192787183"/>
        <c:axId val="1192787599"/>
      </c:lineChart>
      <c:catAx>
        <c:axId val="1192787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599"/>
        <c:crosses val="autoZero"/>
        <c:auto val="1"/>
        <c:lblAlgn val="ctr"/>
        <c:lblOffset val="100"/>
        <c:noMultiLvlLbl val="0"/>
      </c:catAx>
      <c:valAx>
        <c:axId val="119278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Fertilizantes [kg/ha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Palmito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'CC70-Tendencial'!$A$181:$A$195</c:f>
              <c:strCache>
                <c:ptCount val="1"/>
                <c:pt idx="0">
                  <c:v>Datos Escenario Compromiso climático 2070 - F. NPK</c:v>
                </c:pt>
              </c:strCache>
            </c:strRef>
          </c:tx>
          <c:spPr>
            <a:solidFill>
              <a:schemeClr val="accent2"/>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'CC70-Tendencial'!$C$188:$J$188</c:f>
              <c:numCache>
                <c:formatCode>#,##0.000</c:formatCode>
                <c:ptCount val="8"/>
                <c:pt idx="0">
                  <c:v>133.29921508867</c:v>
                </c:pt>
                <c:pt idx="1">
                  <c:v>211.50616730098926</c:v>
                </c:pt>
                <c:pt idx="2">
                  <c:v>235.29712929872917</c:v>
                </c:pt>
                <c:pt idx="3">
                  <c:v>249.45950877112395</c:v>
                </c:pt>
                <c:pt idx="4">
                  <c:v>263.62579349717038</c:v>
                </c:pt>
                <c:pt idx="5">
                  <c:v>289.09189718146496</c:v>
                </c:pt>
                <c:pt idx="6">
                  <c:v>347.08440543860428</c:v>
                </c:pt>
                <c:pt idx="7">
                  <c:v>417.61016506141982</c:v>
                </c:pt>
              </c:numCache>
            </c:numRef>
          </c:val>
          <c:extLst>
            <c:ext xmlns:c16="http://schemas.microsoft.com/office/drawing/2014/chart" uri="{C3380CC4-5D6E-409C-BE32-E72D297353CC}">
              <c16:uniqueId val="{00000000-0AA6-49F8-A371-45E69A4C56F3}"/>
            </c:ext>
          </c:extLst>
        </c:ser>
        <c:ser>
          <c:idx val="2"/>
          <c:order val="2"/>
          <c:tx>
            <c:strRef>
              <c:f>'CC70-Tendencial'!$A$197:$A$211</c:f>
              <c:strCache>
                <c:ptCount val="1"/>
                <c:pt idx="0">
                  <c:v>Datos Escenario Compromiso climático 2070 - Fertilizantes Orgánicos</c:v>
                </c:pt>
              </c:strCache>
            </c:strRef>
          </c:tx>
          <c:spPr>
            <a:solidFill>
              <a:schemeClr val="accent3"/>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'CC70-Tendencial'!$C$204:$J$204</c:f>
              <c:numCache>
                <c:formatCode>#,##0.000</c:formatCode>
                <c:ptCount val="8"/>
                <c:pt idx="0">
                  <c:v>0</c:v>
                </c:pt>
                <c:pt idx="1">
                  <c:v>0</c:v>
                </c:pt>
                <c:pt idx="2">
                  <c:v>7.27723080305348</c:v>
                </c:pt>
                <c:pt idx="3">
                  <c:v>21.69213119748904</c:v>
                </c:pt>
                <c:pt idx="4">
                  <c:v>57.86907662133008</c:v>
                </c:pt>
                <c:pt idx="5">
                  <c:v>112.42462668168083</c:v>
                </c:pt>
                <c:pt idx="6">
                  <c:v>152.31761677521482</c:v>
                </c:pt>
                <c:pt idx="7">
                  <c:v>205.68858876159487</c:v>
                </c:pt>
              </c:numCache>
            </c:numRef>
          </c:val>
          <c:extLst>
            <c:ext xmlns:c16="http://schemas.microsoft.com/office/drawing/2014/chart" uri="{C3380CC4-5D6E-409C-BE32-E72D297353CC}">
              <c16:uniqueId val="{00000001-0AA6-49F8-A371-45E69A4C56F3}"/>
            </c:ext>
          </c:extLst>
        </c:ser>
        <c:dLbls>
          <c:showLegendKey val="0"/>
          <c:showVal val="0"/>
          <c:showCatName val="0"/>
          <c:showSerName val="0"/>
          <c:showPercent val="0"/>
          <c:showBubbleSize val="0"/>
        </c:dLbls>
        <c:gapWidth val="100"/>
        <c:overlap val="100"/>
        <c:axId val="1192787183"/>
        <c:axId val="1192787599"/>
      </c:barChart>
      <c:lineChart>
        <c:grouping val="standard"/>
        <c:varyColors val="0"/>
        <c:ser>
          <c:idx val="0"/>
          <c:order val="0"/>
          <c:tx>
            <c:strRef>
              <c:f>'CC70-Tendencial'!$A$149:$A$163</c:f>
              <c:strCache>
                <c:ptCount val="1"/>
                <c:pt idx="0">
                  <c:v>Datos Escenario Tendencial - F. NPK</c:v>
                </c:pt>
              </c:strCache>
            </c:strRef>
          </c:tx>
          <c:spPr>
            <a:ln w="28575" cap="rnd">
              <a:solidFill>
                <a:schemeClr val="accent1"/>
              </a:solidFill>
              <a:round/>
            </a:ln>
            <a:effectLst/>
          </c:spPr>
          <c:marker>
            <c:symbol val="none"/>
          </c:marker>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'CC70-Tendencial'!$C$156:$J$156</c:f>
              <c:numCache>
                <c:formatCode>#,##0.000</c:formatCode>
                <c:ptCount val="8"/>
                <c:pt idx="0">
                  <c:v>133.29921508867</c:v>
                </c:pt>
                <c:pt idx="1">
                  <c:v>211.50616730098926</c:v>
                </c:pt>
                <c:pt idx="2">
                  <c:v>246.82393453796178</c:v>
                </c:pt>
                <c:pt idx="3">
                  <c:v>270.75762638429262</c:v>
                </c:pt>
                <c:pt idx="4">
                  <c:v>315.66153461809921</c:v>
                </c:pt>
                <c:pt idx="5">
                  <c:v>388.53706828047075</c:v>
                </c:pt>
                <c:pt idx="6">
                  <c:v>473.81262983256181</c:v>
                </c:pt>
                <c:pt idx="7">
                  <c:v>580.33699113479827</c:v>
                </c:pt>
              </c:numCache>
            </c:numRef>
          </c:val>
          <c:smooth val="0"/>
          <c:extLst>
            <c:ext xmlns:c16="http://schemas.microsoft.com/office/drawing/2014/chart" uri="{C3380CC4-5D6E-409C-BE32-E72D297353CC}">
              <c16:uniqueId val="{00000002-0AA6-49F8-A371-45E69A4C56F3}"/>
            </c:ext>
          </c:extLst>
        </c:ser>
        <c:dLbls>
          <c:showLegendKey val="0"/>
          <c:showVal val="0"/>
          <c:showCatName val="0"/>
          <c:showSerName val="0"/>
          <c:showPercent val="0"/>
          <c:showBubbleSize val="0"/>
        </c:dLbls>
        <c:marker val="1"/>
        <c:smooth val="0"/>
        <c:axId val="1192787183"/>
        <c:axId val="1192787599"/>
      </c:lineChart>
      <c:catAx>
        <c:axId val="1192787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599"/>
        <c:crosses val="autoZero"/>
        <c:auto val="1"/>
        <c:lblAlgn val="ctr"/>
        <c:lblOffset val="100"/>
        <c:noMultiLvlLbl val="0"/>
      </c:catAx>
      <c:valAx>
        <c:axId val="119278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Fertilizantes [kg/ha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Legumbres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'CC70-Tendencial'!$A$181:$A$195</c:f>
              <c:strCache>
                <c:ptCount val="1"/>
                <c:pt idx="0">
                  <c:v>Datos Escenario Compromiso climático 2070 - F. NPK</c:v>
                </c:pt>
              </c:strCache>
            </c:strRef>
          </c:tx>
          <c:spPr>
            <a:solidFill>
              <a:schemeClr val="accent2"/>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'CC70-Tendencial'!$C$189:$J$189</c:f>
              <c:numCache>
                <c:formatCode>#,##0.000</c:formatCode>
                <c:ptCount val="8"/>
                <c:pt idx="0">
                  <c:v>1048.1144799708336</c:v>
                </c:pt>
                <c:pt idx="1">
                  <c:v>503.48773330439957</c:v>
                </c:pt>
                <c:pt idx="2">
                  <c:v>530.66409261623414</c:v>
                </c:pt>
                <c:pt idx="3">
                  <c:v>559.84397417348077</c:v>
                </c:pt>
                <c:pt idx="4">
                  <c:v>585.97089281147976</c:v>
                </c:pt>
                <c:pt idx="5">
                  <c:v>636.59795151068238</c:v>
                </c:pt>
                <c:pt idx="6">
                  <c:v>757.39128660580559</c:v>
                </c:pt>
                <c:pt idx="7">
                  <c:v>903.27899441169518</c:v>
                </c:pt>
              </c:numCache>
            </c:numRef>
          </c:val>
          <c:extLst>
            <c:ext xmlns:c16="http://schemas.microsoft.com/office/drawing/2014/chart" uri="{C3380CC4-5D6E-409C-BE32-E72D297353CC}">
              <c16:uniqueId val="{00000000-00A0-4E82-882B-D011EB65CF77}"/>
            </c:ext>
          </c:extLst>
        </c:ser>
        <c:ser>
          <c:idx val="2"/>
          <c:order val="2"/>
          <c:tx>
            <c:strRef>
              <c:f>'CC70-Tendencial'!$A$197:$A$211</c:f>
              <c:strCache>
                <c:ptCount val="1"/>
                <c:pt idx="0">
                  <c:v>Datos Escenario Compromiso climático 2070 - Fertilizantes Orgánicos</c:v>
                </c:pt>
              </c:strCache>
            </c:strRef>
          </c:tx>
          <c:spPr>
            <a:solidFill>
              <a:schemeClr val="accent3"/>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'CC70-Tendencial'!$C$205:$J$205</c:f>
              <c:numCache>
                <c:formatCode>#,##0.000</c:formatCode>
                <c:ptCount val="8"/>
                <c:pt idx="0">
                  <c:v>0</c:v>
                </c:pt>
                <c:pt idx="1">
                  <c:v>0</c:v>
                </c:pt>
                <c:pt idx="2">
                  <c:v>16.412291524213426</c:v>
                </c:pt>
                <c:pt idx="3">
                  <c:v>48.682084710737456</c:v>
                </c:pt>
                <c:pt idx="4">
                  <c:v>128.62775695861751</c:v>
                </c:pt>
                <c:pt idx="5">
                  <c:v>247.56587003193206</c:v>
                </c:pt>
                <c:pt idx="6">
                  <c:v>332.38034879823118</c:v>
                </c:pt>
                <c:pt idx="7">
                  <c:v>444.8986091878499</c:v>
                </c:pt>
              </c:numCache>
            </c:numRef>
          </c:val>
          <c:extLst>
            <c:ext xmlns:c16="http://schemas.microsoft.com/office/drawing/2014/chart" uri="{C3380CC4-5D6E-409C-BE32-E72D297353CC}">
              <c16:uniqueId val="{00000001-00A0-4E82-882B-D011EB65CF77}"/>
            </c:ext>
          </c:extLst>
        </c:ser>
        <c:dLbls>
          <c:showLegendKey val="0"/>
          <c:showVal val="0"/>
          <c:showCatName val="0"/>
          <c:showSerName val="0"/>
          <c:showPercent val="0"/>
          <c:showBubbleSize val="0"/>
        </c:dLbls>
        <c:gapWidth val="100"/>
        <c:overlap val="100"/>
        <c:axId val="1192787183"/>
        <c:axId val="1192787599"/>
      </c:barChart>
      <c:lineChart>
        <c:grouping val="standard"/>
        <c:varyColors val="0"/>
        <c:ser>
          <c:idx val="0"/>
          <c:order val="0"/>
          <c:tx>
            <c:strRef>
              <c:f>'CC70-Tendencial'!$A$149:$A$163</c:f>
              <c:strCache>
                <c:ptCount val="1"/>
                <c:pt idx="0">
                  <c:v>Datos Escenario Tendencial - F. NPK</c:v>
                </c:pt>
              </c:strCache>
            </c:strRef>
          </c:tx>
          <c:spPr>
            <a:ln w="28575" cap="rnd">
              <a:solidFill>
                <a:schemeClr val="accent1"/>
              </a:solidFill>
              <a:round/>
            </a:ln>
            <a:effectLst/>
          </c:spPr>
          <c:marker>
            <c:symbol val="none"/>
          </c:marker>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'CC70-Tendencial'!$C$157:$J$157</c:f>
              <c:numCache>
                <c:formatCode>#,##0.000</c:formatCode>
                <c:ptCount val="8"/>
                <c:pt idx="0">
                  <c:v>1048.1144799708336</c:v>
                </c:pt>
                <c:pt idx="1">
                  <c:v>503.48773330439957</c:v>
                </c:pt>
                <c:pt idx="2">
                  <c:v>558.32540816529058</c:v>
                </c:pt>
                <c:pt idx="3">
                  <c:v>612.46435661864541</c:v>
                </c:pt>
                <c:pt idx="4">
                  <c:v>714.03875595632746</c:v>
                </c:pt>
                <c:pt idx="5">
                  <c:v>878.88606767863939</c:v>
                </c:pt>
                <c:pt idx="6">
                  <c:v>1071.7827282039698</c:v>
                </c:pt>
                <c:pt idx="7">
                  <c:v>1312.745006092262</c:v>
                </c:pt>
              </c:numCache>
            </c:numRef>
          </c:val>
          <c:smooth val="0"/>
          <c:extLst>
            <c:ext xmlns:c16="http://schemas.microsoft.com/office/drawing/2014/chart" uri="{C3380CC4-5D6E-409C-BE32-E72D297353CC}">
              <c16:uniqueId val="{00000002-00A0-4E82-882B-D011EB65CF77}"/>
            </c:ext>
          </c:extLst>
        </c:ser>
        <c:dLbls>
          <c:showLegendKey val="0"/>
          <c:showVal val="0"/>
          <c:showCatName val="0"/>
          <c:showSerName val="0"/>
          <c:showPercent val="0"/>
          <c:showBubbleSize val="0"/>
        </c:dLbls>
        <c:marker val="1"/>
        <c:smooth val="0"/>
        <c:axId val="1192787183"/>
        <c:axId val="1192787599"/>
      </c:lineChart>
      <c:catAx>
        <c:axId val="1192787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599"/>
        <c:crosses val="autoZero"/>
        <c:auto val="1"/>
        <c:lblAlgn val="ctr"/>
        <c:lblOffset val="100"/>
        <c:noMultiLvlLbl val="0"/>
      </c:catAx>
      <c:valAx>
        <c:axId val="119278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Fertilizantes [kg/ha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Cereales y pseudocereales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'CC70-Tendencial'!$A$181:$A$195</c:f>
              <c:strCache>
                <c:ptCount val="1"/>
                <c:pt idx="0">
                  <c:v>Datos Escenario Compromiso climático 2070 - F. NPK</c:v>
                </c:pt>
              </c:strCache>
            </c:strRef>
          </c:tx>
          <c:spPr>
            <a:solidFill>
              <a:schemeClr val="accent2"/>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'CC70-Tendencial'!$C$190:$J$190</c:f>
              <c:numCache>
                <c:formatCode>#,##0.000</c:formatCode>
                <c:ptCount val="8"/>
                <c:pt idx="0">
                  <c:v>330.0776224697172</c:v>
                </c:pt>
                <c:pt idx="1">
                  <c:v>370.99405287354472</c:v>
                </c:pt>
                <c:pt idx="2">
                  <c:v>503.27645378095588</c:v>
                </c:pt>
                <c:pt idx="3">
                  <c:v>533.56833256081961</c:v>
                </c:pt>
                <c:pt idx="4">
                  <c:v>563.86856427815758</c:v>
                </c:pt>
                <c:pt idx="5">
                  <c:v>618.33795110003541</c:v>
                </c:pt>
                <c:pt idx="6">
                  <c:v>742.37798502863234</c:v>
                </c:pt>
                <c:pt idx="7">
                  <c:v>893.22535961821461</c:v>
                </c:pt>
              </c:numCache>
            </c:numRef>
          </c:val>
          <c:extLst>
            <c:ext xmlns:c16="http://schemas.microsoft.com/office/drawing/2014/chart" uri="{C3380CC4-5D6E-409C-BE32-E72D297353CC}">
              <c16:uniqueId val="{00000000-7CBE-4A97-A03A-12C89E74F743}"/>
            </c:ext>
          </c:extLst>
        </c:ser>
        <c:ser>
          <c:idx val="2"/>
          <c:order val="2"/>
          <c:tx>
            <c:strRef>
              <c:f>'CC70-Tendencial'!$A$197:$A$211</c:f>
              <c:strCache>
                <c:ptCount val="1"/>
                <c:pt idx="0">
                  <c:v>Datos Escenario Compromiso climático 2070 - Fertilizantes Orgánicos</c:v>
                </c:pt>
              </c:strCache>
            </c:strRef>
          </c:tx>
          <c:spPr>
            <a:solidFill>
              <a:schemeClr val="accent3"/>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'CC70-Tendencial'!$C$206:$J$206</c:f>
              <c:numCache>
                <c:formatCode>#,##0.000</c:formatCode>
                <c:ptCount val="8"/>
                <c:pt idx="0">
                  <c:v>0</c:v>
                </c:pt>
                <c:pt idx="1">
                  <c:v>0</c:v>
                </c:pt>
                <c:pt idx="2">
                  <c:v>15.565251147864615</c:v>
                </c:pt>
                <c:pt idx="3">
                  <c:v>46.397246309636486</c:v>
                </c:pt>
                <c:pt idx="4">
                  <c:v>123.77602630496142</c:v>
                </c:pt>
                <c:pt idx="5">
                  <c:v>240.46475876112493</c:v>
                </c:pt>
                <c:pt idx="6">
                  <c:v>325.79177760249331</c:v>
                </c:pt>
                <c:pt idx="7">
                  <c:v>439.9468189164341</c:v>
                </c:pt>
              </c:numCache>
            </c:numRef>
          </c:val>
          <c:extLst>
            <c:ext xmlns:c16="http://schemas.microsoft.com/office/drawing/2014/chart" uri="{C3380CC4-5D6E-409C-BE32-E72D297353CC}">
              <c16:uniqueId val="{00000001-7CBE-4A97-A03A-12C89E74F743}"/>
            </c:ext>
          </c:extLst>
        </c:ser>
        <c:dLbls>
          <c:showLegendKey val="0"/>
          <c:showVal val="0"/>
          <c:showCatName val="0"/>
          <c:showSerName val="0"/>
          <c:showPercent val="0"/>
          <c:showBubbleSize val="0"/>
        </c:dLbls>
        <c:gapWidth val="100"/>
        <c:overlap val="100"/>
        <c:axId val="1192787183"/>
        <c:axId val="1192787599"/>
      </c:barChart>
      <c:lineChart>
        <c:grouping val="standard"/>
        <c:varyColors val="0"/>
        <c:ser>
          <c:idx val="0"/>
          <c:order val="0"/>
          <c:tx>
            <c:strRef>
              <c:f>'CC70-Tendencial'!$A$149:$A$163</c:f>
              <c:strCache>
                <c:ptCount val="1"/>
                <c:pt idx="0">
                  <c:v>Datos Escenario Tendencial - F. NPK</c:v>
                </c:pt>
              </c:strCache>
            </c:strRef>
          </c:tx>
          <c:spPr>
            <a:ln w="28575" cap="rnd">
              <a:solidFill>
                <a:schemeClr val="accent1"/>
              </a:solidFill>
              <a:round/>
            </a:ln>
            <a:effectLst/>
          </c:spPr>
          <c:marker>
            <c:symbol val="none"/>
          </c:marker>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'CC70-Tendencial'!$C$158:$J$158</c:f>
              <c:numCache>
                <c:formatCode>#,##0.000</c:formatCode>
                <c:ptCount val="8"/>
                <c:pt idx="0">
                  <c:v>330.0776224697172</c:v>
                </c:pt>
                <c:pt idx="1">
                  <c:v>370.99405287354472</c:v>
                </c:pt>
                <c:pt idx="2">
                  <c:v>527.93110928616454</c:v>
                </c:pt>
                <c:pt idx="3">
                  <c:v>579.12282417961353</c:v>
                </c:pt>
                <c:pt idx="4">
                  <c:v>675.16768356301986</c:v>
                </c:pt>
                <c:pt idx="5">
                  <c:v>831.04098409287496</c:v>
                </c:pt>
                <c:pt idx="6">
                  <c:v>1013.4366739171612</c:v>
                </c:pt>
                <c:pt idx="7">
                  <c:v>1241.2813695037655</c:v>
                </c:pt>
              </c:numCache>
            </c:numRef>
          </c:val>
          <c:smooth val="0"/>
          <c:extLst>
            <c:ext xmlns:c16="http://schemas.microsoft.com/office/drawing/2014/chart" uri="{C3380CC4-5D6E-409C-BE32-E72D297353CC}">
              <c16:uniqueId val="{00000002-7CBE-4A97-A03A-12C89E74F743}"/>
            </c:ext>
          </c:extLst>
        </c:ser>
        <c:dLbls>
          <c:showLegendKey val="0"/>
          <c:showVal val="0"/>
          <c:showCatName val="0"/>
          <c:showSerName val="0"/>
          <c:showPercent val="0"/>
          <c:showBubbleSize val="0"/>
        </c:dLbls>
        <c:marker val="1"/>
        <c:smooth val="0"/>
        <c:axId val="1192787183"/>
        <c:axId val="1192787599"/>
      </c:lineChart>
      <c:catAx>
        <c:axId val="1192787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599"/>
        <c:crosses val="autoZero"/>
        <c:auto val="1"/>
        <c:lblAlgn val="ctr"/>
        <c:lblOffset val="100"/>
        <c:noMultiLvlLbl val="0"/>
      </c:catAx>
      <c:valAx>
        <c:axId val="119278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Fertilizantes [kg/ha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Tubérculos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'CC70-Tendencial'!$A$181:$A$195</c:f>
              <c:strCache>
                <c:ptCount val="1"/>
                <c:pt idx="0">
                  <c:v>Datos Escenario Compromiso climático 2070 - F. NPK</c:v>
                </c:pt>
              </c:strCache>
            </c:strRef>
          </c:tx>
          <c:spPr>
            <a:solidFill>
              <a:schemeClr val="accent2"/>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'CC70-Tendencial'!$C$191:$J$191</c:f>
              <c:numCache>
                <c:formatCode>#,##0.000</c:formatCode>
                <c:ptCount val="8"/>
                <c:pt idx="0">
                  <c:v>462</c:v>
                </c:pt>
                <c:pt idx="1">
                  <c:v>495.5</c:v>
                </c:pt>
                <c:pt idx="2">
                  <c:v>578.06956080038697</c:v>
                </c:pt>
                <c:pt idx="3">
                  <c:v>614.35999097581919</c:v>
                </c:pt>
                <c:pt idx="4">
                  <c:v>652.32020968282643</c:v>
                </c:pt>
                <c:pt idx="5">
                  <c:v>718.57512220812328</c:v>
                </c:pt>
                <c:pt idx="6">
                  <c:v>866.46963514190804</c:v>
                </c:pt>
                <c:pt idx="7">
                  <c:v>1046.8752406286121</c:v>
                </c:pt>
              </c:numCache>
            </c:numRef>
          </c:val>
          <c:extLst>
            <c:ext xmlns:c16="http://schemas.microsoft.com/office/drawing/2014/chart" uri="{C3380CC4-5D6E-409C-BE32-E72D297353CC}">
              <c16:uniqueId val="{00000000-D9D3-484B-A41D-428A5C1A6BB6}"/>
            </c:ext>
          </c:extLst>
        </c:ser>
        <c:ser>
          <c:idx val="2"/>
          <c:order val="2"/>
          <c:tx>
            <c:strRef>
              <c:f>'CC70-Tendencial'!$A$197:$A$211</c:f>
              <c:strCache>
                <c:ptCount val="1"/>
                <c:pt idx="0">
                  <c:v>Datos Escenario Compromiso climático 2070 - Fertilizantes Orgánicos</c:v>
                </c:pt>
              </c:strCache>
            </c:strRef>
          </c:tx>
          <c:spPr>
            <a:solidFill>
              <a:schemeClr val="accent3"/>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'CC70-Tendencial'!$C$207:$J$207</c:f>
              <c:numCache>
                <c:formatCode>#,##0.000</c:formatCode>
                <c:ptCount val="8"/>
                <c:pt idx="0">
                  <c:v>0</c:v>
                </c:pt>
                <c:pt idx="1">
                  <c:v>0</c:v>
                </c:pt>
                <c:pt idx="2">
                  <c:v>17.878440024754237</c:v>
                </c:pt>
                <c:pt idx="3">
                  <c:v>53.422607910940798</c:v>
                </c:pt>
                <c:pt idx="4">
                  <c:v>143.1922411498887</c:v>
                </c:pt>
                <c:pt idx="5">
                  <c:v>279.44588085871465</c:v>
                </c:pt>
                <c:pt idx="6">
                  <c:v>380.24926434285169</c:v>
                </c:pt>
                <c:pt idx="7">
                  <c:v>515.62511851857016</c:v>
                </c:pt>
              </c:numCache>
            </c:numRef>
          </c:val>
          <c:extLst>
            <c:ext xmlns:c16="http://schemas.microsoft.com/office/drawing/2014/chart" uri="{C3380CC4-5D6E-409C-BE32-E72D297353CC}">
              <c16:uniqueId val="{00000001-D9D3-484B-A41D-428A5C1A6BB6}"/>
            </c:ext>
          </c:extLst>
        </c:ser>
        <c:dLbls>
          <c:showLegendKey val="0"/>
          <c:showVal val="0"/>
          <c:showCatName val="0"/>
          <c:showSerName val="0"/>
          <c:showPercent val="0"/>
          <c:showBubbleSize val="0"/>
        </c:dLbls>
        <c:gapWidth val="100"/>
        <c:overlap val="100"/>
        <c:axId val="1192787183"/>
        <c:axId val="1192787599"/>
      </c:barChart>
      <c:lineChart>
        <c:grouping val="standard"/>
        <c:varyColors val="0"/>
        <c:ser>
          <c:idx val="0"/>
          <c:order val="0"/>
          <c:tx>
            <c:strRef>
              <c:f>'CC70-Tendencial'!$A$149:$A$163</c:f>
              <c:strCache>
                <c:ptCount val="1"/>
                <c:pt idx="0">
                  <c:v>Datos Escenario Tendencial - F. NPK</c:v>
                </c:pt>
              </c:strCache>
            </c:strRef>
          </c:tx>
          <c:spPr>
            <a:ln w="28575" cap="rnd">
              <a:solidFill>
                <a:schemeClr val="accent1"/>
              </a:solidFill>
              <a:round/>
            </a:ln>
            <a:effectLst/>
          </c:spPr>
          <c:marker>
            <c:symbol val="none"/>
          </c:marker>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'CC70-Tendencial'!$C$159:$J$159</c:f>
              <c:numCache>
                <c:formatCode>#,##0.000</c:formatCode>
                <c:ptCount val="8"/>
                <c:pt idx="0">
                  <c:v>462</c:v>
                </c:pt>
                <c:pt idx="1">
                  <c:v>495.5</c:v>
                </c:pt>
                <c:pt idx="2">
                  <c:v>605.48539189367011</c:v>
                </c:pt>
                <c:pt idx="3">
                  <c:v>664.1972863222436</c:v>
                </c:pt>
                <c:pt idx="4">
                  <c:v>774.35135434404685</c:v>
                </c:pt>
                <c:pt idx="5">
                  <c:v>953.12279780888139</c:v>
                </c:pt>
                <c:pt idx="6">
                  <c:v>1162.3128299748234</c:v>
                </c:pt>
                <c:pt idx="7">
                  <c:v>1423.6284303846676</c:v>
                </c:pt>
              </c:numCache>
            </c:numRef>
          </c:val>
          <c:smooth val="0"/>
          <c:extLst>
            <c:ext xmlns:c16="http://schemas.microsoft.com/office/drawing/2014/chart" uri="{C3380CC4-5D6E-409C-BE32-E72D297353CC}">
              <c16:uniqueId val="{00000002-D9D3-484B-A41D-428A5C1A6BB6}"/>
            </c:ext>
          </c:extLst>
        </c:ser>
        <c:dLbls>
          <c:showLegendKey val="0"/>
          <c:showVal val="0"/>
          <c:showCatName val="0"/>
          <c:showSerName val="0"/>
          <c:showPercent val="0"/>
          <c:showBubbleSize val="0"/>
        </c:dLbls>
        <c:marker val="1"/>
        <c:smooth val="0"/>
        <c:axId val="1192787183"/>
        <c:axId val="1192787599"/>
      </c:lineChart>
      <c:catAx>
        <c:axId val="1192787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599"/>
        <c:crosses val="autoZero"/>
        <c:auto val="1"/>
        <c:lblAlgn val="ctr"/>
        <c:lblOffset val="100"/>
        <c:noMultiLvlLbl val="0"/>
      </c:catAx>
      <c:valAx>
        <c:axId val="119278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Fertilizantes [kg/ha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Fruta</a:t>
            </a:r>
            <a:r>
              <a:rPr lang="en-US" baseline="0"/>
              <a:t> fresca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'CC70-Tendencial'!$A$181:$A$195</c:f>
              <c:strCache>
                <c:ptCount val="1"/>
                <c:pt idx="0">
                  <c:v>Datos Escenario Compromiso climático 2070 - F. NPK</c:v>
                </c:pt>
              </c:strCache>
            </c:strRef>
          </c:tx>
          <c:spPr>
            <a:solidFill>
              <a:schemeClr val="accent2"/>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'CC70-Tendencial'!$C$192:$J$192</c:f>
              <c:numCache>
                <c:formatCode>#,##0.000</c:formatCode>
                <c:ptCount val="8"/>
                <c:pt idx="0">
                  <c:v>1244.0659714179023</c:v>
                </c:pt>
                <c:pt idx="1">
                  <c:v>607.660123075569</c:v>
                </c:pt>
                <c:pt idx="2">
                  <c:v>626.1604795975735</c:v>
                </c:pt>
                <c:pt idx="3">
                  <c:v>663.84866707825881</c:v>
                </c:pt>
                <c:pt idx="4">
                  <c:v>701.54724701679822</c:v>
                </c:pt>
                <c:pt idx="5">
                  <c:v>769.31631731512198</c:v>
                </c:pt>
                <c:pt idx="6">
                  <c:v>923.64296333745699</c:v>
                </c:pt>
                <c:pt idx="7">
                  <c:v>1111.3224458752147</c:v>
                </c:pt>
              </c:numCache>
            </c:numRef>
          </c:val>
          <c:extLst>
            <c:ext xmlns:c16="http://schemas.microsoft.com/office/drawing/2014/chart" uri="{C3380CC4-5D6E-409C-BE32-E72D297353CC}">
              <c16:uniqueId val="{00000000-D62C-4A89-B730-5799C5DAEB14}"/>
            </c:ext>
          </c:extLst>
        </c:ser>
        <c:ser>
          <c:idx val="2"/>
          <c:order val="2"/>
          <c:tx>
            <c:strRef>
              <c:f>'CC70-Tendencial'!$A$197:$A$211</c:f>
              <c:strCache>
                <c:ptCount val="1"/>
                <c:pt idx="0">
                  <c:v>Datos Escenario Compromiso climático 2070 - Fertilizantes Orgánicos</c:v>
                </c:pt>
              </c:strCache>
            </c:strRef>
          </c:tx>
          <c:spPr>
            <a:solidFill>
              <a:schemeClr val="accent3"/>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'CC70-Tendencial'!$C$208:$J$208</c:f>
              <c:numCache>
                <c:formatCode>#,##0.000</c:formatCode>
                <c:ptCount val="8"/>
                <c:pt idx="0">
                  <c:v>0</c:v>
                </c:pt>
                <c:pt idx="1">
                  <c:v>0</c:v>
                </c:pt>
                <c:pt idx="2">
                  <c:v>19.365788028790931</c:v>
                </c:pt>
                <c:pt idx="3">
                  <c:v>57.72597105028337</c:v>
                </c:pt>
                <c:pt idx="4">
                  <c:v>153.99817617441911</c:v>
                </c:pt>
                <c:pt idx="5">
                  <c:v>299.1785678447697</c:v>
                </c:pt>
                <c:pt idx="6">
                  <c:v>405.33971772363219</c:v>
                </c:pt>
                <c:pt idx="7">
                  <c:v>547.36777184898642</c:v>
                </c:pt>
              </c:numCache>
            </c:numRef>
          </c:val>
          <c:extLst>
            <c:ext xmlns:c16="http://schemas.microsoft.com/office/drawing/2014/chart" uri="{C3380CC4-5D6E-409C-BE32-E72D297353CC}">
              <c16:uniqueId val="{00000001-D62C-4A89-B730-5799C5DAEB14}"/>
            </c:ext>
          </c:extLst>
        </c:ser>
        <c:dLbls>
          <c:showLegendKey val="0"/>
          <c:showVal val="0"/>
          <c:showCatName val="0"/>
          <c:showSerName val="0"/>
          <c:showPercent val="0"/>
          <c:showBubbleSize val="0"/>
        </c:dLbls>
        <c:gapWidth val="100"/>
        <c:overlap val="100"/>
        <c:axId val="1192787183"/>
        <c:axId val="1192787599"/>
      </c:barChart>
      <c:lineChart>
        <c:grouping val="standard"/>
        <c:varyColors val="0"/>
        <c:ser>
          <c:idx val="0"/>
          <c:order val="0"/>
          <c:tx>
            <c:strRef>
              <c:f>'CC70-Tendencial'!$A$149:$A$163</c:f>
              <c:strCache>
                <c:ptCount val="1"/>
                <c:pt idx="0">
                  <c:v>Datos Escenario Tendencial - F. NPK</c:v>
                </c:pt>
              </c:strCache>
            </c:strRef>
          </c:tx>
          <c:spPr>
            <a:ln w="28575" cap="rnd">
              <a:solidFill>
                <a:schemeClr val="accent1"/>
              </a:solidFill>
              <a:round/>
            </a:ln>
            <a:effectLst/>
          </c:spPr>
          <c:marker>
            <c:symbol val="none"/>
          </c:marker>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'CC70-Tendencial'!$C$160:$J$160</c:f>
              <c:numCache>
                <c:formatCode>#,##0.000</c:formatCode>
                <c:ptCount val="8"/>
                <c:pt idx="0">
                  <c:v>1244.0659714179023</c:v>
                </c:pt>
                <c:pt idx="1">
                  <c:v>607.660123075569</c:v>
                </c:pt>
                <c:pt idx="2">
                  <c:v>656.835014039778</c:v>
                </c:pt>
                <c:pt idx="3">
                  <c:v>720.52610967576709</c:v>
                </c:pt>
                <c:pt idx="4">
                  <c:v>840.02205422589725</c:v>
                </c:pt>
                <c:pt idx="5">
                  <c:v>1033.9546331951301</c:v>
                </c:pt>
                <c:pt idx="6">
                  <c:v>1260.8855212962715</c:v>
                </c:pt>
                <c:pt idx="7">
                  <c:v>1544.3626098635132</c:v>
                </c:pt>
              </c:numCache>
            </c:numRef>
          </c:val>
          <c:smooth val="0"/>
          <c:extLst>
            <c:ext xmlns:c16="http://schemas.microsoft.com/office/drawing/2014/chart" uri="{C3380CC4-5D6E-409C-BE32-E72D297353CC}">
              <c16:uniqueId val="{00000002-D62C-4A89-B730-5799C5DAEB14}"/>
            </c:ext>
          </c:extLst>
        </c:ser>
        <c:dLbls>
          <c:showLegendKey val="0"/>
          <c:showVal val="0"/>
          <c:showCatName val="0"/>
          <c:showSerName val="0"/>
          <c:showPercent val="0"/>
          <c:showBubbleSize val="0"/>
        </c:dLbls>
        <c:marker val="1"/>
        <c:smooth val="0"/>
        <c:axId val="1192787183"/>
        <c:axId val="1192787599"/>
      </c:lineChart>
      <c:catAx>
        <c:axId val="1192787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599"/>
        <c:crosses val="autoZero"/>
        <c:auto val="1"/>
        <c:lblAlgn val="ctr"/>
        <c:lblOffset val="100"/>
        <c:noMultiLvlLbl val="0"/>
      </c:catAx>
      <c:valAx>
        <c:axId val="119278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Fertilizantes [kg/ha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Cabezas</a:t>
            </a:r>
            <a:r>
              <a:rPr lang="en-US" baseline="0"/>
              <a:t> de ganado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'CC70-Tendencial'!$B$285</c:f>
              <c:strCache>
                <c:ptCount val="1"/>
                <c:pt idx="0">
                  <c:v>Hato Tendencial</c:v>
                </c:pt>
              </c:strCache>
            </c:strRef>
          </c:tx>
          <c:spPr>
            <a:solidFill>
              <a:schemeClr val="accent1"/>
            </a:solidFill>
            <a:ln>
              <a:noFill/>
            </a:ln>
            <a:effectLst/>
          </c:spPr>
          <c:invertIfNegative val="0"/>
          <c:cat>
            <c:numRef>
              <c:f>'CC70-Tendencial'!$K$284:$S$284</c:f>
              <c:numCache>
                <c:formatCode>General</c:formatCode>
                <c:ptCount val="9"/>
                <c:pt idx="0">
                  <c:v>2018</c:v>
                </c:pt>
                <c:pt idx="1">
                  <c:v>2020</c:v>
                </c:pt>
                <c:pt idx="2">
                  <c:v>2022</c:v>
                </c:pt>
                <c:pt idx="3">
                  <c:v>2025</c:v>
                </c:pt>
                <c:pt idx="4">
                  <c:v>2030</c:v>
                </c:pt>
                <c:pt idx="5">
                  <c:v>2040</c:v>
                </c:pt>
                <c:pt idx="6">
                  <c:v>2050</c:v>
                </c:pt>
                <c:pt idx="7">
                  <c:v>2060</c:v>
                </c:pt>
                <c:pt idx="8">
                  <c:v>2070</c:v>
                </c:pt>
              </c:numCache>
            </c:numRef>
          </c:cat>
          <c:val>
            <c:numRef>
              <c:f>'CC70-Tendencial'!$K$285:$S$285</c:f>
              <c:numCache>
                <c:formatCode>General</c:formatCode>
                <c:ptCount val="9"/>
                <c:pt idx="0">
                  <c:v>4056796</c:v>
                </c:pt>
                <c:pt idx="1">
                  <c:v>4335924</c:v>
                </c:pt>
                <c:pt idx="2">
                  <c:v>4121602.7900505415</c:v>
                </c:pt>
                <c:pt idx="3">
                  <c:v>4282716.7792041115</c:v>
                </c:pt>
                <c:pt idx="4">
                  <c:v>4539688.6294608563</c:v>
                </c:pt>
                <c:pt idx="5">
                  <c:v>4996062.2612221111</c:v>
                </c:pt>
                <c:pt idx="6">
                  <c:v>5355913.1652984759</c:v>
                </c:pt>
                <c:pt idx="7">
                  <c:v>5606444.7196411341</c:v>
                </c:pt>
                <c:pt idx="8">
                  <c:v>5733122.061097567</c:v>
                </c:pt>
              </c:numCache>
            </c:numRef>
          </c:val>
          <c:extLst>
            <c:ext xmlns:c16="http://schemas.microsoft.com/office/drawing/2014/chart" uri="{C3380CC4-5D6E-409C-BE32-E72D297353CC}">
              <c16:uniqueId val="{00000000-4774-4A7B-80B2-01BB3DA77224}"/>
            </c:ext>
          </c:extLst>
        </c:ser>
        <c:ser>
          <c:idx val="1"/>
          <c:order val="1"/>
          <c:tx>
            <c:strRef>
              <c:f>'CC70-Tendencial'!$B$286</c:f>
              <c:strCache>
                <c:ptCount val="1"/>
                <c:pt idx="0">
                  <c:v>Hato CC70</c:v>
                </c:pt>
              </c:strCache>
            </c:strRef>
          </c:tx>
          <c:spPr>
            <a:solidFill>
              <a:schemeClr val="accent2"/>
            </a:solidFill>
            <a:ln>
              <a:noFill/>
            </a:ln>
            <a:effectLst/>
          </c:spPr>
          <c:invertIfNegative val="0"/>
          <c:cat>
            <c:numRef>
              <c:f>'CC70-Tendencial'!$K$284:$S$284</c:f>
              <c:numCache>
                <c:formatCode>General</c:formatCode>
                <c:ptCount val="9"/>
                <c:pt idx="0">
                  <c:v>2018</c:v>
                </c:pt>
                <c:pt idx="1">
                  <c:v>2020</c:v>
                </c:pt>
                <c:pt idx="2">
                  <c:v>2022</c:v>
                </c:pt>
                <c:pt idx="3">
                  <c:v>2025</c:v>
                </c:pt>
                <c:pt idx="4">
                  <c:v>2030</c:v>
                </c:pt>
                <c:pt idx="5">
                  <c:v>2040</c:v>
                </c:pt>
                <c:pt idx="6">
                  <c:v>2050</c:v>
                </c:pt>
                <c:pt idx="7">
                  <c:v>2060</c:v>
                </c:pt>
                <c:pt idx="8">
                  <c:v>2070</c:v>
                </c:pt>
              </c:numCache>
            </c:numRef>
          </c:cat>
          <c:val>
            <c:numRef>
              <c:f>'CC70-Tendencial'!$K$286:$S$286</c:f>
              <c:numCache>
                <c:formatCode>General</c:formatCode>
                <c:ptCount val="9"/>
                <c:pt idx="0">
                  <c:v>4056796</c:v>
                </c:pt>
                <c:pt idx="1">
                  <c:v>4335924</c:v>
                </c:pt>
                <c:pt idx="2">
                  <c:v>4121602.7900505415</c:v>
                </c:pt>
                <c:pt idx="3">
                  <c:v>4282716.7792041115</c:v>
                </c:pt>
                <c:pt idx="4">
                  <c:v>4539688.6294608563</c:v>
                </c:pt>
                <c:pt idx="5">
                  <c:v>4962258.903962682</c:v>
                </c:pt>
                <c:pt idx="6">
                  <c:v>5270132.8600430554</c:v>
                </c:pt>
                <c:pt idx="7">
                  <c:v>5502635.7892122595</c:v>
                </c:pt>
                <c:pt idx="8">
                  <c:v>5612634.7678615404</c:v>
                </c:pt>
              </c:numCache>
            </c:numRef>
          </c:val>
          <c:extLst>
            <c:ext xmlns:c16="http://schemas.microsoft.com/office/drawing/2014/chart" uri="{C3380CC4-5D6E-409C-BE32-E72D297353CC}">
              <c16:uniqueId val="{00000001-4774-4A7B-80B2-01BB3DA77224}"/>
            </c:ext>
          </c:extLst>
        </c:ser>
        <c:dLbls>
          <c:showLegendKey val="0"/>
          <c:showVal val="0"/>
          <c:showCatName val="0"/>
          <c:showSerName val="0"/>
          <c:showPercent val="0"/>
          <c:showBubbleSize val="0"/>
        </c:dLbls>
        <c:gapWidth val="219"/>
        <c:overlap val="-27"/>
        <c:axId val="1690255535"/>
        <c:axId val="1690255951"/>
      </c:barChart>
      <c:catAx>
        <c:axId val="169025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255951"/>
        <c:crosses val="autoZero"/>
        <c:auto val="1"/>
        <c:lblAlgn val="ctr"/>
        <c:lblOffset val="100"/>
        <c:noMultiLvlLbl val="0"/>
      </c:catAx>
      <c:valAx>
        <c:axId val="1690255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 de cabezas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25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Verduras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'CC70-Tendencial'!$A$181:$A$195</c:f>
              <c:strCache>
                <c:ptCount val="1"/>
                <c:pt idx="0">
                  <c:v>Datos Escenario Compromiso climático 2070 - F. NPK</c:v>
                </c:pt>
              </c:strCache>
            </c:strRef>
          </c:tx>
          <c:spPr>
            <a:solidFill>
              <a:schemeClr val="accent2"/>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'CC70-Tendencial'!$C$193:$J$193</c:f>
              <c:numCache>
                <c:formatCode>#,##0.000</c:formatCode>
                <c:ptCount val="8"/>
                <c:pt idx="0">
                  <c:v>901.23942272500881</c:v>
                </c:pt>
                <c:pt idx="1">
                  <c:v>618.24892948451316</c:v>
                </c:pt>
                <c:pt idx="2">
                  <c:v>874.60419227116358</c:v>
                </c:pt>
                <c:pt idx="3">
                  <c:v>927.24604343189708</c:v>
                </c:pt>
                <c:pt idx="4">
                  <c:v>979.90241049949998</c:v>
                </c:pt>
                <c:pt idx="5">
                  <c:v>1074.5604333554397</c:v>
                </c:pt>
                <c:pt idx="6">
                  <c:v>1290.1197603781684</c:v>
                </c:pt>
                <c:pt idx="7">
                  <c:v>1552.2654364136472</c:v>
                </c:pt>
              </c:numCache>
            </c:numRef>
          </c:val>
          <c:extLst>
            <c:ext xmlns:c16="http://schemas.microsoft.com/office/drawing/2014/chart" uri="{C3380CC4-5D6E-409C-BE32-E72D297353CC}">
              <c16:uniqueId val="{00000000-29AE-4496-ADDE-4BD020FC8C0A}"/>
            </c:ext>
          </c:extLst>
        </c:ser>
        <c:ser>
          <c:idx val="2"/>
          <c:order val="2"/>
          <c:tx>
            <c:strRef>
              <c:f>'CC70-Tendencial'!$A$197:$A$211</c:f>
              <c:strCache>
                <c:ptCount val="1"/>
                <c:pt idx="0">
                  <c:v>Datos Escenario Compromiso climático 2070 - Fertilizantes Orgánicos</c:v>
                </c:pt>
              </c:strCache>
            </c:strRef>
          </c:tx>
          <c:spPr>
            <a:solidFill>
              <a:schemeClr val="accent3"/>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'CC70-Tendencial'!$C$209:$J$209</c:f>
              <c:numCache>
                <c:formatCode>#,##0.000</c:formatCode>
                <c:ptCount val="8"/>
                <c:pt idx="0">
                  <c:v>0</c:v>
                </c:pt>
                <c:pt idx="1">
                  <c:v>0</c:v>
                </c:pt>
                <c:pt idx="2">
                  <c:v>27.049614193953513</c:v>
                </c:pt>
                <c:pt idx="3">
                  <c:v>80.630090733208434</c:v>
                </c:pt>
                <c:pt idx="4">
                  <c:v>215.10052913403655</c:v>
                </c:pt>
                <c:pt idx="5">
                  <c:v>417.88461297155993</c:v>
                </c:pt>
                <c:pt idx="6">
                  <c:v>566.16766462639043</c:v>
                </c:pt>
                <c:pt idx="7">
                  <c:v>764.54864778582635</c:v>
                </c:pt>
              </c:numCache>
            </c:numRef>
          </c:val>
          <c:extLst>
            <c:ext xmlns:c16="http://schemas.microsoft.com/office/drawing/2014/chart" uri="{C3380CC4-5D6E-409C-BE32-E72D297353CC}">
              <c16:uniqueId val="{00000001-29AE-4496-ADDE-4BD020FC8C0A}"/>
            </c:ext>
          </c:extLst>
        </c:ser>
        <c:dLbls>
          <c:showLegendKey val="0"/>
          <c:showVal val="0"/>
          <c:showCatName val="0"/>
          <c:showSerName val="0"/>
          <c:showPercent val="0"/>
          <c:showBubbleSize val="0"/>
        </c:dLbls>
        <c:gapWidth val="100"/>
        <c:overlap val="100"/>
        <c:axId val="1192787183"/>
        <c:axId val="1192787599"/>
      </c:barChart>
      <c:lineChart>
        <c:grouping val="standard"/>
        <c:varyColors val="0"/>
        <c:ser>
          <c:idx val="0"/>
          <c:order val="0"/>
          <c:tx>
            <c:strRef>
              <c:f>'CC70-Tendencial'!$A$149:$A$163</c:f>
              <c:strCache>
                <c:ptCount val="1"/>
                <c:pt idx="0">
                  <c:v>Datos Escenario Tendencial - F. NPK</c:v>
                </c:pt>
              </c:strCache>
            </c:strRef>
          </c:tx>
          <c:spPr>
            <a:ln w="28575" cap="rnd">
              <a:solidFill>
                <a:schemeClr val="accent1"/>
              </a:solidFill>
              <a:round/>
            </a:ln>
            <a:effectLst/>
          </c:spPr>
          <c:marker>
            <c:symbol val="none"/>
          </c:marker>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'CC70-Tendencial'!$C$161:$J$161</c:f>
              <c:numCache>
                <c:formatCode>#,##0.000</c:formatCode>
                <c:ptCount val="8"/>
                <c:pt idx="0">
                  <c:v>901.23942272500881</c:v>
                </c:pt>
                <c:pt idx="1">
                  <c:v>618.24892948451316</c:v>
                </c:pt>
                <c:pt idx="2">
                  <c:v>917.44956066036684</c:v>
                </c:pt>
                <c:pt idx="3">
                  <c:v>1006.4115776969265</c:v>
                </c:pt>
                <c:pt idx="4">
                  <c:v>1173.3203135055403</c:v>
                </c:pt>
                <c:pt idx="5">
                  <c:v>1444.2001472080103</c:v>
                </c:pt>
                <c:pt idx="6">
                  <c:v>1761.1711355665125</c:v>
                </c:pt>
                <c:pt idx="7">
                  <c:v>2157.12434269494</c:v>
                </c:pt>
              </c:numCache>
            </c:numRef>
          </c:val>
          <c:smooth val="0"/>
          <c:extLst>
            <c:ext xmlns:c16="http://schemas.microsoft.com/office/drawing/2014/chart" uri="{C3380CC4-5D6E-409C-BE32-E72D297353CC}">
              <c16:uniqueId val="{00000002-29AE-4496-ADDE-4BD020FC8C0A}"/>
            </c:ext>
          </c:extLst>
        </c:ser>
        <c:dLbls>
          <c:showLegendKey val="0"/>
          <c:showVal val="0"/>
          <c:showCatName val="0"/>
          <c:showSerName val="0"/>
          <c:showPercent val="0"/>
          <c:showBubbleSize val="0"/>
        </c:dLbls>
        <c:marker val="1"/>
        <c:smooth val="0"/>
        <c:axId val="1192787183"/>
        <c:axId val="1192787599"/>
      </c:lineChart>
      <c:catAx>
        <c:axId val="1192787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599"/>
        <c:crosses val="autoZero"/>
        <c:auto val="1"/>
        <c:lblAlgn val="ctr"/>
        <c:lblOffset val="100"/>
        <c:noMultiLvlLbl val="0"/>
      </c:catAx>
      <c:valAx>
        <c:axId val="119278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Fertilizantes [kg/ha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Arroz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'CC70-Tendencial'!$A$181:$A$195</c:f>
              <c:strCache>
                <c:ptCount val="1"/>
                <c:pt idx="0">
                  <c:v>Datos Escenario Compromiso climático 2070 - F. NPK</c:v>
                </c:pt>
              </c:strCache>
            </c:strRef>
          </c:tx>
          <c:spPr>
            <a:solidFill>
              <a:schemeClr val="accent2"/>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'CC70-Tendencial'!$C$195:$J$195</c:f>
              <c:numCache>
                <c:formatCode>#,##0.000</c:formatCode>
                <c:ptCount val="8"/>
                <c:pt idx="0">
                  <c:v>168.86544963795106</c:v>
                </c:pt>
                <c:pt idx="1">
                  <c:v>164.93146787757703</c:v>
                </c:pt>
                <c:pt idx="2">
                  <c:v>168.14878446290066</c:v>
                </c:pt>
                <c:pt idx="3">
                  <c:v>177.3948625052881</c:v>
                </c:pt>
                <c:pt idx="4">
                  <c:v>185.67356398870982</c:v>
                </c:pt>
                <c:pt idx="5">
                  <c:v>201.71549804766107</c:v>
                </c:pt>
                <c:pt idx="6">
                  <c:v>239.99065694776297</c:v>
                </c:pt>
                <c:pt idx="7">
                  <c:v>286.2173398474846</c:v>
                </c:pt>
              </c:numCache>
            </c:numRef>
          </c:val>
          <c:extLst>
            <c:ext xmlns:c16="http://schemas.microsoft.com/office/drawing/2014/chart" uri="{C3380CC4-5D6E-409C-BE32-E72D297353CC}">
              <c16:uniqueId val="{00000000-ACF9-4AEE-AE42-30EC3A04527B}"/>
            </c:ext>
          </c:extLst>
        </c:ser>
        <c:ser>
          <c:idx val="2"/>
          <c:order val="2"/>
          <c:tx>
            <c:strRef>
              <c:f>'CC70-Tendencial'!$A$197:$A$211</c:f>
              <c:strCache>
                <c:ptCount val="1"/>
                <c:pt idx="0">
                  <c:v>Datos Escenario Compromiso climático 2070 - Fertilizantes Orgánicos</c:v>
                </c:pt>
              </c:strCache>
            </c:strRef>
          </c:tx>
          <c:spPr>
            <a:solidFill>
              <a:schemeClr val="accent3"/>
            </a:solidFill>
            <a:ln>
              <a:noFill/>
            </a:ln>
            <a:effectLst/>
          </c:spPr>
          <c:invertIfNegative val="0"/>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'CC70-Tendencial'!$C$211:$J$211</c:f>
              <c:numCache>
                <c:formatCode>#,##0.000</c:formatCode>
                <c:ptCount val="8"/>
                <c:pt idx="0">
                  <c:v>0</c:v>
                </c:pt>
                <c:pt idx="1">
                  <c:v>0</c:v>
                </c:pt>
                <c:pt idx="2">
                  <c:v>5.200477869986619</c:v>
                </c:pt>
                <c:pt idx="3">
                  <c:v>15.425640217851139</c:v>
                </c:pt>
                <c:pt idx="4">
                  <c:v>40.757611607277759</c:v>
                </c:pt>
                <c:pt idx="5">
                  <c:v>78.444915907423763</c:v>
                </c:pt>
                <c:pt idx="6">
                  <c:v>105.31964081880244</c:v>
                </c:pt>
                <c:pt idx="7">
                  <c:v>140.97271962637305</c:v>
                </c:pt>
              </c:numCache>
            </c:numRef>
          </c:val>
          <c:extLst>
            <c:ext xmlns:c16="http://schemas.microsoft.com/office/drawing/2014/chart" uri="{C3380CC4-5D6E-409C-BE32-E72D297353CC}">
              <c16:uniqueId val="{00000001-ACF9-4AEE-AE42-30EC3A04527B}"/>
            </c:ext>
          </c:extLst>
        </c:ser>
        <c:dLbls>
          <c:showLegendKey val="0"/>
          <c:showVal val="0"/>
          <c:showCatName val="0"/>
          <c:showSerName val="0"/>
          <c:showPercent val="0"/>
          <c:showBubbleSize val="0"/>
        </c:dLbls>
        <c:gapWidth val="100"/>
        <c:overlap val="100"/>
        <c:axId val="1192787183"/>
        <c:axId val="1192787599"/>
      </c:barChart>
      <c:lineChart>
        <c:grouping val="standard"/>
        <c:varyColors val="0"/>
        <c:ser>
          <c:idx val="0"/>
          <c:order val="0"/>
          <c:tx>
            <c:strRef>
              <c:f>'CC70-Tendencial'!$A$149:$A$163</c:f>
              <c:strCache>
                <c:ptCount val="1"/>
                <c:pt idx="0">
                  <c:v>Datos Escenario Tendencial - F. NPK</c:v>
                </c:pt>
              </c:strCache>
            </c:strRef>
          </c:tx>
          <c:spPr>
            <a:ln w="28575" cap="rnd">
              <a:solidFill>
                <a:schemeClr val="accent1"/>
              </a:solidFill>
              <a:round/>
            </a:ln>
            <a:effectLst/>
          </c:spPr>
          <c:marker>
            <c:symbol val="none"/>
          </c:marker>
          <c:cat>
            <c:numRef>
              <c:f>'CC70-Tendencial'!$C$148:$J$148</c:f>
              <c:numCache>
                <c:formatCode>General</c:formatCode>
                <c:ptCount val="8"/>
                <c:pt idx="0">
                  <c:v>2018</c:v>
                </c:pt>
                <c:pt idx="1">
                  <c:v>2020</c:v>
                </c:pt>
                <c:pt idx="2">
                  <c:v>2025</c:v>
                </c:pt>
                <c:pt idx="3">
                  <c:v>2030</c:v>
                </c:pt>
                <c:pt idx="4">
                  <c:v>2040</c:v>
                </c:pt>
                <c:pt idx="5">
                  <c:v>2050</c:v>
                </c:pt>
                <c:pt idx="6">
                  <c:v>2060</c:v>
                </c:pt>
                <c:pt idx="7">
                  <c:v>2070</c:v>
                </c:pt>
              </c:numCache>
            </c:numRef>
          </c:cat>
          <c:val>
            <c:numRef>
              <c:f>'CC70-Tendencial'!$C$163:$J$163</c:f>
              <c:numCache>
                <c:formatCode>#,##0.000</c:formatCode>
                <c:ptCount val="8"/>
                <c:pt idx="0">
                  <c:v>168.86544963795106</c:v>
                </c:pt>
                <c:pt idx="1">
                  <c:v>164.93146787757703</c:v>
                </c:pt>
                <c:pt idx="2">
                  <c:v>176.9136823539329</c:v>
                </c:pt>
                <c:pt idx="3">
                  <c:v>194.06841074275314</c:v>
                </c:pt>
                <c:pt idx="4">
                  <c:v>226.25376494106735</c:v>
                </c:pt>
                <c:pt idx="5">
                  <c:v>278.48807940434</c:v>
                </c:pt>
                <c:pt idx="6">
                  <c:v>339.61024584747946</c:v>
                </c:pt>
                <c:pt idx="7">
                  <c:v>415.96271569063782</c:v>
                </c:pt>
              </c:numCache>
            </c:numRef>
          </c:val>
          <c:smooth val="0"/>
          <c:extLst>
            <c:ext xmlns:c16="http://schemas.microsoft.com/office/drawing/2014/chart" uri="{C3380CC4-5D6E-409C-BE32-E72D297353CC}">
              <c16:uniqueId val="{00000002-ACF9-4AEE-AE42-30EC3A04527B}"/>
            </c:ext>
          </c:extLst>
        </c:ser>
        <c:dLbls>
          <c:showLegendKey val="0"/>
          <c:showVal val="0"/>
          <c:showCatName val="0"/>
          <c:showSerName val="0"/>
          <c:showPercent val="0"/>
          <c:showBubbleSize val="0"/>
        </c:dLbls>
        <c:marker val="1"/>
        <c:smooth val="0"/>
        <c:axId val="1192787183"/>
        <c:axId val="1192787599"/>
      </c:lineChart>
      <c:catAx>
        <c:axId val="1192787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599"/>
        <c:crosses val="autoZero"/>
        <c:auto val="1"/>
        <c:lblAlgn val="ctr"/>
        <c:lblOffset val="100"/>
        <c:noMultiLvlLbl val="0"/>
      </c:catAx>
      <c:valAx>
        <c:axId val="119278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Fertilizantes [kg/ha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8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Banano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'CC70-Tendencial'!$K$40:$BK$40</c:f>
              <c:numCache>
                <c:formatCode>General</c:formatCode>
                <c:ptCount val="53"/>
                <c:pt idx="0">
                  <c:v>6.4340652089819983E-2</c:v>
                </c:pt>
                <c:pt idx="1">
                  <c:v>0.16104310482325079</c:v>
                </c:pt>
                <c:pt idx="2">
                  <c:v>4.5879808318369797E-2</c:v>
                </c:pt>
                <c:pt idx="3">
                  <c:v>0.12615682334746037</c:v>
                </c:pt>
                <c:pt idx="4">
                  <c:v>0.12099380420706041</c:v>
                </c:pt>
                <c:pt idx="5">
                  <c:v>0.60024386329620949</c:v>
                </c:pt>
                <c:pt idx="6">
                  <c:v>0.94331515642818431</c:v>
                </c:pt>
                <c:pt idx="7">
                  <c:v>0.89466247686261813</c:v>
                </c:pt>
                <c:pt idx="8">
                  <c:v>0.92982978720220988</c:v>
                </c:pt>
                <c:pt idx="9">
                  <c:v>0.96517292200065441</c:v>
                </c:pt>
                <c:pt idx="10">
                  <c:v>1.0006927603802431</c:v>
                </c:pt>
                <c:pt idx="11">
                  <c:v>1.0363901858588855</c:v>
                </c:pt>
                <c:pt idx="12">
                  <c:v>1.0722660863720739</c:v>
                </c:pt>
                <c:pt idx="13">
                  <c:v>1.1083213542949819</c:v>
                </c:pt>
                <c:pt idx="14">
                  <c:v>1.1445568864646578</c:v>
                </c:pt>
                <c:pt idx="15">
                  <c:v>1.180973584202337</c:v>
                </c:pt>
                <c:pt idx="16">
                  <c:v>1.2175723533358571</c:v>
                </c:pt>
                <c:pt idx="17">
                  <c:v>1.2543541042221991</c:v>
                </c:pt>
                <c:pt idx="18">
                  <c:v>1.2913175820317244</c:v>
                </c:pt>
                <c:pt idx="19">
                  <c:v>1.3284674818866185</c:v>
                </c:pt>
                <c:pt idx="20">
                  <c:v>1.3658029093196413</c:v>
                </c:pt>
                <c:pt idx="21">
                  <c:v>1.4033249140177562</c:v>
                </c:pt>
                <c:pt idx="22">
                  <c:v>1.4410342597674113</c:v>
                </c:pt>
                <c:pt idx="23">
                  <c:v>1.4789321915084903</c:v>
                </c:pt>
                <c:pt idx="24">
                  <c:v>1.5170198519327434</c:v>
                </c:pt>
                <c:pt idx="25">
                  <c:v>1.5552975607649326</c:v>
                </c:pt>
                <c:pt idx="26">
                  <c:v>1.5937669238867516</c:v>
                </c:pt>
                <c:pt idx="27">
                  <c:v>1.632428420530097</c:v>
                </c:pt>
                <c:pt idx="28">
                  <c:v>1.6712835680431439</c:v>
                </c:pt>
                <c:pt idx="29">
                  <c:v>1.7103327265164223</c:v>
                </c:pt>
                <c:pt idx="30">
                  <c:v>1.7495770881011588</c:v>
                </c:pt>
                <c:pt idx="31">
                  <c:v>1.7890177069844659</c:v>
                </c:pt>
                <c:pt idx="32">
                  <c:v>1.8286555354701814</c:v>
                </c:pt>
                <c:pt idx="33">
                  <c:v>1.8684917383692801</c:v>
                </c:pt>
                <c:pt idx="34">
                  <c:v>1.9085269762993518</c:v>
                </c:pt>
                <c:pt idx="35">
                  <c:v>1.9487623796289233</c:v>
                </c:pt>
                <c:pt idx="36">
                  <c:v>1.9891989985087379</c:v>
                </c:pt>
                <c:pt idx="37">
                  <c:v>2.0298378080290282</c:v>
                </c:pt>
                <c:pt idx="38">
                  <c:v>2.0706798459603748</c:v>
                </c:pt>
                <c:pt idx="39">
                  <c:v>2.1117260381911214</c:v>
                </c:pt>
                <c:pt idx="40">
                  <c:v>2.1529774675466262</c:v>
                </c:pt>
                <c:pt idx="41">
                  <c:v>2.194435160384308</c:v>
                </c:pt>
                <c:pt idx="42">
                  <c:v>2.2361001411616828</c:v>
                </c:pt>
                <c:pt idx="43">
                  <c:v>2.2779734396799727</c:v>
                </c:pt>
                <c:pt idx="44">
                  <c:v>2.3200561013273413</c:v>
                </c:pt>
                <c:pt idx="45">
                  <c:v>2.3623491744660283</c:v>
                </c:pt>
                <c:pt idx="46">
                  <c:v>2.4048537114863242</c:v>
                </c:pt>
                <c:pt idx="47">
                  <c:v>2.4475707652596261</c:v>
                </c:pt>
                <c:pt idx="48">
                  <c:v>2.4905013979208226</c:v>
                </c:pt>
                <c:pt idx="49">
                  <c:v>2.5336466751743307</c:v>
                </c:pt>
                <c:pt idx="50">
                  <c:v>2.5770076732237905</c:v>
                </c:pt>
                <c:pt idx="51">
                  <c:v>2.6205854694426085</c:v>
                </c:pt>
                <c:pt idx="52">
                  <c:v>2.66438114662943</c:v>
                </c:pt>
              </c:numCache>
            </c:numRef>
          </c:yVal>
          <c:smooth val="1"/>
          <c:extLst>
            <c:ext xmlns:c16="http://schemas.microsoft.com/office/drawing/2014/chart" uri="{C3380CC4-5D6E-409C-BE32-E72D297353CC}">
              <c16:uniqueId val="{00000000-9828-455B-ADBB-E51AE30D4A9B}"/>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'CC70-Tendencial'!$K$56:$BK$56</c:f>
              <c:numCache>
                <c:formatCode>General</c:formatCode>
                <c:ptCount val="53"/>
                <c:pt idx="0">
                  <c:v>6.4340652089819983E-2</c:v>
                </c:pt>
                <c:pt idx="1">
                  <c:v>0.16104310482325079</c:v>
                </c:pt>
                <c:pt idx="2">
                  <c:v>4.5879808318369797E-2</c:v>
                </c:pt>
                <c:pt idx="3">
                  <c:v>0.12615682334746037</c:v>
                </c:pt>
                <c:pt idx="4">
                  <c:v>0.12099380420706041</c:v>
                </c:pt>
                <c:pt idx="5" formatCode="0.00000">
                  <c:v>0.60024386329620949</c:v>
                </c:pt>
                <c:pt idx="6" formatCode="0.00000">
                  <c:v>0.94331515642818431</c:v>
                </c:pt>
                <c:pt idx="7" formatCode="0.00000">
                  <c:v>0.89466247686261813</c:v>
                </c:pt>
                <c:pt idx="8" formatCode="0.00000">
                  <c:v>0.92982978720220988</c:v>
                </c:pt>
                <c:pt idx="9" formatCode="0.00000">
                  <c:v>0.96517292200065441</c:v>
                </c:pt>
                <c:pt idx="10" formatCode="0.00000">
                  <c:v>1.0006927603802431</c:v>
                </c:pt>
                <c:pt idx="11" formatCode="0.00000">
                  <c:v>1.0363901858588855</c:v>
                </c:pt>
                <c:pt idx="12" formatCode="0.00000">
                  <c:v>1.0722660863720739</c:v>
                </c:pt>
                <c:pt idx="13" formatCode="0.00000">
                  <c:v>1.1083213542949819</c:v>
                </c:pt>
                <c:pt idx="14" formatCode="0.00000">
                  <c:v>1.1445568864646578</c:v>
                </c:pt>
                <c:pt idx="15" formatCode="0.00000">
                  <c:v>1.180973584202337</c:v>
                </c:pt>
                <c:pt idx="16" formatCode="0.00000">
                  <c:v>1.2175723533358571</c:v>
                </c:pt>
                <c:pt idx="17" formatCode="0.00000">
                  <c:v>1.2543541042221991</c:v>
                </c:pt>
                <c:pt idx="18" formatCode="0.00000">
                  <c:v>1.2913175820317244</c:v>
                </c:pt>
                <c:pt idx="19" formatCode="0.00000">
                  <c:v>1.3284674818866185</c:v>
                </c:pt>
                <c:pt idx="20" formatCode="0.00000">
                  <c:v>1.3658029093196413</c:v>
                </c:pt>
                <c:pt idx="21" formatCode="0.00000">
                  <c:v>1.4033249140177562</c:v>
                </c:pt>
                <c:pt idx="22" formatCode="0.00000">
                  <c:v>1.4410342597674113</c:v>
                </c:pt>
                <c:pt idx="23" formatCode="0.00000">
                  <c:v>1.4789321915084903</c:v>
                </c:pt>
                <c:pt idx="24" formatCode="0.00000">
                  <c:v>1.5170198519327434</c:v>
                </c:pt>
                <c:pt idx="25" formatCode="0.00000">
                  <c:v>1.5552975607649326</c:v>
                </c:pt>
                <c:pt idx="26" formatCode="0.00000">
                  <c:v>1.5937669238867516</c:v>
                </c:pt>
                <c:pt idx="27" formatCode="0.00000">
                  <c:v>1.632428420530097</c:v>
                </c:pt>
                <c:pt idx="28" formatCode="0.00000">
                  <c:v>1.6712835680431439</c:v>
                </c:pt>
                <c:pt idx="29" formatCode="0.00000">
                  <c:v>1.7103327265164223</c:v>
                </c:pt>
                <c:pt idx="30" formatCode="0.00000">
                  <c:v>1.7495770881011588</c:v>
                </c:pt>
                <c:pt idx="31" formatCode="0.00000">
                  <c:v>1.7890177069844659</c:v>
                </c:pt>
                <c:pt idx="32" formatCode="0.00000">
                  <c:v>1.8286555354701814</c:v>
                </c:pt>
                <c:pt idx="33" formatCode="0.00000">
                  <c:v>1.8684917383692801</c:v>
                </c:pt>
                <c:pt idx="34" formatCode="0.00000">
                  <c:v>1.9085269762993518</c:v>
                </c:pt>
                <c:pt idx="35" formatCode="0.00000">
                  <c:v>1.9487623796289233</c:v>
                </c:pt>
                <c:pt idx="36" formatCode="0.00000">
                  <c:v>1.9891989985087379</c:v>
                </c:pt>
                <c:pt idx="37" formatCode="0.00000">
                  <c:v>2.0298378080290282</c:v>
                </c:pt>
                <c:pt idx="38" formatCode="0.00000">
                  <c:v>2.0706798459603748</c:v>
                </c:pt>
                <c:pt idx="39" formatCode="0.00000">
                  <c:v>2.1117260381911214</c:v>
                </c:pt>
                <c:pt idx="40" formatCode="0.00000">
                  <c:v>2.1529774675466262</c:v>
                </c:pt>
                <c:pt idx="41" formatCode="0.00000">
                  <c:v>2.194435160384308</c:v>
                </c:pt>
                <c:pt idx="42" formatCode="0.00000">
                  <c:v>2.2361001411616828</c:v>
                </c:pt>
                <c:pt idx="43" formatCode="0.00000">
                  <c:v>2.2779734396799727</c:v>
                </c:pt>
                <c:pt idx="44" formatCode="0.00000">
                  <c:v>2.3200561013273413</c:v>
                </c:pt>
                <c:pt idx="45" formatCode="0.00000">
                  <c:v>2.3623491744660283</c:v>
                </c:pt>
                <c:pt idx="46" formatCode="0.00000">
                  <c:v>2.4048537114863242</c:v>
                </c:pt>
                <c:pt idx="47" formatCode="0.00000">
                  <c:v>2.4475707652596261</c:v>
                </c:pt>
                <c:pt idx="48" formatCode="0.00000">
                  <c:v>2.4905013979208226</c:v>
                </c:pt>
                <c:pt idx="49" formatCode="0.00000">
                  <c:v>2.5336466751743307</c:v>
                </c:pt>
                <c:pt idx="50" formatCode="0.00000">
                  <c:v>2.5770076732237905</c:v>
                </c:pt>
                <c:pt idx="51" formatCode="0.00000">
                  <c:v>2.6205854694426085</c:v>
                </c:pt>
                <c:pt idx="52" formatCode="0.00000">
                  <c:v>2.66438114662943</c:v>
                </c:pt>
              </c:numCache>
            </c:numRef>
          </c:yVal>
          <c:smooth val="1"/>
          <c:extLst>
            <c:ext xmlns:c16="http://schemas.microsoft.com/office/drawing/2014/chart" uri="{C3380CC4-5D6E-409C-BE32-E72D297353CC}">
              <c16:uniqueId val="{00000001-9828-455B-ADBB-E51AE30D4A9B}"/>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Cacao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'CC70-Tendencial'!$K$41:$BK$41</c:f>
              <c:numCache>
                <c:formatCode>General</c:formatCode>
                <c:ptCount val="53"/>
                <c:pt idx="0">
                  <c:v>8.0857443540089502E-2</c:v>
                </c:pt>
                <c:pt idx="1">
                  <c:v>8.2512694285325872E-2</c:v>
                </c:pt>
                <c:pt idx="2">
                  <c:v>8.4007297411843401E-2</c:v>
                </c:pt>
                <c:pt idx="3">
                  <c:v>8.7444753199804687E-2</c:v>
                </c:pt>
                <c:pt idx="4">
                  <c:v>0.12355608765109521</c:v>
                </c:pt>
                <c:pt idx="5">
                  <c:v>0.15579980255671827</c:v>
                </c:pt>
                <c:pt idx="6">
                  <c:v>0.14218490795545466</c:v>
                </c:pt>
                <c:pt idx="7">
                  <c:v>0.14958752058750924</c:v>
                </c:pt>
                <c:pt idx="8">
                  <c:v>0.17922294453858431</c:v>
                </c:pt>
                <c:pt idx="9">
                  <c:v>0.19659323592763758</c:v>
                </c:pt>
                <c:pt idx="10">
                  <c:v>0.21509581710510223</c:v>
                </c:pt>
                <c:pt idx="11">
                  <c:v>0.23302453887100957</c:v>
                </c:pt>
                <c:pt idx="12">
                  <c:v>0.25337982524649993</c:v>
                </c:pt>
                <c:pt idx="13">
                  <c:v>0.25563592256956069</c:v>
                </c:pt>
                <c:pt idx="14">
                  <c:v>0.27386883109288174</c:v>
                </c:pt>
                <c:pt idx="15">
                  <c:v>0.2947926843070478</c:v>
                </c:pt>
                <c:pt idx="16">
                  <c:v>0.31320770280339055</c:v>
                </c:pt>
                <c:pt idx="17">
                  <c:v>0.33186379413274825</c:v>
                </c:pt>
                <c:pt idx="18">
                  <c:v>0.3468458278452527</c:v>
                </c:pt>
                <c:pt idx="19">
                  <c:v>0.35047500194811132</c:v>
                </c:pt>
                <c:pt idx="20">
                  <c:v>0.35446264279124173</c:v>
                </c:pt>
                <c:pt idx="21">
                  <c:v>0.35694415324268935</c:v>
                </c:pt>
                <c:pt idx="22">
                  <c:v>0.35960112209219297</c:v>
                </c:pt>
                <c:pt idx="23">
                  <c:v>0.36235139194361121</c:v>
                </c:pt>
                <c:pt idx="24">
                  <c:v>0.36509957365923684</c:v>
                </c:pt>
                <c:pt idx="25">
                  <c:v>0.36828718357681273</c:v>
                </c:pt>
                <c:pt idx="26">
                  <c:v>0.37089157118262317</c:v>
                </c:pt>
                <c:pt idx="27">
                  <c:v>0.37369090739106664</c:v>
                </c:pt>
                <c:pt idx="28">
                  <c:v>0.37571280817125502</c:v>
                </c:pt>
                <c:pt idx="29">
                  <c:v>0.37817063897273012</c:v>
                </c:pt>
                <c:pt idx="30">
                  <c:v>0.3806089121808387</c:v>
                </c:pt>
                <c:pt idx="31">
                  <c:v>0.38288557059954981</c:v>
                </c:pt>
                <c:pt idx="32">
                  <c:v>0.38505322124213215</c:v>
                </c:pt>
                <c:pt idx="33">
                  <c:v>0.38678645342533163</c:v>
                </c:pt>
                <c:pt idx="34">
                  <c:v>0.38864797409512442</c:v>
                </c:pt>
                <c:pt idx="35">
                  <c:v>0.39039512264452902</c:v>
                </c:pt>
                <c:pt idx="36">
                  <c:v>0.39196790623576988</c:v>
                </c:pt>
                <c:pt idx="37">
                  <c:v>0.39341247202563445</c:v>
                </c:pt>
                <c:pt idx="38">
                  <c:v>0.39466690546658251</c:v>
                </c:pt>
                <c:pt idx="39">
                  <c:v>0.39589076783876137</c:v>
                </c:pt>
                <c:pt idx="40">
                  <c:v>0.39696544101733017</c:v>
                </c:pt>
                <c:pt idx="41">
                  <c:v>0.39788973188419979</c:v>
                </c:pt>
                <c:pt idx="42">
                  <c:v>0.39867575774208497</c:v>
                </c:pt>
                <c:pt idx="43">
                  <c:v>0.39933477246046589</c:v>
                </c:pt>
                <c:pt idx="44">
                  <c:v>0.39985399929077037</c:v>
                </c:pt>
                <c:pt idx="45">
                  <c:v>0.40022620847127927</c:v>
                </c:pt>
                <c:pt idx="46">
                  <c:v>0.40044781017269832</c:v>
                </c:pt>
                <c:pt idx="47">
                  <c:v>0.40052498221597194</c:v>
                </c:pt>
                <c:pt idx="48">
                  <c:v>0.40045623506617817</c:v>
                </c:pt>
                <c:pt idx="49">
                  <c:v>0.40024365004294155</c:v>
                </c:pt>
                <c:pt idx="50">
                  <c:v>0.39987848962392225</c:v>
                </c:pt>
                <c:pt idx="51">
                  <c:v>0.39936027693211612</c:v>
                </c:pt>
                <c:pt idx="52">
                  <c:v>0.39868885684040373</c:v>
                </c:pt>
              </c:numCache>
            </c:numRef>
          </c:yVal>
          <c:smooth val="1"/>
          <c:extLst>
            <c:ext xmlns:c16="http://schemas.microsoft.com/office/drawing/2014/chart" uri="{C3380CC4-5D6E-409C-BE32-E72D297353CC}">
              <c16:uniqueId val="{00000000-CAC1-473B-B426-F393B59A72D6}"/>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'CC70-Tendencial'!$K$57:$BK$57</c:f>
              <c:numCache>
                <c:formatCode>General</c:formatCode>
                <c:ptCount val="53"/>
                <c:pt idx="0">
                  <c:v>8.0857443540089502E-2</c:v>
                </c:pt>
                <c:pt idx="1">
                  <c:v>8.2512694285325872E-2</c:v>
                </c:pt>
                <c:pt idx="2">
                  <c:v>8.4007297411843401E-2</c:v>
                </c:pt>
                <c:pt idx="3">
                  <c:v>8.7444753199804687E-2</c:v>
                </c:pt>
                <c:pt idx="4">
                  <c:v>0.12355608765109521</c:v>
                </c:pt>
                <c:pt idx="5" formatCode="0.00000">
                  <c:v>0.15579980255671827</c:v>
                </c:pt>
                <c:pt idx="6" formatCode="0.00000">
                  <c:v>0.14218490795545466</c:v>
                </c:pt>
                <c:pt idx="7" formatCode="0.00000">
                  <c:v>0.14958752058750924</c:v>
                </c:pt>
                <c:pt idx="8" formatCode="0.00000">
                  <c:v>0.17922294453858431</c:v>
                </c:pt>
                <c:pt idx="9" formatCode="0.00000">
                  <c:v>0.19659323592763758</c:v>
                </c:pt>
                <c:pt idx="10" formatCode="0.00000">
                  <c:v>0.21509581710510223</c:v>
                </c:pt>
                <c:pt idx="11" formatCode="0.00000">
                  <c:v>0.23302453887100957</c:v>
                </c:pt>
                <c:pt idx="12" formatCode="0.00000">
                  <c:v>0.25337982524649993</c:v>
                </c:pt>
                <c:pt idx="13" formatCode="0.00000">
                  <c:v>0.25563592256956069</c:v>
                </c:pt>
                <c:pt idx="14" formatCode="0.00000">
                  <c:v>0.27386883109288174</c:v>
                </c:pt>
                <c:pt idx="15" formatCode="0.00000">
                  <c:v>0.2947926843070478</c:v>
                </c:pt>
                <c:pt idx="16" formatCode="0.00000">
                  <c:v>0.31320770280339055</c:v>
                </c:pt>
                <c:pt idx="17" formatCode="0.00000">
                  <c:v>0.33186379413274825</c:v>
                </c:pt>
                <c:pt idx="18" formatCode="0.00000">
                  <c:v>0.3468458278452527</c:v>
                </c:pt>
                <c:pt idx="19" formatCode="0.00000">
                  <c:v>0.35047500194811132</c:v>
                </c:pt>
                <c:pt idx="20" formatCode="0.00000">
                  <c:v>0.35446264279124173</c:v>
                </c:pt>
                <c:pt idx="21" formatCode="0.00000">
                  <c:v>0.35694415324268935</c:v>
                </c:pt>
                <c:pt idx="22" formatCode="0.00000">
                  <c:v>0.35960112209219297</c:v>
                </c:pt>
                <c:pt idx="23" formatCode="0.00000">
                  <c:v>0.36235139194361121</c:v>
                </c:pt>
                <c:pt idx="24" formatCode="0.00000">
                  <c:v>0.36509957365923684</c:v>
                </c:pt>
                <c:pt idx="25" formatCode="0.00000">
                  <c:v>0.36828718357681273</c:v>
                </c:pt>
                <c:pt idx="26" formatCode="0.00000">
                  <c:v>0.37089157118262317</c:v>
                </c:pt>
                <c:pt idx="27" formatCode="0.00000">
                  <c:v>0.37369090739106664</c:v>
                </c:pt>
                <c:pt idx="28" formatCode="0.00000">
                  <c:v>0.37571280817125502</c:v>
                </c:pt>
                <c:pt idx="29" formatCode="0.00000">
                  <c:v>0.37817063897273012</c:v>
                </c:pt>
                <c:pt idx="30" formatCode="0.00000">
                  <c:v>0.3806089121808387</c:v>
                </c:pt>
                <c:pt idx="31" formatCode="0.00000">
                  <c:v>0.38288557059954981</c:v>
                </c:pt>
                <c:pt idx="32" formatCode="0.00000">
                  <c:v>0.38505322124213215</c:v>
                </c:pt>
                <c:pt idx="33" formatCode="0.00000">
                  <c:v>0.38678645342533163</c:v>
                </c:pt>
                <c:pt idx="34" formatCode="0.00000">
                  <c:v>0.38864797409512442</c:v>
                </c:pt>
                <c:pt idx="35" formatCode="0.00000">
                  <c:v>0.39039512264452902</c:v>
                </c:pt>
                <c:pt idx="36" formatCode="0.00000">
                  <c:v>0.39196790623576988</c:v>
                </c:pt>
                <c:pt idx="37" formatCode="0.00000">
                  <c:v>0.39341247202563445</c:v>
                </c:pt>
                <c:pt idx="38" formatCode="0.00000">
                  <c:v>0.39466690546658251</c:v>
                </c:pt>
                <c:pt idx="39" formatCode="0.00000">
                  <c:v>0.39589076783876137</c:v>
                </c:pt>
                <c:pt idx="40" formatCode="0.00000">
                  <c:v>0.39696544101733017</c:v>
                </c:pt>
                <c:pt idx="41" formatCode="0.00000">
                  <c:v>0.39788973188419979</c:v>
                </c:pt>
                <c:pt idx="42" formatCode="0.00000">
                  <c:v>0.39867575774208497</c:v>
                </c:pt>
                <c:pt idx="43" formatCode="0.00000">
                  <c:v>0.39933477246046589</c:v>
                </c:pt>
                <c:pt idx="44" formatCode="0.00000">
                  <c:v>0.39985399929077037</c:v>
                </c:pt>
                <c:pt idx="45" formatCode="0.00000">
                  <c:v>0.40022620847127927</c:v>
                </c:pt>
                <c:pt idx="46" formatCode="0.00000">
                  <c:v>0.40044781017269832</c:v>
                </c:pt>
                <c:pt idx="47" formatCode="0.00000">
                  <c:v>0.40052498221597194</c:v>
                </c:pt>
                <c:pt idx="48" formatCode="0.00000">
                  <c:v>0.40045623506617817</c:v>
                </c:pt>
                <c:pt idx="49" formatCode="0.00000">
                  <c:v>0.40024365004294155</c:v>
                </c:pt>
                <c:pt idx="50" formatCode="0.00000">
                  <c:v>0.39987848962392225</c:v>
                </c:pt>
                <c:pt idx="51" formatCode="0.00000">
                  <c:v>0.39936027693211612</c:v>
                </c:pt>
                <c:pt idx="52" formatCode="0.00000">
                  <c:v>0.39868885684040373</c:v>
                </c:pt>
              </c:numCache>
            </c:numRef>
          </c:yVal>
          <c:smooth val="1"/>
          <c:extLst>
            <c:ext xmlns:c16="http://schemas.microsoft.com/office/drawing/2014/chart" uri="{C3380CC4-5D6E-409C-BE32-E72D297353CC}">
              <c16:uniqueId val="{00000001-CAC1-473B-B426-F393B59A72D6}"/>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Café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'CC70-Tendencial'!$K$42:$BK$42</c:f>
              <c:numCache>
                <c:formatCode>General</c:formatCode>
                <c:ptCount val="53"/>
                <c:pt idx="0">
                  <c:v>1.3036462955000005E-2</c:v>
                </c:pt>
                <c:pt idx="1">
                  <c:v>1.1455800454000013E-2</c:v>
                </c:pt>
                <c:pt idx="2">
                  <c:v>1.1833009661200012E-2</c:v>
                </c:pt>
                <c:pt idx="3">
                  <c:v>1.0036416577336411E-2</c:v>
                </c:pt>
                <c:pt idx="4">
                  <c:v>1.4577936494230691E-2</c:v>
                </c:pt>
                <c:pt idx="5">
                  <c:v>1.6152717498448512E-2</c:v>
                </c:pt>
                <c:pt idx="6">
                  <c:v>1.7839416652700467E-2</c:v>
                </c:pt>
                <c:pt idx="7">
                  <c:v>1.9877290121424557E-2</c:v>
                </c:pt>
                <c:pt idx="8">
                  <c:v>2.1494449780853103E-2</c:v>
                </c:pt>
                <c:pt idx="9">
                  <c:v>2.332857648821756E-2</c:v>
                </c:pt>
                <c:pt idx="10">
                  <c:v>2.5143779618186278E-2</c:v>
                </c:pt>
                <c:pt idx="11">
                  <c:v>2.6979295164410638E-2</c:v>
                </c:pt>
                <c:pt idx="12">
                  <c:v>2.8765611404909366E-2</c:v>
                </c:pt>
                <c:pt idx="13">
                  <c:v>3.1008604631582261E-2</c:v>
                </c:pt>
                <c:pt idx="14">
                  <c:v>3.2869831050841458E-2</c:v>
                </c:pt>
                <c:pt idx="15">
                  <c:v>3.4681016093650908E-2</c:v>
                </c:pt>
                <c:pt idx="16">
                  <c:v>3.6557219237237773E-2</c:v>
                </c:pt>
                <c:pt idx="17">
                  <c:v>3.8438303934876961E-2</c:v>
                </c:pt>
                <c:pt idx="18">
                  <c:v>4.1058409214955842E-2</c:v>
                </c:pt>
                <c:pt idx="19">
                  <c:v>4.5027845796247253E-2</c:v>
                </c:pt>
                <c:pt idx="20">
                  <c:v>4.9224198686005846E-2</c:v>
                </c:pt>
                <c:pt idx="21">
                  <c:v>5.3656571423277427E-2</c:v>
                </c:pt>
                <c:pt idx="22">
                  <c:v>5.8275171502849332E-2</c:v>
                </c:pt>
                <c:pt idx="23">
                  <c:v>6.3345881026415654E-2</c:v>
                </c:pt>
                <c:pt idx="24">
                  <c:v>6.910421442979392E-2</c:v>
                </c:pt>
                <c:pt idx="25">
                  <c:v>7.4994512433484276E-2</c:v>
                </c:pt>
                <c:pt idx="26">
                  <c:v>8.1669085111243905E-2</c:v>
                </c:pt>
                <c:pt idx="27">
                  <c:v>8.8690546629275571E-2</c:v>
                </c:pt>
                <c:pt idx="28">
                  <c:v>9.6732299678168238E-2</c:v>
                </c:pt>
                <c:pt idx="29">
                  <c:v>0.1051521256753485</c:v>
                </c:pt>
                <c:pt idx="30">
                  <c:v>0.11424270591450231</c:v>
                </c:pt>
                <c:pt idx="31">
                  <c:v>0.12417021175779312</c:v>
                </c:pt>
                <c:pt idx="32">
                  <c:v>0.13496595239825379</c:v>
                </c:pt>
                <c:pt idx="33">
                  <c:v>0.14701567251131228</c:v>
                </c:pt>
                <c:pt idx="34">
                  <c:v>0.15985082576521956</c:v>
                </c:pt>
                <c:pt idx="35">
                  <c:v>0.17377159263335368</c:v>
                </c:pt>
                <c:pt idx="36">
                  <c:v>0.18897394652467636</c:v>
                </c:pt>
                <c:pt idx="37">
                  <c:v>0.20550549629279799</c:v>
                </c:pt>
                <c:pt idx="38">
                  <c:v>0.22354652061668945</c:v>
                </c:pt>
                <c:pt idx="39">
                  <c:v>0.24299654863467676</c:v>
                </c:pt>
                <c:pt idx="40">
                  <c:v>0.26413021241590867</c:v>
                </c:pt>
                <c:pt idx="41">
                  <c:v>0.28709169602497719</c:v>
                </c:pt>
                <c:pt idx="42">
                  <c:v>0.3120144586256704</c:v>
                </c:pt>
                <c:pt idx="43">
                  <c:v>0.33903925098821946</c:v>
                </c:pt>
                <c:pt idx="44">
                  <c:v>0.36835244690484925</c:v>
                </c:pt>
                <c:pt idx="45">
                  <c:v>0.40014939663739474</c:v>
                </c:pt>
                <c:pt idx="46">
                  <c:v>0.43463744941902904</c:v>
                </c:pt>
                <c:pt idx="47">
                  <c:v>0.47201915350194318</c:v>
                </c:pt>
                <c:pt idx="48">
                  <c:v>0.51252902438458814</c:v>
                </c:pt>
                <c:pt idx="49">
                  <c:v>0.55641074072978325</c:v>
                </c:pt>
                <c:pt idx="50">
                  <c:v>0.6039543020237701</c:v>
                </c:pt>
                <c:pt idx="51">
                  <c:v>0.65545074718296803</c:v>
                </c:pt>
                <c:pt idx="52">
                  <c:v>0.71121313096451055</c:v>
                </c:pt>
              </c:numCache>
            </c:numRef>
          </c:yVal>
          <c:smooth val="1"/>
          <c:extLst>
            <c:ext xmlns:c16="http://schemas.microsoft.com/office/drawing/2014/chart" uri="{C3380CC4-5D6E-409C-BE32-E72D297353CC}">
              <c16:uniqueId val="{00000000-76E2-44F8-AF4D-9A25EDF23C61}"/>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'CC70-Tendencial'!$K$58:$BK$58</c:f>
              <c:numCache>
                <c:formatCode>General</c:formatCode>
                <c:ptCount val="53"/>
                <c:pt idx="0">
                  <c:v>1.3036462955000005E-2</c:v>
                </c:pt>
                <c:pt idx="1">
                  <c:v>1.1455800454000013E-2</c:v>
                </c:pt>
                <c:pt idx="2">
                  <c:v>1.1833009661200012E-2</c:v>
                </c:pt>
                <c:pt idx="3">
                  <c:v>1.0036416577336411E-2</c:v>
                </c:pt>
                <c:pt idx="4">
                  <c:v>1.4577936494230691E-2</c:v>
                </c:pt>
                <c:pt idx="5" formatCode="0.00000">
                  <c:v>1.6152717498448512E-2</c:v>
                </c:pt>
                <c:pt idx="6" formatCode="0.00000">
                  <c:v>1.7839416652700467E-2</c:v>
                </c:pt>
                <c:pt idx="7" formatCode="0.00000">
                  <c:v>1.9877290121424557E-2</c:v>
                </c:pt>
                <c:pt idx="8" formatCode="0.00000">
                  <c:v>2.1494449780853103E-2</c:v>
                </c:pt>
                <c:pt idx="9" formatCode="0.00000">
                  <c:v>2.332857648821756E-2</c:v>
                </c:pt>
                <c:pt idx="10" formatCode="0.00000">
                  <c:v>2.5143779618186278E-2</c:v>
                </c:pt>
                <c:pt idx="11" formatCode="0.00000">
                  <c:v>2.6979295164410638E-2</c:v>
                </c:pt>
                <c:pt idx="12" formatCode="0.00000">
                  <c:v>2.8765611404909366E-2</c:v>
                </c:pt>
                <c:pt idx="13" formatCode="0.00000">
                  <c:v>3.1008604631582261E-2</c:v>
                </c:pt>
                <c:pt idx="14" formatCode="0.00000">
                  <c:v>3.2869831050841458E-2</c:v>
                </c:pt>
                <c:pt idx="15" formatCode="0.00000">
                  <c:v>3.4681016093650908E-2</c:v>
                </c:pt>
                <c:pt idx="16" formatCode="0.00000">
                  <c:v>3.6557219237237773E-2</c:v>
                </c:pt>
                <c:pt idx="17" formatCode="0.00000">
                  <c:v>3.8438303934876961E-2</c:v>
                </c:pt>
                <c:pt idx="18" formatCode="0.00000">
                  <c:v>4.1058409214955842E-2</c:v>
                </c:pt>
                <c:pt idx="19" formatCode="0.00000">
                  <c:v>4.5027845796247253E-2</c:v>
                </c:pt>
                <c:pt idx="20" formatCode="0.00000">
                  <c:v>4.9224198686005846E-2</c:v>
                </c:pt>
                <c:pt idx="21" formatCode="0.00000">
                  <c:v>5.3656571423277427E-2</c:v>
                </c:pt>
                <c:pt idx="22" formatCode="0.00000">
                  <c:v>5.8275171502849332E-2</c:v>
                </c:pt>
                <c:pt idx="23" formatCode="0.00000">
                  <c:v>6.3345881026415654E-2</c:v>
                </c:pt>
                <c:pt idx="24" formatCode="0.00000">
                  <c:v>6.910421442979392E-2</c:v>
                </c:pt>
                <c:pt idx="25" formatCode="0.00000">
                  <c:v>7.4994512433484276E-2</c:v>
                </c:pt>
                <c:pt idx="26" formatCode="0.00000">
                  <c:v>8.1669085111243905E-2</c:v>
                </c:pt>
                <c:pt idx="27" formatCode="0.00000">
                  <c:v>8.8690546629275571E-2</c:v>
                </c:pt>
                <c:pt idx="28" formatCode="0.00000">
                  <c:v>9.6732299678168238E-2</c:v>
                </c:pt>
                <c:pt idx="29" formatCode="0.00000">
                  <c:v>0.1051521256753485</c:v>
                </c:pt>
                <c:pt idx="30" formatCode="0.00000">
                  <c:v>0.11424270591450231</c:v>
                </c:pt>
                <c:pt idx="31" formatCode="0.00000">
                  <c:v>0.12417021175779312</c:v>
                </c:pt>
                <c:pt idx="32" formatCode="0.00000">
                  <c:v>0.13496595239825379</c:v>
                </c:pt>
                <c:pt idx="33" formatCode="0.00000">
                  <c:v>0.14701567251131228</c:v>
                </c:pt>
                <c:pt idx="34" formatCode="0.00000">
                  <c:v>0.15985082576521956</c:v>
                </c:pt>
                <c:pt idx="35" formatCode="0.00000">
                  <c:v>0.17377159263335368</c:v>
                </c:pt>
                <c:pt idx="36" formatCode="0.00000">
                  <c:v>0.18897394652467636</c:v>
                </c:pt>
                <c:pt idx="37" formatCode="0.00000">
                  <c:v>0.20550549629279799</c:v>
                </c:pt>
                <c:pt idx="38" formatCode="0.00000">
                  <c:v>0.22354652061668945</c:v>
                </c:pt>
                <c:pt idx="39" formatCode="0.00000">
                  <c:v>0.24299654863467676</c:v>
                </c:pt>
                <c:pt idx="40" formatCode="0.00000">
                  <c:v>0.26413021241590867</c:v>
                </c:pt>
                <c:pt idx="41" formatCode="0.00000">
                  <c:v>0.28709169602497719</c:v>
                </c:pt>
                <c:pt idx="42" formatCode="0.00000">
                  <c:v>0.3120144586256704</c:v>
                </c:pt>
                <c:pt idx="43" formatCode="0.00000">
                  <c:v>0.33903925098821946</c:v>
                </c:pt>
                <c:pt idx="44" formatCode="0.00000">
                  <c:v>0.36835244690484925</c:v>
                </c:pt>
                <c:pt idx="45" formatCode="0.00000">
                  <c:v>0.40014939663739474</c:v>
                </c:pt>
                <c:pt idx="46" formatCode="0.00000">
                  <c:v>0.43463744941902904</c:v>
                </c:pt>
                <c:pt idx="47" formatCode="0.00000">
                  <c:v>0.47201915350194318</c:v>
                </c:pt>
                <c:pt idx="48" formatCode="0.00000">
                  <c:v>0.51252902438458814</c:v>
                </c:pt>
                <c:pt idx="49" formatCode="0.00000">
                  <c:v>0.55641074072978325</c:v>
                </c:pt>
                <c:pt idx="50" formatCode="0.00000">
                  <c:v>0.6039543020237701</c:v>
                </c:pt>
                <c:pt idx="51" formatCode="0.00000">
                  <c:v>0.65545074718296803</c:v>
                </c:pt>
                <c:pt idx="52" formatCode="0.00000">
                  <c:v>0.71121313096451055</c:v>
                </c:pt>
              </c:numCache>
            </c:numRef>
          </c:yVal>
          <c:smooth val="1"/>
          <c:extLst>
            <c:ext xmlns:c16="http://schemas.microsoft.com/office/drawing/2014/chart" uri="{C3380CC4-5D6E-409C-BE32-E72D297353CC}">
              <c16:uniqueId val="{00000001-76E2-44F8-AF4D-9A25EDF23C61}"/>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Maiz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'CC70-Tendencial'!$K$44:$BK$44</c:f>
              <c:numCache>
                <c:formatCode>General</c:formatCode>
                <c:ptCount val="53"/>
                <c:pt idx="0">
                  <c:v>1.50595736</c:v>
                </c:pt>
                <c:pt idx="1">
                  <c:v>1.65063659</c:v>
                </c:pt>
                <c:pt idx="2">
                  <c:v>1.5120563</c:v>
                </c:pt>
                <c:pt idx="3">
                  <c:v>1.9016245300000001</c:v>
                </c:pt>
                <c:pt idx="4">
                  <c:v>1.7977939060497783</c:v>
                </c:pt>
                <c:pt idx="5">
                  <c:v>1.9507085179514867</c:v>
                </c:pt>
                <c:pt idx="6">
                  <c:v>2.0802735514784509</c:v>
                </c:pt>
                <c:pt idx="7">
                  <c:v>2.0995351202509229</c:v>
                </c:pt>
                <c:pt idx="8">
                  <c:v>2.2361791024902344</c:v>
                </c:pt>
                <c:pt idx="9">
                  <c:v>2.305928298603972</c:v>
                </c:pt>
                <c:pt idx="10">
                  <c:v>2.3786356908923127</c:v>
                </c:pt>
                <c:pt idx="11">
                  <c:v>2.4457648572604405</c:v>
                </c:pt>
                <c:pt idx="12">
                  <c:v>2.5219143518400786</c:v>
                </c:pt>
                <c:pt idx="13">
                  <c:v>2.5099003294100473</c:v>
                </c:pt>
                <c:pt idx="14">
                  <c:v>2.5718998100774377</c:v>
                </c:pt>
                <c:pt idx="15">
                  <c:v>2.6436827018156666</c:v>
                </c:pt>
                <c:pt idx="16">
                  <c:v>2.7014221377402072</c:v>
                </c:pt>
                <c:pt idx="17">
                  <c:v>2.7578649419706278</c:v>
                </c:pt>
                <c:pt idx="18">
                  <c:v>2.8079105838027156</c:v>
                </c:pt>
                <c:pt idx="19">
                  <c:v>2.8574094385517124</c:v>
                </c:pt>
                <c:pt idx="20">
                  <c:v>2.9026311271334886</c:v>
                </c:pt>
                <c:pt idx="21">
                  <c:v>2.9602080578426215</c:v>
                </c:pt>
                <c:pt idx="22">
                  <c:v>3.0145820018414309</c:v>
                </c:pt>
                <c:pt idx="23">
                  <c:v>3.0674133288958556</c:v>
                </c:pt>
                <c:pt idx="24">
                  <c:v>3.1200654233707419</c:v>
                </c:pt>
                <c:pt idx="25">
                  <c:v>3.1674560797836131</c:v>
                </c:pt>
                <c:pt idx="26">
                  <c:v>3.2193896976582157</c:v>
                </c:pt>
                <c:pt idx="27">
                  <c:v>3.2684527552760363</c:v>
                </c:pt>
                <c:pt idx="28">
                  <c:v>3.3235102211503706</c:v>
                </c:pt>
                <c:pt idx="29">
                  <c:v>3.3737158174793271</c:v>
                </c:pt>
                <c:pt idx="30">
                  <c:v>3.4231202300786192</c:v>
                </c:pt>
                <c:pt idx="31">
                  <c:v>3.4729636839865363</c:v>
                </c:pt>
                <c:pt idx="32">
                  <c:v>3.5227775170100406</c:v>
                </c:pt>
                <c:pt idx="33">
                  <c:v>3.5752562495035836</c:v>
                </c:pt>
                <c:pt idx="34">
                  <c:v>3.6255313968716467</c:v>
                </c:pt>
                <c:pt idx="35">
                  <c:v>3.6756312809680844</c:v>
                </c:pt>
                <c:pt idx="36">
                  <c:v>3.7260435192108252</c:v>
                </c:pt>
                <c:pt idx="37">
                  <c:v>3.7763297961016598</c:v>
                </c:pt>
                <c:pt idx="38">
                  <c:v>3.8269202153023301</c:v>
                </c:pt>
                <c:pt idx="39">
                  <c:v>3.8765069227071347</c:v>
                </c:pt>
                <c:pt idx="40">
                  <c:v>3.9259848770224224</c:v>
                </c:pt>
                <c:pt idx="41">
                  <c:v>3.9753193554479522</c:v>
                </c:pt>
                <c:pt idx="42">
                  <c:v>4.024376967229502</c:v>
                </c:pt>
                <c:pt idx="43">
                  <c:v>4.0730354827326698</c:v>
                </c:pt>
                <c:pt idx="44">
                  <c:v>4.1213475073927297</c:v>
                </c:pt>
                <c:pt idx="45">
                  <c:v>4.1693241812181547</c:v>
                </c:pt>
                <c:pt idx="46">
                  <c:v>4.2169512681318917</c:v>
                </c:pt>
                <c:pt idx="47">
                  <c:v>4.2641464239978086</c:v>
                </c:pt>
                <c:pt idx="48">
                  <c:v>4.3108838560996432</c:v>
                </c:pt>
                <c:pt idx="49">
                  <c:v>4.3571140429454811</c:v>
                </c:pt>
                <c:pt idx="50">
                  <c:v>4.4028618880082586</c:v>
                </c:pt>
                <c:pt idx="51">
                  <c:v>4.4480952306914494</c:v>
                </c:pt>
                <c:pt idx="52">
                  <c:v>4.4927812234754487</c:v>
                </c:pt>
              </c:numCache>
            </c:numRef>
          </c:yVal>
          <c:smooth val="1"/>
          <c:extLst>
            <c:ext xmlns:c16="http://schemas.microsoft.com/office/drawing/2014/chart" uri="{C3380CC4-5D6E-409C-BE32-E72D297353CC}">
              <c16:uniqueId val="{00000000-77CB-475C-B095-25CDD7A07B9E}"/>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'CC70-Tendencial'!$K$60:$BK$60</c:f>
              <c:numCache>
                <c:formatCode>General</c:formatCode>
                <c:ptCount val="53"/>
                <c:pt idx="0">
                  <c:v>1.50595736</c:v>
                </c:pt>
                <c:pt idx="1">
                  <c:v>1.65063659</c:v>
                </c:pt>
                <c:pt idx="2">
                  <c:v>1.5120563</c:v>
                </c:pt>
                <c:pt idx="3">
                  <c:v>1.9016245300000001</c:v>
                </c:pt>
                <c:pt idx="4">
                  <c:v>1.7977939060497783</c:v>
                </c:pt>
                <c:pt idx="5" formatCode="0.00000">
                  <c:v>1.9507085179514867</c:v>
                </c:pt>
                <c:pt idx="6" formatCode="0.00000">
                  <c:v>2.0802735514784509</c:v>
                </c:pt>
                <c:pt idx="7" formatCode="0.00000">
                  <c:v>2.0995351202509229</c:v>
                </c:pt>
                <c:pt idx="8" formatCode="0.00000">
                  <c:v>2.2361791024902344</c:v>
                </c:pt>
                <c:pt idx="9" formatCode="0.00000">
                  <c:v>2.305928298603972</c:v>
                </c:pt>
                <c:pt idx="10" formatCode="0.00000">
                  <c:v>2.3786356908923127</c:v>
                </c:pt>
                <c:pt idx="11" formatCode="0.00000">
                  <c:v>2.4457648572604405</c:v>
                </c:pt>
                <c:pt idx="12" formatCode="0.00000">
                  <c:v>2.5219143518400786</c:v>
                </c:pt>
                <c:pt idx="13" formatCode="0.00000">
                  <c:v>2.5099003294100473</c:v>
                </c:pt>
                <c:pt idx="14" formatCode="0.00000">
                  <c:v>2.5718998100774377</c:v>
                </c:pt>
                <c:pt idx="15" formatCode="0.00000">
                  <c:v>2.6436827018156666</c:v>
                </c:pt>
                <c:pt idx="16" formatCode="0.00000">
                  <c:v>2.7014221377402072</c:v>
                </c:pt>
                <c:pt idx="17" formatCode="0.00000">
                  <c:v>2.7578649419706278</c:v>
                </c:pt>
                <c:pt idx="18" formatCode="0.00000">
                  <c:v>2.8079105838027156</c:v>
                </c:pt>
                <c:pt idx="19" formatCode="0.00000">
                  <c:v>2.8574094385517124</c:v>
                </c:pt>
                <c:pt idx="20" formatCode="0.00000">
                  <c:v>2.9026311271334886</c:v>
                </c:pt>
                <c:pt idx="21" formatCode="0.00000">
                  <c:v>2.9602080578426215</c:v>
                </c:pt>
                <c:pt idx="22" formatCode="0.00000">
                  <c:v>3.0145820018414309</c:v>
                </c:pt>
                <c:pt idx="23" formatCode="0.00000">
                  <c:v>3.0674133288958556</c:v>
                </c:pt>
                <c:pt idx="24" formatCode="0.00000">
                  <c:v>3.1200654233707419</c:v>
                </c:pt>
                <c:pt idx="25" formatCode="0.00000">
                  <c:v>3.1674560797836131</c:v>
                </c:pt>
                <c:pt idx="26" formatCode="0.00000">
                  <c:v>3.2193896976582157</c:v>
                </c:pt>
                <c:pt idx="27" formatCode="0.00000">
                  <c:v>3.2684527552760363</c:v>
                </c:pt>
                <c:pt idx="28" formatCode="0.00000">
                  <c:v>3.3235102211503706</c:v>
                </c:pt>
                <c:pt idx="29" formatCode="0.00000">
                  <c:v>3.3737158174793271</c:v>
                </c:pt>
                <c:pt idx="30" formatCode="0.00000">
                  <c:v>3.4231202300786192</c:v>
                </c:pt>
                <c:pt idx="31" formatCode="0.00000">
                  <c:v>3.4729636839865363</c:v>
                </c:pt>
                <c:pt idx="32" formatCode="0.00000">
                  <c:v>3.5227775170100406</c:v>
                </c:pt>
                <c:pt idx="33" formatCode="0.00000">
                  <c:v>3.5752562495035836</c:v>
                </c:pt>
                <c:pt idx="34" formatCode="0.00000">
                  <c:v>3.6255313968716467</c:v>
                </c:pt>
                <c:pt idx="35" formatCode="0.00000">
                  <c:v>3.6756312809680844</c:v>
                </c:pt>
                <c:pt idx="36" formatCode="0.00000">
                  <c:v>3.7260435192108252</c:v>
                </c:pt>
                <c:pt idx="37" formatCode="0.00000">
                  <c:v>3.7763297961016598</c:v>
                </c:pt>
                <c:pt idx="38" formatCode="0.00000">
                  <c:v>3.8269202153023301</c:v>
                </c:pt>
                <c:pt idx="39" formatCode="0.00000">
                  <c:v>3.8765069227071347</c:v>
                </c:pt>
                <c:pt idx="40" formatCode="0.00000">
                  <c:v>3.9259848770224224</c:v>
                </c:pt>
                <c:pt idx="41" formatCode="0.00000">
                  <c:v>3.9753193554479522</c:v>
                </c:pt>
                <c:pt idx="42" formatCode="0.00000">
                  <c:v>4.024376967229502</c:v>
                </c:pt>
                <c:pt idx="43" formatCode="0.00000">
                  <c:v>4.0730354827326698</c:v>
                </c:pt>
                <c:pt idx="44" formatCode="0.00000">
                  <c:v>4.1213475073927297</c:v>
                </c:pt>
                <c:pt idx="45" formatCode="0.00000">
                  <c:v>4.1693241812181547</c:v>
                </c:pt>
                <c:pt idx="46" formatCode="0.00000">
                  <c:v>4.2169512681318917</c:v>
                </c:pt>
                <c:pt idx="47" formatCode="0.00000">
                  <c:v>4.2641464239978086</c:v>
                </c:pt>
                <c:pt idx="48" formatCode="0.00000">
                  <c:v>4.3108838560996432</c:v>
                </c:pt>
                <c:pt idx="49" formatCode="0.00000">
                  <c:v>4.3571140429454811</c:v>
                </c:pt>
                <c:pt idx="50" formatCode="0.00000">
                  <c:v>4.4028618880082586</c:v>
                </c:pt>
                <c:pt idx="51" formatCode="0.00000">
                  <c:v>4.4480952306914494</c:v>
                </c:pt>
                <c:pt idx="52" formatCode="0.00000">
                  <c:v>4.4927812234754487</c:v>
                </c:pt>
              </c:numCache>
            </c:numRef>
          </c:yVal>
          <c:smooth val="1"/>
          <c:extLst>
            <c:ext xmlns:c16="http://schemas.microsoft.com/office/drawing/2014/chart" uri="{C3380CC4-5D6E-409C-BE32-E72D297353CC}">
              <c16:uniqueId val="{00000001-77CB-475C-B095-25CDD7A07B9E}"/>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Palma</a:t>
            </a:r>
            <a:r>
              <a:rPr lang="en-US" baseline="0"/>
              <a:t> africana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'CC70-Tendencial'!$K$45:$BK$45</c:f>
              <c:numCache>
                <c:formatCode>General</c:formatCode>
                <c:ptCount val="53"/>
                <c:pt idx="0">
                  <c:v>2.51192250271012</c:v>
                </c:pt>
                <c:pt idx="1">
                  <c:v>2.1091796952468402</c:v>
                </c:pt>
                <c:pt idx="2">
                  <c:v>2.2901977546689998</c:v>
                </c:pt>
                <c:pt idx="3">
                  <c:v>2.3209891366443003</c:v>
                </c:pt>
                <c:pt idx="4">
                  <c:v>2.201361538967078</c:v>
                </c:pt>
                <c:pt idx="5">
                  <c:v>1.9434969646397779</c:v>
                </c:pt>
                <c:pt idx="6">
                  <c:v>2.0559541309389888</c:v>
                </c:pt>
                <c:pt idx="7">
                  <c:v>2.0704082076739772</c:v>
                </c:pt>
                <c:pt idx="8">
                  <c:v>2.1871858339303714</c:v>
                </c:pt>
                <c:pt idx="9">
                  <c:v>2.2446794038376363</c:v>
                </c:pt>
                <c:pt idx="10">
                  <c:v>2.3043005832001668</c:v>
                </c:pt>
                <c:pt idx="11">
                  <c:v>2.3588666263335996</c:v>
                </c:pt>
                <c:pt idx="12">
                  <c:v>2.4205749372389329</c:v>
                </c:pt>
                <c:pt idx="13">
                  <c:v>2.409706760882155</c:v>
                </c:pt>
                <c:pt idx="14">
                  <c:v>2.4595503751110228</c:v>
                </c:pt>
                <c:pt idx="15">
                  <c:v>2.5172145081956052</c:v>
                </c:pt>
                <c:pt idx="16">
                  <c:v>2.5630012058110361</c:v>
                </c:pt>
                <c:pt idx="17">
                  <c:v>2.6075112680626091</c:v>
                </c:pt>
                <c:pt idx="18">
                  <c:v>2.6497302752707679</c:v>
                </c:pt>
                <c:pt idx="19">
                  <c:v>2.6890156583919826</c:v>
                </c:pt>
                <c:pt idx="20">
                  <c:v>2.724979692702743</c:v>
                </c:pt>
                <c:pt idx="21">
                  <c:v>2.77081790757659</c:v>
                </c:pt>
                <c:pt idx="22">
                  <c:v>2.8142149849929847</c:v>
                </c:pt>
                <c:pt idx="23">
                  <c:v>2.8560928634539606</c:v>
                </c:pt>
                <c:pt idx="24">
                  <c:v>2.897269153408903</c:v>
                </c:pt>
                <c:pt idx="25">
                  <c:v>2.9346086190010254</c:v>
                </c:pt>
                <c:pt idx="26">
                  <c:v>2.9749467927368562</c:v>
                </c:pt>
                <c:pt idx="27">
                  <c:v>3.0130994583278179</c:v>
                </c:pt>
                <c:pt idx="28">
                  <c:v>3.0552391153009228</c:v>
                </c:pt>
                <c:pt idx="29">
                  <c:v>3.0937186707976299</c:v>
                </c:pt>
                <c:pt idx="30">
                  <c:v>3.1314071436083237</c:v>
                </c:pt>
                <c:pt idx="31">
                  <c:v>3.1691605593342</c:v>
                </c:pt>
                <c:pt idx="32">
                  <c:v>3.2066543621309362</c:v>
                </c:pt>
                <c:pt idx="33">
                  <c:v>3.2457072248247183</c:v>
                </c:pt>
                <c:pt idx="34">
                  <c:v>3.2830240074994572</c:v>
                </c:pt>
                <c:pt idx="35">
                  <c:v>3.319978805933681</c:v>
                </c:pt>
                <c:pt idx="36">
                  <c:v>3.3568726317751256</c:v>
                </c:pt>
                <c:pt idx="37">
                  <c:v>3.3934091778501516</c:v>
                </c:pt>
                <c:pt idx="38">
                  <c:v>3.4298724052307805</c:v>
                </c:pt>
                <c:pt idx="39">
                  <c:v>3.4653955747963816</c:v>
                </c:pt>
                <c:pt idx="40">
                  <c:v>3.5005676134858161</c:v>
                </c:pt>
                <c:pt idx="41">
                  <c:v>3.535358664912355</c:v>
                </c:pt>
                <c:pt idx="42">
                  <c:v>3.5696753893330513</c:v>
                </c:pt>
                <c:pt idx="43">
                  <c:v>3.6034337349201278</c:v>
                </c:pt>
                <c:pt idx="44">
                  <c:v>3.6366655351109967</c:v>
                </c:pt>
                <c:pt idx="45">
                  <c:v>3.669374608250116</c:v>
                </c:pt>
                <c:pt idx="46">
                  <c:v>3.7015477058671848</c:v>
                </c:pt>
                <c:pt idx="47">
                  <c:v>3.7331284245319933</c:v>
                </c:pt>
                <c:pt idx="48">
                  <c:v>3.7640969205020438</c:v>
                </c:pt>
                <c:pt idx="49">
                  <c:v>3.7944187236372748</c:v>
                </c:pt>
                <c:pt idx="50">
                  <c:v>3.8241065831969112</c:v>
                </c:pt>
                <c:pt idx="51">
                  <c:v>3.8531375334041598</c:v>
                </c:pt>
                <c:pt idx="52">
                  <c:v>3.8814883817004757</c:v>
                </c:pt>
              </c:numCache>
            </c:numRef>
          </c:yVal>
          <c:smooth val="1"/>
          <c:extLst>
            <c:ext xmlns:c16="http://schemas.microsoft.com/office/drawing/2014/chart" uri="{C3380CC4-5D6E-409C-BE32-E72D297353CC}">
              <c16:uniqueId val="{00000000-DB27-40CC-99B0-ABB4DD1C2FA8}"/>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'CC70-Tendencial'!$K$61:$BK$61</c:f>
              <c:numCache>
                <c:formatCode>General</c:formatCode>
                <c:ptCount val="53"/>
                <c:pt idx="0">
                  <c:v>2.51192250271012</c:v>
                </c:pt>
                <c:pt idx="1">
                  <c:v>2.1091796952468402</c:v>
                </c:pt>
                <c:pt idx="2">
                  <c:v>2.2901977546689998</c:v>
                </c:pt>
                <c:pt idx="3">
                  <c:v>2.3209891366443003</c:v>
                </c:pt>
                <c:pt idx="4">
                  <c:v>2.201361538967078</c:v>
                </c:pt>
                <c:pt idx="5" formatCode="0.00000">
                  <c:v>1.9434969646397779</c:v>
                </c:pt>
                <c:pt idx="6" formatCode="0.00000">
                  <c:v>2.0559541309389888</c:v>
                </c:pt>
                <c:pt idx="7" formatCode="0.00000">
                  <c:v>2.0704082076739772</c:v>
                </c:pt>
                <c:pt idx="8" formatCode="0.00000">
                  <c:v>2.1871858339303714</c:v>
                </c:pt>
                <c:pt idx="9" formatCode="0.00000">
                  <c:v>2.2446794038376363</c:v>
                </c:pt>
                <c:pt idx="10" formatCode="0.00000">
                  <c:v>2.3043005832001668</c:v>
                </c:pt>
                <c:pt idx="11" formatCode="0.00000">
                  <c:v>2.3588666263335996</c:v>
                </c:pt>
                <c:pt idx="12" formatCode="0.00000">
                  <c:v>2.4205749372389329</c:v>
                </c:pt>
                <c:pt idx="13" formatCode="0.00000">
                  <c:v>2.409706760882155</c:v>
                </c:pt>
                <c:pt idx="14" formatCode="0.00000">
                  <c:v>2.4595503751110228</c:v>
                </c:pt>
                <c:pt idx="15" formatCode="0.00000">
                  <c:v>2.5172145081956052</c:v>
                </c:pt>
                <c:pt idx="16" formatCode="0.00000">
                  <c:v>2.5630012058110361</c:v>
                </c:pt>
                <c:pt idx="17" formatCode="0.00000">
                  <c:v>2.6075112680626091</c:v>
                </c:pt>
                <c:pt idx="18" formatCode="0.00000">
                  <c:v>2.6497302752707679</c:v>
                </c:pt>
                <c:pt idx="19" formatCode="0.00000">
                  <c:v>2.6890156583919826</c:v>
                </c:pt>
                <c:pt idx="20" formatCode="0.00000">
                  <c:v>2.724979692702743</c:v>
                </c:pt>
                <c:pt idx="21" formatCode="0.00000">
                  <c:v>2.77081790757659</c:v>
                </c:pt>
                <c:pt idx="22" formatCode="0.00000">
                  <c:v>2.8142149849929847</c:v>
                </c:pt>
                <c:pt idx="23" formatCode="0.00000">
                  <c:v>2.8560928634539606</c:v>
                </c:pt>
                <c:pt idx="24" formatCode="0.00000">
                  <c:v>2.897269153408903</c:v>
                </c:pt>
                <c:pt idx="25" formatCode="0.00000">
                  <c:v>2.9346086190010254</c:v>
                </c:pt>
                <c:pt idx="26" formatCode="0.00000">
                  <c:v>2.9749467927368562</c:v>
                </c:pt>
                <c:pt idx="27" formatCode="0.00000">
                  <c:v>3.0130994583278179</c:v>
                </c:pt>
                <c:pt idx="28" formatCode="0.00000">
                  <c:v>3.0552391153009228</c:v>
                </c:pt>
                <c:pt idx="29" formatCode="0.00000">
                  <c:v>3.0937186707976299</c:v>
                </c:pt>
                <c:pt idx="30" formatCode="0.00000">
                  <c:v>3.1314071436083237</c:v>
                </c:pt>
                <c:pt idx="31" formatCode="0.00000">
                  <c:v>3.1691605593342</c:v>
                </c:pt>
                <c:pt idx="32" formatCode="0.00000">
                  <c:v>3.2066543621309362</c:v>
                </c:pt>
                <c:pt idx="33" formatCode="0.00000">
                  <c:v>3.2457072248247183</c:v>
                </c:pt>
                <c:pt idx="34" formatCode="0.00000">
                  <c:v>3.2830240074994572</c:v>
                </c:pt>
                <c:pt idx="35" formatCode="0.00000">
                  <c:v>3.319978805933681</c:v>
                </c:pt>
                <c:pt idx="36" formatCode="0.00000">
                  <c:v>3.3568726317751256</c:v>
                </c:pt>
                <c:pt idx="37" formatCode="0.00000">
                  <c:v>3.3934091778501516</c:v>
                </c:pt>
                <c:pt idx="38" formatCode="0.00000">
                  <c:v>3.4298724052307805</c:v>
                </c:pt>
                <c:pt idx="39" formatCode="0.00000">
                  <c:v>3.4653955747963816</c:v>
                </c:pt>
                <c:pt idx="40" formatCode="0.00000">
                  <c:v>3.5005676134858161</c:v>
                </c:pt>
                <c:pt idx="41" formatCode="0.00000">
                  <c:v>3.535358664912355</c:v>
                </c:pt>
                <c:pt idx="42" formatCode="0.00000">
                  <c:v>3.5696753893330513</c:v>
                </c:pt>
                <c:pt idx="43" formatCode="0.00000">
                  <c:v>3.6034337349201278</c:v>
                </c:pt>
                <c:pt idx="44" formatCode="0.00000">
                  <c:v>3.6366655351109967</c:v>
                </c:pt>
                <c:pt idx="45" formatCode="0.00000">
                  <c:v>3.669374608250116</c:v>
                </c:pt>
                <c:pt idx="46" formatCode="0.00000">
                  <c:v>3.7015477058671848</c:v>
                </c:pt>
                <c:pt idx="47" formatCode="0.00000">
                  <c:v>3.7331284245319933</c:v>
                </c:pt>
                <c:pt idx="48" formatCode="0.00000">
                  <c:v>3.7640969205020438</c:v>
                </c:pt>
                <c:pt idx="49" formatCode="0.00000">
                  <c:v>3.7944187236372748</c:v>
                </c:pt>
                <c:pt idx="50" formatCode="0.00000">
                  <c:v>3.8241065831969112</c:v>
                </c:pt>
                <c:pt idx="51" formatCode="0.00000">
                  <c:v>3.8531375334041598</c:v>
                </c:pt>
                <c:pt idx="52" formatCode="0.00000">
                  <c:v>3.8814883817004757</c:v>
                </c:pt>
              </c:numCache>
            </c:numRef>
          </c:yVal>
          <c:smooth val="1"/>
          <c:extLst>
            <c:ext xmlns:c16="http://schemas.microsoft.com/office/drawing/2014/chart" uri="{C3380CC4-5D6E-409C-BE32-E72D297353CC}">
              <c16:uniqueId val="{00000001-DB27-40CC-99B0-ABB4DD1C2FA8}"/>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Soya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'CC70-Tendencial'!$K$46:$BK$46</c:f>
              <c:numCache>
                <c:formatCode>General</c:formatCode>
                <c:ptCount val="53"/>
                <c:pt idx="0">
                  <c:v>2.5507092710500001E-2</c:v>
                </c:pt>
                <c:pt idx="1">
                  <c:v>3.9510345079400003E-2</c:v>
                </c:pt>
                <c:pt idx="2">
                  <c:v>2.7237504999999999E-2</c:v>
                </c:pt>
                <c:pt idx="3">
                  <c:v>2.0068082921500002E-2</c:v>
                </c:pt>
                <c:pt idx="4">
                  <c:v>2.9444852451209817E-2</c:v>
                </c:pt>
                <c:pt idx="5">
                  <c:v>2.6945836427731906E-2</c:v>
                </c:pt>
                <c:pt idx="6">
                  <c:v>2.8556993746044021E-2</c:v>
                </c:pt>
                <c:pt idx="7">
                  <c:v>2.8576749400626423E-2</c:v>
                </c:pt>
                <c:pt idx="8">
                  <c:v>3.0259190470528254E-2</c:v>
                </c:pt>
                <c:pt idx="9">
                  <c:v>3.097887308920777E-2</c:v>
                </c:pt>
                <c:pt idx="10">
                  <c:v>3.1730829411955666E-2</c:v>
                </c:pt>
                <c:pt idx="11">
                  <c:v>3.2395384074900592E-2</c:v>
                </c:pt>
                <c:pt idx="12">
                  <c:v>3.3176402687466064E-2</c:v>
                </c:pt>
                <c:pt idx="13">
                  <c:v>3.273134903330014E-2</c:v>
                </c:pt>
                <c:pt idx="14">
                  <c:v>3.3305264559828587E-2</c:v>
                </c:pt>
                <c:pt idx="15">
                  <c:v>3.400486653492054E-2</c:v>
                </c:pt>
                <c:pt idx="16">
                  <c:v>3.4505043443046571E-2</c:v>
                </c:pt>
                <c:pt idx="17">
                  <c:v>3.498088338432806E-2</c:v>
                </c:pt>
                <c:pt idx="18">
                  <c:v>3.5438459516565955E-2</c:v>
                </c:pt>
                <c:pt idx="19">
                  <c:v>3.5827841448904142E-2</c:v>
                </c:pt>
                <c:pt idx="20">
                  <c:v>3.6162096676814116E-2</c:v>
                </c:pt>
                <c:pt idx="21">
                  <c:v>3.6657145118591541E-2</c:v>
                </c:pt>
                <c:pt idx="22">
                  <c:v>3.7112095322188773E-2</c:v>
                </c:pt>
                <c:pt idx="23">
                  <c:v>3.7539017364722482E-2</c:v>
                </c:pt>
                <c:pt idx="24">
                  <c:v>3.7949397464214454E-2</c:v>
                </c:pt>
                <c:pt idx="25">
                  <c:v>3.829862669230346E-2</c:v>
                </c:pt>
                <c:pt idx="26">
                  <c:v>3.8691893675946276E-2</c:v>
                </c:pt>
                <c:pt idx="27">
                  <c:v>3.9049535738693332E-2</c:v>
                </c:pt>
                <c:pt idx="28">
                  <c:v>3.946638967035683E-2</c:v>
                </c:pt>
                <c:pt idx="29">
                  <c:v>3.9824364792176825E-2</c:v>
                </c:pt>
                <c:pt idx="30">
                  <c:v>4.016806300993489E-2</c:v>
                </c:pt>
                <c:pt idx="31">
                  <c:v>4.051064309869247E-2</c:v>
                </c:pt>
                <c:pt idx="32">
                  <c:v>4.0847193503309162E-2</c:v>
                </c:pt>
                <c:pt idx="33">
                  <c:v>4.1205311499773307E-2</c:v>
                </c:pt>
                <c:pt idx="34">
                  <c:v>4.1535349881358589E-2</c:v>
                </c:pt>
                <c:pt idx="35">
                  <c:v>4.1858242355610781E-2</c:v>
                </c:pt>
                <c:pt idx="36">
                  <c:v>4.21784494624085E-2</c:v>
                </c:pt>
                <c:pt idx="37">
                  <c:v>4.2491653748256995E-2</c:v>
                </c:pt>
                <c:pt idx="38">
                  <c:v>4.2802259312112498E-2</c:v>
                </c:pt>
                <c:pt idx="39">
                  <c:v>4.3097460206323025E-2</c:v>
                </c:pt>
                <c:pt idx="40">
                  <c:v>4.3386196979863359E-2</c:v>
                </c:pt>
                <c:pt idx="41">
                  <c:v>4.3668130717855275E-2</c:v>
                </c:pt>
                <c:pt idx="42">
                  <c:v>4.3941988085471805E-2</c:v>
                </c:pt>
                <c:pt idx="43">
                  <c:v>4.4206650006536605E-2</c:v>
                </c:pt>
                <c:pt idx="44">
                  <c:v>4.4462736972829646E-2</c:v>
                </c:pt>
                <c:pt idx="45">
                  <c:v>4.4710446173062163E-2</c:v>
                </c:pt>
                <c:pt idx="46">
                  <c:v>4.494971715811804E-2</c:v>
                </c:pt>
                <c:pt idx="47">
                  <c:v>4.5179857463044384E-2</c:v>
                </c:pt>
                <c:pt idx="48">
                  <c:v>4.5400715724895339E-2</c:v>
                </c:pt>
                <c:pt idx="49">
                  <c:v>4.5611929206162638E-2</c:v>
                </c:pt>
                <c:pt idx="50">
                  <c:v>4.5813828734550359E-2</c:v>
                </c:pt>
                <c:pt idx="51">
                  <c:v>4.6006224866047461E-2</c:v>
                </c:pt>
                <c:pt idx="52">
                  <c:v>4.6188925633893707E-2</c:v>
                </c:pt>
              </c:numCache>
            </c:numRef>
          </c:yVal>
          <c:smooth val="1"/>
          <c:extLst>
            <c:ext xmlns:c16="http://schemas.microsoft.com/office/drawing/2014/chart" uri="{C3380CC4-5D6E-409C-BE32-E72D297353CC}">
              <c16:uniqueId val="{00000000-6691-455B-B43F-B04386714D37}"/>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'CC70-Tendencial'!$K$62:$BK$62</c:f>
              <c:numCache>
                <c:formatCode>General</c:formatCode>
                <c:ptCount val="53"/>
                <c:pt idx="0">
                  <c:v>2.5507092710500001E-2</c:v>
                </c:pt>
                <c:pt idx="1">
                  <c:v>3.9510345079400003E-2</c:v>
                </c:pt>
                <c:pt idx="2">
                  <c:v>2.7237504999999999E-2</c:v>
                </c:pt>
                <c:pt idx="3">
                  <c:v>2.0068082921500002E-2</c:v>
                </c:pt>
                <c:pt idx="4">
                  <c:v>2.9444852451209817E-2</c:v>
                </c:pt>
                <c:pt idx="5" formatCode="0.00000">
                  <c:v>2.6945836427731906E-2</c:v>
                </c:pt>
                <c:pt idx="6" formatCode="0.00000">
                  <c:v>2.8556993746044021E-2</c:v>
                </c:pt>
                <c:pt idx="7" formatCode="0.00000">
                  <c:v>2.8576749400626423E-2</c:v>
                </c:pt>
                <c:pt idx="8" formatCode="0.00000">
                  <c:v>3.0259190470528254E-2</c:v>
                </c:pt>
                <c:pt idx="9" formatCode="0.00000">
                  <c:v>3.097887308920777E-2</c:v>
                </c:pt>
                <c:pt idx="10" formatCode="0.00000">
                  <c:v>3.1730829411955666E-2</c:v>
                </c:pt>
                <c:pt idx="11" formatCode="0.00000">
                  <c:v>3.2395384074900592E-2</c:v>
                </c:pt>
                <c:pt idx="12" formatCode="0.00000">
                  <c:v>3.3176402687466064E-2</c:v>
                </c:pt>
                <c:pt idx="13" formatCode="0.00000">
                  <c:v>3.273134903330014E-2</c:v>
                </c:pt>
                <c:pt idx="14" formatCode="0.00000">
                  <c:v>3.3305264559828587E-2</c:v>
                </c:pt>
                <c:pt idx="15" formatCode="0.00000">
                  <c:v>3.400486653492054E-2</c:v>
                </c:pt>
                <c:pt idx="16" formatCode="0.00000">
                  <c:v>3.4505043443046571E-2</c:v>
                </c:pt>
                <c:pt idx="17" formatCode="0.00000">
                  <c:v>3.498088338432806E-2</c:v>
                </c:pt>
                <c:pt idx="18" formatCode="0.00000">
                  <c:v>3.5438459516565955E-2</c:v>
                </c:pt>
                <c:pt idx="19" formatCode="0.00000">
                  <c:v>3.5827841448904142E-2</c:v>
                </c:pt>
                <c:pt idx="20" formatCode="0.00000">
                  <c:v>3.6162096676814116E-2</c:v>
                </c:pt>
                <c:pt idx="21" formatCode="0.00000">
                  <c:v>3.6657145118591541E-2</c:v>
                </c:pt>
                <c:pt idx="22" formatCode="0.00000">
                  <c:v>3.7112095322188773E-2</c:v>
                </c:pt>
                <c:pt idx="23" formatCode="0.00000">
                  <c:v>3.7539017364722482E-2</c:v>
                </c:pt>
                <c:pt idx="24" formatCode="0.00000">
                  <c:v>3.7949397464214454E-2</c:v>
                </c:pt>
                <c:pt idx="25" formatCode="0.00000">
                  <c:v>3.829862669230346E-2</c:v>
                </c:pt>
                <c:pt idx="26" formatCode="0.00000">
                  <c:v>3.8691893675946276E-2</c:v>
                </c:pt>
                <c:pt idx="27" formatCode="0.00000">
                  <c:v>3.9049535738693332E-2</c:v>
                </c:pt>
                <c:pt idx="28" formatCode="0.00000">
                  <c:v>3.946638967035683E-2</c:v>
                </c:pt>
                <c:pt idx="29" formatCode="0.00000">
                  <c:v>3.9824364792176825E-2</c:v>
                </c:pt>
                <c:pt idx="30" formatCode="0.00000">
                  <c:v>4.016806300993489E-2</c:v>
                </c:pt>
                <c:pt idx="31" formatCode="0.00000">
                  <c:v>4.051064309869247E-2</c:v>
                </c:pt>
                <c:pt idx="32" formatCode="0.00000">
                  <c:v>4.0847193503309162E-2</c:v>
                </c:pt>
                <c:pt idx="33" formatCode="0.00000">
                  <c:v>4.1205311499773307E-2</c:v>
                </c:pt>
                <c:pt idx="34" formatCode="0.00000">
                  <c:v>4.1535349881358589E-2</c:v>
                </c:pt>
                <c:pt idx="35" formatCode="0.00000">
                  <c:v>4.1858242355610781E-2</c:v>
                </c:pt>
                <c:pt idx="36" formatCode="0.00000">
                  <c:v>4.21784494624085E-2</c:v>
                </c:pt>
                <c:pt idx="37" formatCode="0.00000">
                  <c:v>4.2491653748256995E-2</c:v>
                </c:pt>
                <c:pt idx="38" formatCode="0.00000">
                  <c:v>4.2802259312112498E-2</c:v>
                </c:pt>
                <c:pt idx="39" formatCode="0.00000">
                  <c:v>4.3097460206323025E-2</c:v>
                </c:pt>
                <c:pt idx="40" formatCode="0.00000">
                  <c:v>4.3386196979863359E-2</c:v>
                </c:pt>
                <c:pt idx="41" formatCode="0.00000">
                  <c:v>4.3668130717855275E-2</c:v>
                </c:pt>
                <c:pt idx="42" formatCode="0.00000">
                  <c:v>4.3941988085471805E-2</c:v>
                </c:pt>
                <c:pt idx="43" formatCode="0.00000">
                  <c:v>4.4206650006536605E-2</c:v>
                </c:pt>
                <c:pt idx="44" formatCode="0.00000">
                  <c:v>4.4462736972829646E-2</c:v>
                </c:pt>
                <c:pt idx="45" formatCode="0.00000">
                  <c:v>4.4710446173062163E-2</c:v>
                </c:pt>
                <c:pt idx="46" formatCode="0.00000">
                  <c:v>4.494971715811804E-2</c:v>
                </c:pt>
                <c:pt idx="47" formatCode="0.00000">
                  <c:v>4.5179857463044384E-2</c:v>
                </c:pt>
                <c:pt idx="48" formatCode="0.00000">
                  <c:v>4.5400715724895339E-2</c:v>
                </c:pt>
                <c:pt idx="49" formatCode="0.00000">
                  <c:v>4.5611929206162638E-2</c:v>
                </c:pt>
                <c:pt idx="50" formatCode="0.00000">
                  <c:v>4.5813828734550359E-2</c:v>
                </c:pt>
                <c:pt idx="51" formatCode="0.00000">
                  <c:v>4.6006224866047461E-2</c:v>
                </c:pt>
                <c:pt idx="52" formatCode="0.00000">
                  <c:v>4.6188925633893707E-2</c:v>
                </c:pt>
              </c:numCache>
            </c:numRef>
          </c:yVal>
          <c:smooth val="1"/>
          <c:extLst>
            <c:ext xmlns:c16="http://schemas.microsoft.com/office/drawing/2014/chart" uri="{C3380CC4-5D6E-409C-BE32-E72D297353CC}">
              <c16:uniqueId val="{00000001-6691-455B-B43F-B04386714D37}"/>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Palmito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'CC70-Tendencial'!$K$47:$BK$47</c:f>
              <c:numCache>
                <c:formatCode>General</c:formatCode>
                <c:ptCount val="53"/>
                <c:pt idx="0">
                  <c:v>1.3011316471616012E-2</c:v>
                </c:pt>
                <c:pt idx="1">
                  <c:v>1.480502655650285E-2</c:v>
                </c:pt>
                <c:pt idx="2">
                  <c:v>1.0287478899201868E-2</c:v>
                </c:pt>
                <c:pt idx="3">
                  <c:v>1.0681776222006889E-2</c:v>
                </c:pt>
                <c:pt idx="4">
                  <c:v>1.4507649369902037E-2</c:v>
                </c:pt>
                <c:pt idx="5">
                  <c:v>2.5043799746410106E-2</c:v>
                </c:pt>
                <c:pt idx="6">
                  <c:v>2.0786360156828998E-2</c:v>
                </c:pt>
                <c:pt idx="7">
                  <c:v>2.7794900322111404E-2</c:v>
                </c:pt>
                <c:pt idx="8">
                  <c:v>2.20887866712456E-2</c:v>
                </c:pt>
                <c:pt idx="9">
                  <c:v>2.3277789330652304E-2</c:v>
                </c:pt>
                <c:pt idx="10">
                  <c:v>2.4023392612830097E-2</c:v>
                </c:pt>
                <c:pt idx="11">
                  <c:v>2.5389071617752598E-2</c:v>
                </c:pt>
                <c:pt idx="12">
                  <c:v>2.5518173413265843E-2</c:v>
                </c:pt>
                <c:pt idx="13">
                  <c:v>3.7453766781845282E-2</c:v>
                </c:pt>
                <c:pt idx="14">
                  <c:v>3.9518013942295246E-2</c:v>
                </c:pt>
                <c:pt idx="15">
                  <c:v>4.0295730018486797E-2</c:v>
                </c:pt>
                <c:pt idx="16">
                  <c:v>4.2834787974771568E-2</c:v>
                </c:pt>
                <c:pt idx="17">
                  <c:v>4.5526391402746016E-2</c:v>
                </c:pt>
                <c:pt idx="18">
                  <c:v>4.3662358121576733E-2</c:v>
                </c:pt>
                <c:pt idx="19">
                  <c:v>4.5851767059062964E-2</c:v>
                </c:pt>
                <c:pt idx="20">
                  <c:v>4.8078080911448315E-2</c:v>
                </c:pt>
                <c:pt idx="21">
                  <c:v>4.8388724127667412E-2</c:v>
                </c:pt>
                <c:pt idx="22">
                  <c:v>4.8452003621858808E-2</c:v>
                </c:pt>
                <c:pt idx="23">
                  <c:v>4.8814067255666643E-2</c:v>
                </c:pt>
                <c:pt idx="24">
                  <c:v>4.9788717356801071E-2</c:v>
                </c:pt>
                <c:pt idx="25">
                  <c:v>5.0516910292342621E-2</c:v>
                </c:pt>
                <c:pt idx="26">
                  <c:v>5.1263972238150435E-2</c:v>
                </c:pt>
                <c:pt idx="27">
                  <c:v>5.1869783801487157E-2</c:v>
                </c:pt>
                <c:pt idx="28">
                  <c:v>5.2473555111215819E-2</c:v>
                </c:pt>
                <c:pt idx="29">
                  <c:v>5.3087940524013444E-2</c:v>
                </c:pt>
                <c:pt idx="30">
                  <c:v>5.3693151714875709E-2</c:v>
                </c:pt>
                <c:pt idx="31">
                  <c:v>5.4306999039757275E-2</c:v>
                </c:pt>
                <c:pt idx="32">
                  <c:v>5.4923846255090641E-2</c:v>
                </c:pt>
                <c:pt idx="33">
                  <c:v>5.5598968729367565E-2</c:v>
                </c:pt>
                <c:pt idx="34">
                  <c:v>5.6204914571708342E-2</c:v>
                </c:pt>
                <c:pt idx="35">
                  <c:v>5.6783631113042715E-2</c:v>
                </c:pt>
                <c:pt idx="36">
                  <c:v>5.7384680895631035E-2</c:v>
                </c:pt>
                <c:pt idx="37">
                  <c:v>5.7991988038939735E-2</c:v>
                </c:pt>
                <c:pt idx="38">
                  <c:v>5.8606376606698707E-2</c:v>
                </c:pt>
                <c:pt idx="39">
                  <c:v>5.9192899463103354E-2</c:v>
                </c:pt>
                <c:pt idx="40">
                  <c:v>5.9771505604095471E-2</c:v>
                </c:pt>
                <c:pt idx="41">
                  <c:v>6.0344979094462237E-2</c:v>
                </c:pt>
                <c:pt idx="42">
                  <c:v>6.0913384144381411E-2</c:v>
                </c:pt>
                <c:pt idx="43">
                  <c:v>6.1475854245176653E-2</c:v>
                </c:pt>
                <c:pt idx="44">
                  <c:v>6.2031249906502967E-2</c:v>
                </c:pt>
                <c:pt idx="45">
                  <c:v>6.257898813074983E-2</c:v>
                </c:pt>
                <c:pt idx="46">
                  <c:v>6.3119293999172099E-2</c:v>
                </c:pt>
                <c:pt idx="47">
                  <c:v>6.3650896387846073E-2</c:v>
                </c:pt>
                <c:pt idx="48">
                  <c:v>6.4173928025352517E-2</c:v>
                </c:pt>
                <c:pt idx="49">
                  <c:v>6.4687868316952862E-2</c:v>
                </c:pt>
                <c:pt idx="50">
                  <c:v>6.5193612822851021E-2</c:v>
                </c:pt>
                <c:pt idx="51">
                  <c:v>6.5690373184197376E-2</c:v>
                </c:pt>
                <c:pt idx="52">
                  <c:v>6.6177611126452207E-2</c:v>
                </c:pt>
              </c:numCache>
            </c:numRef>
          </c:yVal>
          <c:smooth val="1"/>
          <c:extLst>
            <c:ext xmlns:c16="http://schemas.microsoft.com/office/drawing/2014/chart" uri="{C3380CC4-5D6E-409C-BE32-E72D297353CC}">
              <c16:uniqueId val="{00000000-6F61-4CB2-BB05-0D58869CDA32}"/>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'CC70-Tendencial'!$K$63:$BK$63</c:f>
              <c:numCache>
                <c:formatCode>General</c:formatCode>
                <c:ptCount val="53"/>
                <c:pt idx="0">
                  <c:v>1.3011316471616012E-2</c:v>
                </c:pt>
                <c:pt idx="1">
                  <c:v>1.480502655650285E-2</c:v>
                </c:pt>
                <c:pt idx="2">
                  <c:v>1.0287478899201868E-2</c:v>
                </c:pt>
                <c:pt idx="3">
                  <c:v>1.0681776222006889E-2</c:v>
                </c:pt>
                <c:pt idx="4">
                  <c:v>1.4507649369902037E-2</c:v>
                </c:pt>
                <c:pt idx="5" formatCode="0.00000">
                  <c:v>2.5043799746410106E-2</c:v>
                </c:pt>
                <c:pt idx="6" formatCode="0.00000">
                  <c:v>2.0786360156828998E-2</c:v>
                </c:pt>
                <c:pt idx="7" formatCode="0.00000">
                  <c:v>2.7794900322111404E-2</c:v>
                </c:pt>
                <c:pt idx="8" formatCode="0.00000">
                  <c:v>2.20887866712456E-2</c:v>
                </c:pt>
                <c:pt idx="9" formatCode="0.00000">
                  <c:v>2.3277789330652304E-2</c:v>
                </c:pt>
                <c:pt idx="10" formatCode="0.00000">
                  <c:v>2.4023392612830097E-2</c:v>
                </c:pt>
                <c:pt idx="11" formatCode="0.00000">
                  <c:v>2.5389071617752598E-2</c:v>
                </c:pt>
                <c:pt idx="12" formatCode="0.00000">
                  <c:v>2.5518173413265843E-2</c:v>
                </c:pt>
                <c:pt idx="13" formatCode="0.00000">
                  <c:v>3.7453766781845282E-2</c:v>
                </c:pt>
                <c:pt idx="14" formatCode="0.00000">
                  <c:v>3.9518013942295246E-2</c:v>
                </c:pt>
                <c:pt idx="15" formatCode="0.00000">
                  <c:v>4.0295730018486797E-2</c:v>
                </c:pt>
                <c:pt idx="16" formatCode="0.00000">
                  <c:v>4.2834787974771568E-2</c:v>
                </c:pt>
                <c:pt idx="17" formatCode="0.00000">
                  <c:v>4.5526391402746016E-2</c:v>
                </c:pt>
                <c:pt idx="18" formatCode="0.00000">
                  <c:v>4.3662358121576733E-2</c:v>
                </c:pt>
                <c:pt idx="19" formatCode="0.00000">
                  <c:v>4.5851767059062964E-2</c:v>
                </c:pt>
                <c:pt idx="20" formatCode="0.00000">
                  <c:v>4.8078080911448315E-2</c:v>
                </c:pt>
                <c:pt idx="21" formatCode="0.00000">
                  <c:v>4.8388724127667412E-2</c:v>
                </c:pt>
                <c:pt idx="22" formatCode="0.00000">
                  <c:v>4.8452003621858808E-2</c:v>
                </c:pt>
                <c:pt idx="23" formatCode="0.00000">
                  <c:v>4.8814067255666643E-2</c:v>
                </c:pt>
                <c:pt idx="24" formatCode="0.00000">
                  <c:v>4.9788717356801071E-2</c:v>
                </c:pt>
                <c:pt idx="25" formatCode="0.00000">
                  <c:v>5.0516910292342621E-2</c:v>
                </c:pt>
                <c:pt idx="26" formatCode="0.00000">
                  <c:v>5.1263972238150435E-2</c:v>
                </c:pt>
                <c:pt idx="27" formatCode="0.00000">
                  <c:v>5.1869783801487157E-2</c:v>
                </c:pt>
                <c:pt idx="28" formatCode="0.00000">
                  <c:v>5.2473555111215819E-2</c:v>
                </c:pt>
                <c:pt idx="29" formatCode="0.00000">
                  <c:v>5.3087940524013444E-2</c:v>
                </c:pt>
                <c:pt idx="30" formatCode="0.00000">
                  <c:v>5.3693151714875709E-2</c:v>
                </c:pt>
                <c:pt idx="31" formatCode="0.00000">
                  <c:v>5.4306999039757275E-2</c:v>
                </c:pt>
                <c:pt idx="32" formatCode="0.00000">
                  <c:v>5.4923846255090641E-2</c:v>
                </c:pt>
                <c:pt idx="33" formatCode="0.00000">
                  <c:v>5.5598968729367565E-2</c:v>
                </c:pt>
                <c:pt idx="34" formatCode="0.00000">
                  <c:v>5.6204914571708342E-2</c:v>
                </c:pt>
                <c:pt idx="35" formatCode="0.00000">
                  <c:v>5.6783631113042715E-2</c:v>
                </c:pt>
                <c:pt idx="36" formatCode="0.00000">
                  <c:v>5.7384680895631035E-2</c:v>
                </c:pt>
                <c:pt idx="37" formatCode="0.00000">
                  <c:v>5.7991988038939735E-2</c:v>
                </c:pt>
                <c:pt idx="38" formatCode="0.00000">
                  <c:v>5.8606376606698707E-2</c:v>
                </c:pt>
                <c:pt idx="39" formatCode="0.00000">
                  <c:v>5.9192899463103354E-2</c:v>
                </c:pt>
                <c:pt idx="40" formatCode="0.00000">
                  <c:v>5.9771505604095471E-2</c:v>
                </c:pt>
                <c:pt idx="41" formatCode="0.00000">
                  <c:v>6.0344979094462237E-2</c:v>
                </c:pt>
                <c:pt idx="42" formatCode="0.00000">
                  <c:v>6.0913384144381411E-2</c:v>
                </c:pt>
                <c:pt idx="43" formatCode="0.00000">
                  <c:v>6.1475854245176653E-2</c:v>
                </c:pt>
                <c:pt idx="44" formatCode="0.00000">
                  <c:v>6.2031249906502967E-2</c:v>
                </c:pt>
                <c:pt idx="45" formatCode="0.00000">
                  <c:v>6.257898813074983E-2</c:v>
                </c:pt>
                <c:pt idx="46" formatCode="0.00000">
                  <c:v>6.3119293999172099E-2</c:v>
                </c:pt>
                <c:pt idx="47" formatCode="0.00000">
                  <c:v>6.3650896387846073E-2</c:v>
                </c:pt>
                <c:pt idx="48" formatCode="0.00000">
                  <c:v>6.4173928025352517E-2</c:v>
                </c:pt>
                <c:pt idx="49" formatCode="0.00000">
                  <c:v>6.4687868316952862E-2</c:v>
                </c:pt>
                <c:pt idx="50" formatCode="0.00000">
                  <c:v>6.5193612822851021E-2</c:v>
                </c:pt>
                <c:pt idx="51" formatCode="0.00000">
                  <c:v>6.5690373184197376E-2</c:v>
                </c:pt>
                <c:pt idx="52" formatCode="0.00000">
                  <c:v>6.6177611126452207E-2</c:v>
                </c:pt>
              </c:numCache>
            </c:numRef>
          </c:yVal>
          <c:smooth val="1"/>
          <c:extLst>
            <c:ext xmlns:c16="http://schemas.microsoft.com/office/drawing/2014/chart" uri="{C3380CC4-5D6E-409C-BE32-E72D297353CC}">
              <c16:uniqueId val="{00000001-6F61-4CB2-BB05-0D58869CDA32}"/>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Legumbres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'CC70-Tendencial'!$A$3:$A$17</c:f>
              <c:strCache>
                <c:ptCount val="1"/>
                <c:pt idx="0">
                  <c:v>Datos Escenario Tendencial</c:v>
                </c:pt>
              </c:strCache>
            </c:strRef>
          </c:tx>
          <c:spPr>
            <a:ln w="19050" cap="rnd">
              <a:solidFill>
                <a:schemeClr val="accent1"/>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'CC70-Tendencial'!$K$48:$BK$48</c:f>
              <c:numCache>
                <c:formatCode>General</c:formatCode>
                <c:ptCount val="53"/>
                <c:pt idx="0">
                  <c:v>6.205811E-2</c:v>
                </c:pt>
                <c:pt idx="1">
                  <c:v>7.0931419999999995E-2</c:v>
                </c:pt>
                <c:pt idx="2">
                  <c:v>7.2699089999999994E-2</c:v>
                </c:pt>
                <c:pt idx="3">
                  <c:v>8.1058329999999998E-2</c:v>
                </c:pt>
                <c:pt idx="4">
                  <c:v>6.2233284529595478E-2</c:v>
                </c:pt>
                <c:pt idx="5">
                  <c:v>7.8666180913407602E-2</c:v>
                </c:pt>
                <c:pt idx="6">
                  <c:v>8.2447103482477149E-2</c:v>
                </c:pt>
                <c:pt idx="7">
                  <c:v>8.3461641943106624E-2</c:v>
                </c:pt>
                <c:pt idx="8">
                  <c:v>8.7239338045921808E-2</c:v>
                </c:pt>
                <c:pt idx="9">
                  <c:v>8.9353888793080982E-2</c:v>
                </c:pt>
                <c:pt idx="10">
                  <c:v>9.1498807151742134E-2</c:v>
                </c:pt>
                <c:pt idx="11">
                  <c:v>9.3498846931245355E-2</c:v>
                </c:pt>
                <c:pt idx="12">
                  <c:v>9.5645645838647653E-2</c:v>
                </c:pt>
                <c:pt idx="13">
                  <c:v>9.6140113140628827E-2</c:v>
                </c:pt>
                <c:pt idx="14">
                  <c:v>9.8007943370025954E-2</c:v>
                </c:pt>
                <c:pt idx="15">
                  <c:v>0.10004296485990399</c:v>
                </c:pt>
                <c:pt idx="16">
                  <c:v>0.10178615441889768</c:v>
                </c:pt>
                <c:pt idx="17">
                  <c:v>0.10348885734912237</c:v>
                </c:pt>
                <c:pt idx="18">
                  <c:v>0.10474692624129889</c:v>
                </c:pt>
                <c:pt idx="19">
                  <c:v>0.10621378464042737</c:v>
                </c:pt>
                <c:pt idx="20">
                  <c:v>0.10756209223396783</c:v>
                </c:pt>
                <c:pt idx="21">
                  <c:v>0.10909549791282033</c:v>
                </c:pt>
                <c:pt idx="22">
                  <c:v>0.11051708233495591</c:v>
                </c:pt>
                <c:pt idx="23">
                  <c:v>0.11190232309011044</c:v>
                </c:pt>
                <c:pt idx="24">
                  <c:v>0.1133043731900403</c:v>
                </c:pt>
                <c:pt idx="25">
                  <c:v>0.11454924155576893</c:v>
                </c:pt>
                <c:pt idx="26">
                  <c:v>0.11589078808327129</c:v>
                </c:pt>
                <c:pt idx="27">
                  <c:v>0.11714010756474741</c:v>
                </c:pt>
                <c:pt idx="28">
                  <c:v>0.11851663098488162</c:v>
                </c:pt>
                <c:pt idx="29">
                  <c:v>0.11976337924107107</c:v>
                </c:pt>
                <c:pt idx="30">
                  <c:v>0.12097587621637329</c:v>
                </c:pt>
                <c:pt idx="31">
                  <c:v>0.12218424658192423</c:v>
                </c:pt>
                <c:pt idx="32">
                  <c:v>0.12337721559622004</c:v>
                </c:pt>
                <c:pt idx="33">
                  <c:v>0.1246191923475139</c:v>
                </c:pt>
                <c:pt idx="34">
                  <c:v>0.12579096096584719</c:v>
                </c:pt>
                <c:pt idx="35">
                  <c:v>0.1269413890183668</c:v>
                </c:pt>
                <c:pt idx="36">
                  <c:v>0.12808421257903205</c:v>
                </c:pt>
                <c:pt idx="37">
                  <c:v>0.12920840041092327</c:v>
                </c:pt>
                <c:pt idx="38">
                  <c:v>0.13032319610424581</c:v>
                </c:pt>
                <c:pt idx="39">
                  <c:v>0.13139774418256239</c:v>
                </c:pt>
                <c:pt idx="40">
                  <c:v>0.13245274084109362</c:v>
                </c:pt>
                <c:pt idx="41">
                  <c:v>0.13348741725861288</c:v>
                </c:pt>
                <c:pt idx="42">
                  <c:v>0.1344987781034695</c:v>
                </c:pt>
                <c:pt idx="43">
                  <c:v>0.13548409416638191</c:v>
                </c:pt>
                <c:pt idx="44">
                  <c:v>0.13644431577280774</c:v>
                </c:pt>
                <c:pt idx="45">
                  <c:v>0.13737953507811046</c:v>
                </c:pt>
                <c:pt idx="46">
                  <c:v>0.1382893678326465</c:v>
                </c:pt>
                <c:pt idx="47">
                  <c:v>0.13917196862096345</c:v>
                </c:pt>
                <c:pt idx="48">
                  <c:v>0.14002676544114856</c:v>
                </c:pt>
                <c:pt idx="49">
                  <c:v>0.14085268969332659</c:v>
                </c:pt>
                <c:pt idx="50">
                  <c:v>0.14165025362815473</c:v>
                </c:pt>
                <c:pt idx="51">
                  <c:v>0.14241873136567623</c:v>
                </c:pt>
                <c:pt idx="52">
                  <c:v>0.14315741953275152</c:v>
                </c:pt>
              </c:numCache>
            </c:numRef>
          </c:yVal>
          <c:smooth val="1"/>
          <c:extLst>
            <c:ext xmlns:c16="http://schemas.microsoft.com/office/drawing/2014/chart" uri="{C3380CC4-5D6E-409C-BE32-E72D297353CC}">
              <c16:uniqueId val="{00000000-12C9-4074-B39E-AE35628032CD}"/>
            </c:ext>
          </c:extLst>
        </c:ser>
        <c:ser>
          <c:idx val="1"/>
          <c:order val="1"/>
          <c:tx>
            <c:strRef>
              <c:f>'CC70-Tendencial'!$A$19:$A$33</c:f>
              <c:strCache>
                <c:ptCount val="1"/>
                <c:pt idx="0">
                  <c:v>Datos Escenario Compromiso climático 2070</c:v>
                </c:pt>
              </c:strCache>
            </c:strRef>
          </c:tx>
          <c:spPr>
            <a:ln w="19050" cap="rnd">
              <a:solidFill>
                <a:schemeClr val="accent2"/>
              </a:solidFill>
              <a:round/>
            </a:ln>
            <a:effectLst/>
          </c:spPr>
          <c:marker>
            <c:symbol val="none"/>
          </c:marker>
          <c:xVal>
            <c:numRef>
              <c:f>'CC70-Tendencial'!$K$2:$BK$2</c:f>
              <c:numCache>
                <c:formatCode>General</c:formatCode>
                <c:ptCount val="5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pt idx="43">
                  <c:v>2061</c:v>
                </c:pt>
                <c:pt idx="44">
                  <c:v>2062</c:v>
                </c:pt>
                <c:pt idx="45">
                  <c:v>2063</c:v>
                </c:pt>
                <c:pt idx="46">
                  <c:v>2064</c:v>
                </c:pt>
                <c:pt idx="47">
                  <c:v>2065</c:v>
                </c:pt>
                <c:pt idx="48">
                  <c:v>2066</c:v>
                </c:pt>
                <c:pt idx="49">
                  <c:v>2067</c:v>
                </c:pt>
                <c:pt idx="50">
                  <c:v>2068</c:v>
                </c:pt>
                <c:pt idx="51">
                  <c:v>2069</c:v>
                </c:pt>
                <c:pt idx="52">
                  <c:v>2070</c:v>
                </c:pt>
              </c:numCache>
            </c:numRef>
          </c:xVal>
          <c:yVal>
            <c:numRef>
              <c:f>'CC70-Tendencial'!$K$64:$BK$64</c:f>
              <c:numCache>
                <c:formatCode>General</c:formatCode>
                <c:ptCount val="53"/>
                <c:pt idx="0">
                  <c:v>6.205811E-2</c:v>
                </c:pt>
                <c:pt idx="1">
                  <c:v>7.0931419999999995E-2</c:v>
                </c:pt>
                <c:pt idx="2">
                  <c:v>7.2699089999999994E-2</c:v>
                </c:pt>
                <c:pt idx="3">
                  <c:v>8.1058329999999998E-2</c:v>
                </c:pt>
                <c:pt idx="4">
                  <c:v>6.2233284529595478E-2</c:v>
                </c:pt>
                <c:pt idx="5" formatCode="0.00000">
                  <c:v>7.8666180913407602E-2</c:v>
                </c:pt>
                <c:pt idx="6" formatCode="0.00000">
                  <c:v>8.2447103482477149E-2</c:v>
                </c:pt>
                <c:pt idx="7" formatCode="0.00000">
                  <c:v>8.3461641943106624E-2</c:v>
                </c:pt>
                <c:pt idx="8" formatCode="0.00000">
                  <c:v>8.7239338045921808E-2</c:v>
                </c:pt>
                <c:pt idx="9" formatCode="0.00000">
                  <c:v>8.9353888793080982E-2</c:v>
                </c:pt>
                <c:pt idx="10" formatCode="0.00000">
                  <c:v>9.1498807151742134E-2</c:v>
                </c:pt>
                <c:pt idx="11" formatCode="0.00000">
                  <c:v>9.3498846931245355E-2</c:v>
                </c:pt>
                <c:pt idx="12" formatCode="0.00000">
                  <c:v>9.5645645838647653E-2</c:v>
                </c:pt>
                <c:pt idx="13" formatCode="0.00000">
                  <c:v>9.6140113140628827E-2</c:v>
                </c:pt>
                <c:pt idx="14" formatCode="0.00000">
                  <c:v>9.8007943370025954E-2</c:v>
                </c:pt>
                <c:pt idx="15" formatCode="0.00000">
                  <c:v>0.10004296485990399</c:v>
                </c:pt>
                <c:pt idx="16" formatCode="0.00000">
                  <c:v>0.10178615441889768</c:v>
                </c:pt>
                <c:pt idx="17" formatCode="0.00000">
                  <c:v>0.10348885734912237</c:v>
                </c:pt>
                <c:pt idx="18" formatCode="0.00000">
                  <c:v>0.10474692624129889</c:v>
                </c:pt>
                <c:pt idx="19" formatCode="0.00000">
                  <c:v>0.10621378464042737</c:v>
                </c:pt>
                <c:pt idx="20" formatCode="0.00000">
                  <c:v>0.10756209223396783</c:v>
                </c:pt>
                <c:pt idx="21" formatCode="0.00000">
                  <c:v>0.10909549791282033</c:v>
                </c:pt>
                <c:pt idx="22" formatCode="0.00000">
                  <c:v>0.11051708233495591</c:v>
                </c:pt>
                <c:pt idx="23" formatCode="0.00000">
                  <c:v>0.11190232309011044</c:v>
                </c:pt>
                <c:pt idx="24" formatCode="0.00000">
                  <c:v>0.1133043731900403</c:v>
                </c:pt>
                <c:pt idx="25" formatCode="0.00000">
                  <c:v>0.11454924155576893</c:v>
                </c:pt>
                <c:pt idx="26" formatCode="0.00000">
                  <c:v>0.11589078808327129</c:v>
                </c:pt>
                <c:pt idx="27" formatCode="0.00000">
                  <c:v>0.11714010756474741</c:v>
                </c:pt>
                <c:pt idx="28" formatCode="0.00000">
                  <c:v>0.11851663098488162</c:v>
                </c:pt>
                <c:pt idx="29" formatCode="0.00000">
                  <c:v>0.11976337924107107</c:v>
                </c:pt>
                <c:pt idx="30" formatCode="0.00000">
                  <c:v>0.12097587621637329</c:v>
                </c:pt>
                <c:pt idx="31" formatCode="0.00000">
                  <c:v>0.12218424658192423</c:v>
                </c:pt>
                <c:pt idx="32" formatCode="0.00000">
                  <c:v>0.12337721559622004</c:v>
                </c:pt>
                <c:pt idx="33" formatCode="0.00000">
                  <c:v>0.1246191923475139</c:v>
                </c:pt>
                <c:pt idx="34" formatCode="0.00000">
                  <c:v>0.12579096096584719</c:v>
                </c:pt>
                <c:pt idx="35" formatCode="0.00000">
                  <c:v>0.1269413890183668</c:v>
                </c:pt>
                <c:pt idx="36" formatCode="0.00000">
                  <c:v>0.12808421257903205</c:v>
                </c:pt>
                <c:pt idx="37" formatCode="0.00000">
                  <c:v>0.12920840041092327</c:v>
                </c:pt>
                <c:pt idx="38" formatCode="0.00000">
                  <c:v>0.13032319610424581</c:v>
                </c:pt>
                <c:pt idx="39" formatCode="0.00000">
                  <c:v>0.13139774418256239</c:v>
                </c:pt>
                <c:pt idx="40" formatCode="0.00000">
                  <c:v>0.13245274084109362</c:v>
                </c:pt>
                <c:pt idx="41" formatCode="0.00000">
                  <c:v>0.13348741725861288</c:v>
                </c:pt>
                <c:pt idx="42" formatCode="0.00000">
                  <c:v>0.1344987781034695</c:v>
                </c:pt>
                <c:pt idx="43" formatCode="0.00000">
                  <c:v>0.13548409416638191</c:v>
                </c:pt>
                <c:pt idx="44" formatCode="0.00000">
                  <c:v>0.13644431577280774</c:v>
                </c:pt>
                <c:pt idx="45" formatCode="0.00000">
                  <c:v>0.13737953507811046</c:v>
                </c:pt>
                <c:pt idx="46" formatCode="0.00000">
                  <c:v>0.1382893678326465</c:v>
                </c:pt>
                <c:pt idx="47" formatCode="0.00000">
                  <c:v>0.13917196862096345</c:v>
                </c:pt>
                <c:pt idx="48" formatCode="0.00000">
                  <c:v>0.14002676544114856</c:v>
                </c:pt>
                <c:pt idx="49" formatCode="0.00000">
                  <c:v>0.14085268969332659</c:v>
                </c:pt>
                <c:pt idx="50" formatCode="0.00000">
                  <c:v>0.14165025362815473</c:v>
                </c:pt>
                <c:pt idx="51" formatCode="0.00000">
                  <c:v>0.14241873136567623</c:v>
                </c:pt>
                <c:pt idx="52" formatCode="0.00000">
                  <c:v>0.14315741953275152</c:v>
                </c:pt>
              </c:numCache>
            </c:numRef>
          </c:yVal>
          <c:smooth val="1"/>
          <c:extLst>
            <c:ext xmlns:c16="http://schemas.microsoft.com/office/drawing/2014/chart" uri="{C3380CC4-5D6E-409C-BE32-E72D297353CC}">
              <c16:uniqueId val="{00000001-12C9-4074-B39E-AE35628032CD}"/>
            </c:ext>
          </c:extLst>
        </c:ser>
        <c:dLbls>
          <c:showLegendKey val="0"/>
          <c:showVal val="0"/>
          <c:showCatName val="0"/>
          <c:showSerName val="0"/>
          <c:showPercent val="0"/>
          <c:showBubbleSize val="0"/>
        </c:dLbls>
        <c:axId val="221386879"/>
        <c:axId val="221387711"/>
      </c:scatterChart>
      <c:valAx>
        <c:axId val="22138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7711"/>
        <c:crosses val="autoZero"/>
        <c:crossBetween val="midCat"/>
      </c:valAx>
      <c:valAx>
        <c:axId val="22138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 </a:t>
                </a:r>
                <a:r>
                  <a:rPr lang="en-US" sz="1000" b="0" i="0" u="none" strike="noStrike" baseline="0">
                    <a:effectLst/>
                  </a:rPr>
                  <a:t>[Mton</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86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6" Type="http://schemas.openxmlformats.org/officeDocument/2006/relationships/chart" Target="../charts/chart26.xml"/><Relationship Id="rId21" Type="http://schemas.openxmlformats.org/officeDocument/2006/relationships/chart" Target="../charts/chart21.xml"/><Relationship Id="rId42" Type="http://schemas.openxmlformats.org/officeDocument/2006/relationships/chart" Target="../charts/chart42.xml"/><Relationship Id="rId47" Type="http://schemas.openxmlformats.org/officeDocument/2006/relationships/chart" Target="../charts/chart47.xml"/><Relationship Id="rId63" Type="http://schemas.openxmlformats.org/officeDocument/2006/relationships/chart" Target="../charts/chart63.xml"/><Relationship Id="rId68" Type="http://schemas.openxmlformats.org/officeDocument/2006/relationships/chart" Target="../charts/chart68.xml"/><Relationship Id="rId84" Type="http://schemas.openxmlformats.org/officeDocument/2006/relationships/chart" Target="../charts/chart84.xml"/><Relationship Id="rId89" Type="http://schemas.openxmlformats.org/officeDocument/2006/relationships/chart" Target="../charts/chart89.xml"/><Relationship Id="rId16" Type="http://schemas.openxmlformats.org/officeDocument/2006/relationships/chart" Target="../charts/chart16.xml"/><Relationship Id="rId11" Type="http://schemas.openxmlformats.org/officeDocument/2006/relationships/chart" Target="../charts/chart11.xml"/><Relationship Id="rId32" Type="http://schemas.openxmlformats.org/officeDocument/2006/relationships/chart" Target="../charts/chart32.xml"/><Relationship Id="rId37" Type="http://schemas.openxmlformats.org/officeDocument/2006/relationships/chart" Target="../charts/chart37.xml"/><Relationship Id="rId53" Type="http://schemas.openxmlformats.org/officeDocument/2006/relationships/chart" Target="../charts/chart53.xml"/><Relationship Id="rId58" Type="http://schemas.openxmlformats.org/officeDocument/2006/relationships/chart" Target="../charts/chart58.xml"/><Relationship Id="rId74" Type="http://schemas.openxmlformats.org/officeDocument/2006/relationships/chart" Target="../charts/chart74.xml"/><Relationship Id="rId79" Type="http://schemas.openxmlformats.org/officeDocument/2006/relationships/chart" Target="../charts/chart79.xml"/><Relationship Id="rId102" Type="http://schemas.openxmlformats.org/officeDocument/2006/relationships/chart" Target="../charts/chart102.xml"/><Relationship Id="rId5" Type="http://schemas.openxmlformats.org/officeDocument/2006/relationships/chart" Target="../charts/chart5.xml"/><Relationship Id="rId90" Type="http://schemas.openxmlformats.org/officeDocument/2006/relationships/chart" Target="../charts/chart90.xml"/><Relationship Id="rId95" Type="http://schemas.openxmlformats.org/officeDocument/2006/relationships/chart" Target="../charts/chart95.xml"/><Relationship Id="rId22" Type="http://schemas.openxmlformats.org/officeDocument/2006/relationships/chart" Target="../charts/chart22.xml"/><Relationship Id="rId27" Type="http://schemas.openxmlformats.org/officeDocument/2006/relationships/chart" Target="../charts/chart27.xml"/><Relationship Id="rId43" Type="http://schemas.openxmlformats.org/officeDocument/2006/relationships/chart" Target="../charts/chart43.xml"/><Relationship Id="rId48" Type="http://schemas.openxmlformats.org/officeDocument/2006/relationships/chart" Target="../charts/chart48.xml"/><Relationship Id="rId64" Type="http://schemas.openxmlformats.org/officeDocument/2006/relationships/chart" Target="../charts/chart64.xml"/><Relationship Id="rId69" Type="http://schemas.openxmlformats.org/officeDocument/2006/relationships/chart" Target="../charts/chart69.xml"/><Relationship Id="rId80" Type="http://schemas.openxmlformats.org/officeDocument/2006/relationships/chart" Target="../charts/chart80.xml"/><Relationship Id="rId85" Type="http://schemas.openxmlformats.org/officeDocument/2006/relationships/chart" Target="../charts/chart85.xml"/><Relationship Id="rId12" Type="http://schemas.openxmlformats.org/officeDocument/2006/relationships/chart" Target="../charts/chart12.xml"/><Relationship Id="rId17" Type="http://schemas.openxmlformats.org/officeDocument/2006/relationships/chart" Target="../charts/chart17.xml"/><Relationship Id="rId33" Type="http://schemas.openxmlformats.org/officeDocument/2006/relationships/chart" Target="../charts/chart33.xml"/><Relationship Id="rId38" Type="http://schemas.openxmlformats.org/officeDocument/2006/relationships/chart" Target="../charts/chart38.xml"/><Relationship Id="rId59" Type="http://schemas.openxmlformats.org/officeDocument/2006/relationships/chart" Target="../charts/chart59.xml"/><Relationship Id="rId103" Type="http://schemas.openxmlformats.org/officeDocument/2006/relationships/chart" Target="../charts/chart103.xml"/><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chart" Target="../charts/chart54.xml"/><Relationship Id="rId62" Type="http://schemas.openxmlformats.org/officeDocument/2006/relationships/chart" Target="../charts/chart62.xml"/><Relationship Id="rId70" Type="http://schemas.openxmlformats.org/officeDocument/2006/relationships/chart" Target="../charts/chart70.xml"/><Relationship Id="rId75" Type="http://schemas.openxmlformats.org/officeDocument/2006/relationships/chart" Target="../charts/chart75.xml"/><Relationship Id="rId83" Type="http://schemas.openxmlformats.org/officeDocument/2006/relationships/chart" Target="../charts/chart83.xml"/><Relationship Id="rId88" Type="http://schemas.openxmlformats.org/officeDocument/2006/relationships/chart" Target="../charts/chart88.xml"/><Relationship Id="rId91" Type="http://schemas.openxmlformats.org/officeDocument/2006/relationships/chart" Target="../charts/chart91.xml"/><Relationship Id="rId96" Type="http://schemas.openxmlformats.org/officeDocument/2006/relationships/chart" Target="../charts/chart96.xml"/><Relationship Id="rId1" Type="http://schemas.openxmlformats.org/officeDocument/2006/relationships/chart" Target="../charts/chart1.xml"/><Relationship Id="rId6" Type="http://schemas.openxmlformats.org/officeDocument/2006/relationships/chart" Target="../charts/chart6.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chart" Target="../charts/chart57.xml"/><Relationship Id="rId10" Type="http://schemas.openxmlformats.org/officeDocument/2006/relationships/chart" Target="../charts/chart10.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60" Type="http://schemas.openxmlformats.org/officeDocument/2006/relationships/chart" Target="../charts/chart60.xml"/><Relationship Id="rId65" Type="http://schemas.openxmlformats.org/officeDocument/2006/relationships/chart" Target="../charts/chart65.xml"/><Relationship Id="rId73" Type="http://schemas.openxmlformats.org/officeDocument/2006/relationships/chart" Target="../charts/chart73.xml"/><Relationship Id="rId78" Type="http://schemas.openxmlformats.org/officeDocument/2006/relationships/chart" Target="../charts/chart78.xml"/><Relationship Id="rId81" Type="http://schemas.openxmlformats.org/officeDocument/2006/relationships/chart" Target="../charts/chart81.xml"/><Relationship Id="rId86" Type="http://schemas.openxmlformats.org/officeDocument/2006/relationships/chart" Target="../charts/chart86.xml"/><Relationship Id="rId94" Type="http://schemas.openxmlformats.org/officeDocument/2006/relationships/chart" Target="../charts/chart94.xml"/><Relationship Id="rId99" Type="http://schemas.openxmlformats.org/officeDocument/2006/relationships/chart" Target="../charts/chart99.xml"/><Relationship Id="rId101" Type="http://schemas.openxmlformats.org/officeDocument/2006/relationships/chart" Target="../charts/chart101.xml"/><Relationship Id="rId4" Type="http://schemas.openxmlformats.org/officeDocument/2006/relationships/chart" Target="../charts/chart4.xml"/><Relationship Id="rId9" Type="http://schemas.openxmlformats.org/officeDocument/2006/relationships/chart" Target="../charts/chart9.xml"/><Relationship Id="rId13" Type="http://schemas.openxmlformats.org/officeDocument/2006/relationships/chart" Target="../charts/chart13.xml"/><Relationship Id="rId18" Type="http://schemas.openxmlformats.org/officeDocument/2006/relationships/chart" Target="../charts/chart18.xml"/><Relationship Id="rId39" Type="http://schemas.openxmlformats.org/officeDocument/2006/relationships/chart" Target="../charts/chart39.xml"/><Relationship Id="rId34" Type="http://schemas.openxmlformats.org/officeDocument/2006/relationships/chart" Target="../charts/chart34.xml"/><Relationship Id="rId50" Type="http://schemas.openxmlformats.org/officeDocument/2006/relationships/chart" Target="../charts/chart50.xml"/><Relationship Id="rId55" Type="http://schemas.openxmlformats.org/officeDocument/2006/relationships/chart" Target="../charts/chart55.xml"/><Relationship Id="rId76" Type="http://schemas.openxmlformats.org/officeDocument/2006/relationships/chart" Target="../charts/chart76.xml"/><Relationship Id="rId97" Type="http://schemas.openxmlformats.org/officeDocument/2006/relationships/chart" Target="../charts/chart97.xml"/><Relationship Id="rId104" Type="http://schemas.openxmlformats.org/officeDocument/2006/relationships/chart" Target="../charts/chart104.xml"/><Relationship Id="rId7" Type="http://schemas.openxmlformats.org/officeDocument/2006/relationships/chart" Target="../charts/chart7.xml"/><Relationship Id="rId71" Type="http://schemas.openxmlformats.org/officeDocument/2006/relationships/chart" Target="../charts/chart71.xml"/><Relationship Id="rId92" Type="http://schemas.openxmlformats.org/officeDocument/2006/relationships/chart" Target="../charts/chart92.xml"/><Relationship Id="rId2" Type="http://schemas.openxmlformats.org/officeDocument/2006/relationships/chart" Target="../charts/chart2.xml"/><Relationship Id="rId29" Type="http://schemas.openxmlformats.org/officeDocument/2006/relationships/chart" Target="../charts/chart29.xml"/><Relationship Id="rId24" Type="http://schemas.openxmlformats.org/officeDocument/2006/relationships/chart" Target="../charts/chart24.xml"/><Relationship Id="rId40" Type="http://schemas.openxmlformats.org/officeDocument/2006/relationships/chart" Target="../charts/chart40.xml"/><Relationship Id="rId45" Type="http://schemas.openxmlformats.org/officeDocument/2006/relationships/chart" Target="../charts/chart45.xml"/><Relationship Id="rId66" Type="http://schemas.openxmlformats.org/officeDocument/2006/relationships/chart" Target="../charts/chart66.xml"/><Relationship Id="rId87" Type="http://schemas.openxmlformats.org/officeDocument/2006/relationships/chart" Target="../charts/chart87.xml"/><Relationship Id="rId61" Type="http://schemas.openxmlformats.org/officeDocument/2006/relationships/chart" Target="../charts/chart61.xml"/><Relationship Id="rId82" Type="http://schemas.openxmlformats.org/officeDocument/2006/relationships/chart" Target="../charts/chart82.xml"/><Relationship Id="rId19" Type="http://schemas.openxmlformats.org/officeDocument/2006/relationships/chart" Target="../charts/chart19.xml"/><Relationship Id="rId14" Type="http://schemas.openxmlformats.org/officeDocument/2006/relationships/chart" Target="../charts/chart14.xml"/><Relationship Id="rId30" Type="http://schemas.openxmlformats.org/officeDocument/2006/relationships/chart" Target="../charts/chart30.xml"/><Relationship Id="rId35" Type="http://schemas.openxmlformats.org/officeDocument/2006/relationships/chart" Target="../charts/chart35.xml"/><Relationship Id="rId56" Type="http://schemas.openxmlformats.org/officeDocument/2006/relationships/chart" Target="../charts/chart56.xml"/><Relationship Id="rId77" Type="http://schemas.openxmlformats.org/officeDocument/2006/relationships/chart" Target="../charts/chart77.xml"/><Relationship Id="rId100" Type="http://schemas.openxmlformats.org/officeDocument/2006/relationships/chart" Target="../charts/chart100.xml"/><Relationship Id="rId105" Type="http://schemas.openxmlformats.org/officeDocument/2006/relationships/chart" Target="../charts/chart105.xml"/><Relationship Id="rId8" Type="http://schemas.openxmlformats.org/officeDocument/2006/relationships/chart" Target="../charts/chart8.xml"/><Relationship Id="rId51" Type="http://schemas.openxmlformats.org/officeDocument/2006/relationships/chart" Target="../charts/chart51.xml"/><Relationship Id="rId72" Type="http://schemas.openxmlformats.org/officeDocument/2006/relationships/chart" Target="../charts/chart72.xml"/><Relationship Id="rId93" Type="http://schemas.openxmlformats.org/officeDocument/2006/relationships/chart" Target="../charts/chart93.xml"/><Relationship Id="rId98" Type="http://schemas.openxmlformats.org/officeDocument/2006/relationships/chart" Target="../charts/chart98.xml"/><Relationship Id="rId3" Type="http://schemas.openxmlformats.org/officeDocument/2006/relationships/chart" Target="../charts/chart3.xml"/><Relationship Id="rId25" Type="http://schemas.openxmlformats.org/officeDocument/2006/relationships/chart" Target="../charts/chart25.xml"/><Relationship Id="rId46" Type="http://schemas.openxmlformats.org/officeDocument/2006/relationships/chart" Target="../charts/chart46.xml"/><Relationship Id="rId67" Type="http://schemas.openxmlformats.org/officeDocument/2006/relationships/chart" Target="../charts/chart6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6.xml"/></Relationships>
</file>

<file path=xl/drawings/drawing1.xml><?xml version="1.0" encoding="utf-8"?>
<xdr:wsDr xmlns:xdr="http://schemas.openxmlformats.org/drawingml/2006/spreadsheetDrawing" xmlns:a="http://schemas.openxmlformats.org/drawingml/2006/main">
  <xdr:twoCellAnchor>
    <xdr:from>
      <xdr:col>3</xdr:col>
      <xdr:colOff>26872</xdr:colOff>
      <xdr:row>0</xdr:row>
      <xdr:rowOff>17599</xdr:rowOff>
    </xdr:from>
    <xdr:to>
      <xdr:col>6</xdr:col>
      <xdr:colOff>475578</xdr:colOff>
      <xdr:row>12</xdr:row>
      <xdr:rowOff>76980</xdr:rowOff>
    </xdr:to>
    <xdr:graphicFrame macro="">
      <xdr:nvGraphicFramePr>
        <xdr:cNvPr id="6" name="Gráfico 5">
          <a:extLst>
            <a:ext uri="{FF2B5EF4-FFF2-40B4-BE49-F238E27FC236}">
              <a16:creationId xmlns:a16="http://schemas.microsoft.com/office/drawing/2014/main" id="{DC290D63-315E-02B0-BE7F-0603BDB75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13607</xdr:colOff>
      <xdr:row>257</xdr:row>
      <xdr:rowOff>233226</xdr:rowOff>
    </xdr:from>
    <xdr:to>
      <xdr:col>6</xdr:col>
      <xdr:colOff>458322</xdr:colOff>
      <xdr:row>272</xdr:row>
      <xdr:rowOff>93745</xdr:rowOff>
    </xdr:to>
    <xdr:graphicFrame macro="">
      <xdr:nvGraphicFramePr>
        <xdr:cNvPr id="54" name="Gráfico 53">
          <a:extLst>
            <a:ext uri="{FF2B5EF4-FFF2-40B4-BE49-F238E27FC236}">
              <a16:creationId xmlns:a16="http://schemas.microsoft.com/office/drawing/2014/main" id="{8485BD5D-B904-4C23-A7DD-B3B717B61B0C}"/>
            </a:ext>
            <a:ext uri="{147F2762-F138-4A5C-976F-8EAC2B608ADB}">
              <a16:predDERef xmlns:a16="http://schemas.microsoft.com/office/drawing/2014/main" pred="{DC290D63-315E-02B0-BE7F-0603BDB75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488889</xdr:colOff>
      <xdr:row>257</xdr:row>
      <xdr:rowOff>237236</xdr:rowOff>
    </xdr:from>
    <xdr:to>
      <xdr:col>18</xdr:col>
      <xdr:colOff>792180</xdr:colOff>
      <xdr:row>273</xdr:row>
      <xdr:rowOff>59865</xdr:rowOff>
    </xdr:to>
    <xdr:graphicFrame macro="">
      <xdr:nvGraphicFramePr>
        <xdr:cNvPr id="55" name="Gráfico 54">
          <a:extLst>
            <a:ext uri="{FF2B5EF4-FFF2-40B4-BE49-F238E27FC236}">
              <a16:creationId xmlns:a16="http://schemas.microsoft.com/office/drawing/2014/main" id="{A40A6B3D-76FB-4300-8F4B-F7F063121E79}"/>
            </a:ext>
            <a:ext uri="{147F2762-F138-4A5C-976F-8EAC2B608ADB}">
              <a16:predDERef xmlns:a16="http://schemas.microsoft.com/office/drawing/2014/main" pred="{8485BD5D-B904-4C23-A7DD-B3B717B61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1023892</xdr:colOff>
      <xdr:row>257</xdr:row>
      <xdr:rowOff>209448</xdr:rowOff>
    </xdr:from>
    <xdr:to>
      <xdr:col>14</xdr:col>
      <xdr:colOff>272970</xdr:colOff>
      <xdr:row>273</xdr:row>
      <xdr:rowOff>17291</xdr:rowOff>
    </xdr:to>
    <xdr:graphicFrame macro="">
      <xdr:nvGraphicFramePr>
        <xdr:cNvPr id="56" name="Gráfico 55">
          <a:extLst>
            <a:ext uri="{FF2B5EF4-FFF2-40B4-BE49-F238E27FC236}">
              <a16:creationId xmlns:a16="http://schemas.microsoft.com/office/drawing/2014/main" id="{D0951D62-EECC-44BA-9ADF-6202BBBDF767}"/>
            </a:ext>
            <a:ext uri="{147F2762-F138-4A5C-976F-8EAC2B608ADB}">
              <a16:predDERef xmlns:a16="http://schemas.microsoft.com/office/drawing/2014/main" pred="{A40A6B3D-76FB-4300-8F4B-F7F063121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870361</xdr:colOff>
      <xdr:row>273</xdr:row>
      <xdr:rowOff>241726</xdr:rowOff>
    </xdr:from>
    <xdr:to>
      <xdr:col>6</xdr:col>
      <xdr:colOff>442314</xdr:colOff>
      <xdr:row>286</xdr:row>
      <xdr:rowOff>135254</xdr:rowOff>
    </xdr:to>
    <xdr:graphicFrame macro="">
      <xdr:nvGraphicFramePr>
        <xdr:cNvPr id="57" name="Gráfico 56">
          <a:extLst>
            <a:ext uri="{FF2B5EF4-FFF2-40B4-BE49-F238E27FC236}">
              <a16:creationId xmlns:a16="http://schemas.microsoft.com/office/drawing/2014/main" id="{827637D5-B7F6-4299-8E99-3B83070C139B}"/>
            </a:ext>
            <a:ext uri="{147F2762-F138-4A5C-976F-8EAC2B608ADB}">
              <a16:predDERef xmlns:a16="http://schemas.microsoft.com/office/drawing/2014/main" pred="{D0951D62-EECC-44BA-9ADF-6202BBBDF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435925</xdr:colOff>
      <xdr:row>273</xdr:row>
      <xdr:rowOff>241727</xdr:rowOff>
    </xdr:from>
    <xdr:to>
      <xdr:col>9</xdr:col>
      <xdr:colOff>927177</xdr:colOff>
      <xdr:row>286</xdr:row>
      <xdr:rowOff>139065</xdr:rowOff>
    </xdr:to>
    <xdr:graphicFrame macro="">
      <xdr:nvGraphicFramePr>
        <xdr:cNvPr id="58" name="Gráfico 57">
          <a:extLst>
            <a:ext uri="{FF2B5EF4-FFF2-40B4-BE49-F238E27FC236}">
              <a16:creationId xmlns:a16="http://schemas.microsoft.com/office/drawing/2014/main" id="{FF0F38D1-7214-4128-AA53-1415E42FEE3C}"/>
            </a:ext>
            <a:ext uri="{147F2762-F138-4A5C-976F-8EAC2B608ADB}">
              <a16:predDERef xmlns:a16="http://schemas.microsoft.com/office/drawing/2014/main" pred="{827637D5-B7F6-4299-8E99-3B83070C1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952004</xdr:colOff>
      <xdr:row>273</xdr:row>
      <xdr:rowOff>242224</xdr:rowOff>
    </xdr:from>
    <xdr:to>
      <xdr:col>14</xdr:col>
      <xdr:colOff>179279</xdr:colOff>
      <xdr:row>286</xdr:row>
      <xdr:rowOff>145277</xdr:rowOff>
    </xdr:to>
    <xdr:graphicFrame macro="">
      <xdr:nvGraphicFramePr>
        <xdr:cNvPr id="59" name="Gráfico 58">
          <a:extLst>
            <a:ext uri="{FF2B5EF4-FFF2-40B4-BE49-F238E27FC236}">
              <a16:creationId xmlns:a16="http://schemas.microsoft.com/office/drawing/2014/main" id="{4D7D578A-FD3B-4FCA-9150-C493DBBCE697}"/>
            </a:ext>
            <a:ext uri="{147F2762-F138-4A5C-976F-8EAC2B608ADB}">
              <a16:predDERef xmlns:a16="http://schemas.microsoft.com/office/drawing/2014/main" pred="{FF0F38D1-7214-4128-AA53-1415E42FE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842464</xdr:colOff>
      <xdr:row>286</xdr:row>
      <xdr:rowOff>150072</xdr:rowOff>
    </xdr:from>
    <xdr:to>
      <xdr:col>6</xdr:col>
      <xdr:colOff>433523</xdr:colOff>
      <xdr:row>301</xdr:row>
      <xdr:rowOff>169333</xdr:rowOff>
    </xdr:to>
    <xdr:graphicFrame macro="">
      <xdr:nvGraphicFramePr>
        <xdr:cNvPr id="2" name="Gráfico 1">
          <a:extLst>
            <a:ext uri="{FF2B5EF4-FFF2-40B4-BE49-F238E27FC236}">
              <a16:creationId xmlns:a16="http://schemas.microsoft.com/office/drawing/2014/main" id="{757F4BA7-9C96-89C4-13DD-F679E95B8B00}"/>
            </a:ext>
            <a:ext uri="{147F2762-F138-4A5C-976F-8EAC2B608ADB}">
              <a16:predDERef xmlns:a16="http://schemas.microsoft.com/office/drawing/2014/main" pred="{4D7D578A-FD3B-4FCA-9150-C493DBBCE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446768</xdr:colOff>
      <xdr:row>286</xdr:row>
      <xdr:rowOff>119954</xdr:rowOff>
    </xdr:from>
    <xdr:to>
      <xdr:col>9</xdr:col>
      <xdr:colOff>892024</xdr:colOff>
      <xdr:row>301</xdr:row>
      <xdr:rowOff>155726</xdr:rowOff>
    </xdr:to>
    <xdr:graphicFrame macro="">
      <xdr:nvGraphicFramePr>
        <xdr:cNvPr id="3" name="Gráfico 2">
          <a:extLst>
            <a:ext uri="{FF2B5EF4-FFF2-40B4-BE49-F238E27FC236}">
              <a16:creationId xmlns:a16="http://schemas.microsoft.com/office/drawing/2014/main" id="{1040E5D0-8058-3369-5645-41A0504B357E}"/>
            </a:ext>
            <a:ext uri="{147F2762-F138-4A5C-976F-8EAC2B608ADB}">
              <a16:predDERef xmlns:a16="http://schemas.microsoft.com/office/drawing/2014/main" pred="{757F4BA7-9C96-89C4-13DD-F679E95B8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4989</xdr:colOff>
      <xdr:row>314</xdr:row>
      <xdr:rowOff>16238</xdr:rowOff>
    </xdr:from>
    <xdr:to>
      <xdr:col>6</xdr:col>
      <xdr:colOff>629347</xdr:colOff>
      <xdr:row>328</xdr:row>
      <xdr:rowOff>79895</xdr:rowOff>
    </xdr:to>
    <xdr:graphicFrame macro="">
      <xdr:nvGraphicFramePr>
        <xdr:cNvPr id="4" name="Gráfico 3">
          <a:extLst>
            <a:ext uri="{FF2B5EF4-FFF2-40B4-BE49-F238E27FC236}">
              <a16:creationId xmlns:a16="http://schemas.microsoft.com/office/drawing/2014/main" id="{07AADAE6-198E-D374-4500-56335F9E0925}"/>
            </a:ext>
            <a:ext uri="{147F2762-F138-4A5C-976F-8EAC2B608ADB}">
              <a16:predDERef xmlns:a16="http://schemas.microsoft.com/office/drawing/2014/main" pred="{1040E5D0-8058-3369-5645-41A0504B3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446587</xdr:colOff>
      <xdr:row>257</xdr:row>
      <xdr:rowOff>215508</xdr:rowOff>
    </xdr:from>
    <xdr:to>
      <xdr:col>9</xdr:col>
      <xdr:colOff>905454</xdr:colOff>
      <xdr:row>273</xdr:row>
      <xdr:rowOff>30517</xdr:rowOff>
    </xdr:to>
    <xdr:graphicFrame macro="">
      <xdr:nvGraphicFramePr>
        <xdr:cNvPr id="68" name="Gráfico 67">
          <a:extLst>
            <a:ext uri="{FF2B5EF4-FFF2-40B4-BE49-F238E27FC236}">
              <a16:creationId xmlns:a16="http://schemas.microsoft.com/office/drawing/2014/main" id="{9DBA7C64-D626-4462-9F34-BC04A3B3C224}"/>
            </a:ext>
            <a:ext uri="{147F2762-F138-4A5C-976F-8EAC2B608ADB}">
              <a16:predDERef xmlns:a16="http://schemas.microsoft.com/office/drawing/2014/main" pred="{07AADAE6-198E-D374-4500-56335F9E0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859881</xdr:colOff>
      <xdr:row>328</xdr:row>
      <xdr:rowOff>119835</xdr:rowOff>
    </xdr:from>
    <xdr:to>
      <xdr:col>6</xdr:col>
      <xdr:colOff>441359</xdr:colOff>
      <xdr:row>344</xdr:row>
      <xdr:rowOff>29067</xdr:rowOff>
    </xdr:to>
    <xdr:graphicFrame macro="">
      <xdr:nvGraphicFramePr>
        <xdr:cNvPr id="69" name="Gráfico 68">
          <a:extLst>
            <a:ext uri="{FF2B5EF4-FFF2-40B4-BE49-F238E27FC236}">
              <a16:creationId xmlns:a16="http://schemas.microsoft.com/office/drawing/2014/main" id="{8961220C-D737-4762-822A-E436B9325CDA}"/>
            </a:ext>
            <a:ext uri="{147F2762-F138-4A5C-976F-8EAC2B608ADB}">
              <a16:predDERef xmlns:a16="http://schemas.microsoft.com/office/drawing/2014/main" pred="{9DBA7C64-D626-4462-9F34-BC04A3B3C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460739</xdr:colOff>
      <xdr:row>328</xdr:row>
      <xdr:rowOff>112605</xdr:rowOff>
    </xdr:from>
    <xdr:to>
      <xdr:col>9</xdr:col>
      <xdr:colOff>941467</xdr:colOff>
      <xdr:row>344</xdr:row>
      <xdr:rowOff>19146</xdr:rowOff>
    </xdr:to>
    <xdr:graphicFrame macro="">
      <xdr:nvGraphicFramePr>
        <xdr:cNvPr id="70" name="Gráfico 69">
          <a:extLst>
            <a:ext uri="{FF2B5EF4-FFF2-40B4-BE49-F238E27FC236}">
              <a16:creationId xmlns:a16="http://schemas.microsoft.com/office/drawing/2014/main" id="{8BAA9C92-24DF-4A68-AA07-BB39EC26B2AE}"/>
            </a:ext>
            <a:ext uri="{147F2762-F138-4A5C-976F-8EAC2B608ADB}">
              <a16:predDERef xmlns:a16="http://schemas.microsoft.com/office/drawing/2014/main" pred="{8961220C-D737-4762-822A-E436B9325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921476</xdr:colOff>
      <xdr:row>328</xdr:row>
      <xdr:rowOff>120559</xdr:rowOff>
    </xdr:from>
    <xdr:to>
      <xdr:col>14</xdr:col>
      <xdr:colOff>176382</xdr:colOff>
      <xdr:row>344</xdr:row>
      <xdr:rowOff>29005</xdr:rowOff>
    </xdr:to>
    <xdr:graphicFrame macro="">
      <xdr:nvGraphicFramePr>
        <xdr:cNvPr id="71" name="Gráfico 70">
          <a:extLst>
            <a:ext uri="{FF2B5EF4-FFF2-40B4-BE49-F238E27FC236}">
              <a16:creationId xmlns:a16="http://schemas.microsoft.com/office/drawing/2014/main" id="{818B7943-B5D1-4B7C-83F9-53813E1DFC44}"/>
            </a:ext>
            <a:ext uri="{147F2762-F138-4A5C-976F-8EAC2B608ADB}">
              <a16:predDERef xmlns:a16="http://schemas.microsoft.com/office/drawing/2014/main" pred="{8BAA9C92-24DF-4A68-AA07-BB39EC26B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198059</xdr:colOff>
      <xdr:row>328</xdr:row>
      <xdr:rowOff>162167</xdr:rowOff>
    </xdr:from>
    <xdr:to>
      <xdr:col>18</xdr:col>
      <xdr:colOff>498085</xdr:colOff>
      <xdr:row>344</xdr:row>
      <xdr:rowOff>66803</xdr:rowOff>
    </xdr:to>
    <xdr:graphicFrame macro="">
      <xdr:nvGraphicFramePr>
        <xdr:cNvPr id="72" name="Gráfico 71">
          <a:extLst>
            <a:ext uri="{FF2B5EF4-FFF2-40B4-BE49-F238E27FC236}">
              <a16:creationId xmlns:a16="http://schemas.microsoft.com/office/drawing/2014/main" id="{B961D627-E485-4872-A6E4-4FF9EE599634}"/>
            </a:ext>
            <a:ext uri="{147F2762-F138-4A5C-976F-8EAC2B608ADB}">
              <a16:predDERef xmlns:a16="http://schemas.microsoft.com/office/drawing/2014/main" pred="{818B7943-B5D1-4B7C-83F9-53813E1DF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726</xdr:colOff>
      <xdr:row>302</xdr:row>
      <xdr:rowOff>41880</xdr:rowOff>
    </xdr:from>
    <xdr:to>
      <xdr:col>6</xdr:col>
      <xdr:colOff>643286</xdr:colOff>
      <xdr:row>313</xdr:row>
      <xdr:rowOff>234738</xdr:rowOff>
    </xdr:to>
    <xdr:graphicFrame macro="">
      <xdr:nvGraphicFramePr>
        <xdr:cNvPr id="73" name="Gráfico 72">
          <a:extLst>
            <a:ext uri="{FF2B5EF4-FFF2-40B4-BE49-F238E27FC236}">
              <a16:creationId xmlns:a16="http://schemas.microsoft.com/office/drawing/2014/main" id="{C8C58D98-157C-499E-814C-6B56E86F7079}"/>
            </a:ext>
            <a:ext uri="{147F2762-F138-4A5C-976F-8EAC2B608ADB}">
              <a16:predDERef xmlns:a16="http://schemas.microsoft.com/office/drawing/2014/main" pred="{B961D627-E485-4872-A6E4-4FF9EE599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90</xdr:col>
      <xdr:colOff>76200</xdr:colOff>
      <xdr:row>350</xdr:row>
      <xdr:rowOff>93133</xdr:rowOff>
    </xdr:from>
    <xdr:to>
      <xdr:col>95</xdr:col>
      <xdr:colOff>711200</xdr:colOff>
      <xdr:row>365</xdr:row>
      <xdr:rowOff>42333</xdr:rowOff>
    </xdr:to>
    <xdr:graphicFrame macro="">
      <xdr:nvGraphicFramePr>
        <xdr:cNvPr id="74" name="Gráfico 73">
          <a:extLst>
            <a:ext uri="{FF2B5EF4-FFF2-40B4-BE49-F238E27FC236}">
              <a16:creationId xmlns:a16="http://schemas.microsoft.com/office/drawing/2014/main" id="{B32BF849-0432-985F-C4E8-4C0EF07AF707}"/>
            </a:ext>
            <a:ext uri="{147F2762-F138-4A5C-976F-8EAC2B608ADB}">
              <a16:predDERef xmlns:a16="http://schemas.microsoft.com/office/drawing/2014/main" pred="{C8C58D98-157C-499E-814C-6B56E86F7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2336960</xdr:colOff>
      <xdr:row>218</xdr:row>
      <xdr:rowOff>93663</xdr:rowOff>
    </xdr:from>
    <xdr:to>
      <xdr:col>5</xdr:col>
      <xdr:colOff>619137</xdr:colOff>
      <xdr:row>231</xdr:row>
      <xdr:rowOff>53667</xdr:rowOff>
    </xdr:to>
    <xdr:graphicFrame macro="">
      <xdr:nvGraphicFramePr>
        <xdr:cNvPr id="75" name="Gráfico 74">
          <a:extLst>
            <a:ext uri="{FF2B5EF4-FFF2-40B4-BE49-F238E27FC236}">
              <a16:creationId xmlns:a16="http://schemas.microsoft.com/office/drawing/2014/main" id="{CFE91D27-6589-40CD-86C2-445C233608E7}"/>
            </a:ext>
            <a:ext uri="{147F2762-F138-4A5C-976F-8EAC2B608ADB}">
              <a16:predDERef xmlns:a16="http://schemas.microsoft.com/office/drawing/2014/main" pred="{B32BF849-0432-985F-C4E8-4C0EF07AF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31206</xdr:colOff>
      <xdr:row>12</xdr:row>
      <xdr:rowOff>39280</xdr:rowOff>
    </xdr:from>
    <xdr:to>
      <xdr:col>6</xdr:col>
      <xdr:colOff>484992</xdr:colOff>
      <xdr:row>25</xdr:row>
      <xdr:rowOff>2141</xdr:rowOff>
    </xdr:to>
    <xdr:graphicFrame macro="">
      <xdr:nvGraphicFramePr>
        <xdr:cNvPr id="8" name="Gráfico 7">
          <a:extLst>
            <a:ext uri="{FF2B5EF4-FFF2-40B4-BE49-F238E27FC236}">
              <a16:creationId xmlns:a16="http://schemas.microsoft.com/office/drawing/2014/main" id="{1D77A80F-402F-4A24-B123-ED808236D074}"/>
            </a:ext>
            <a:ext uri="{147F2762-F138-4A5C-976F-8EAC2B608ADB}">
              <a16:predDERef xmlns:a16="http://schemas.microsoft.com/office/drawing/2014/main" pred="{CFE91D27-6589-40CD-86C2-445C23360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9888</xdr:colOff>
      <xdr:row>24</xdr:row>
      <xdr:rowOff>165824</xdr:rowOff>
    </xdr:from>
    <xdr:to>
      <xdr:col>6</xdr:col>
      <xdr:colOff>467484</xdr:colOff>
      <xdr:row>37</xdr:row>
      <xdr:rowOff>132496</xdr:rowOff>
    </xdr:to>
    <xdr:graphicFrame macro="">
      <xdr:nvGraphicFramePr>
        <xdr:cNvPr id="20" name="Gráfico 19">
          <a:extLst>
            <a:ext uri="{FF2B5EF4-FFF2-40B4-BE49-F238E27FC236}">
              <a16:creationId xmlns:a16="http://schemas.microsoft.com/office/drawing/2014/main" id="{D2857E83-A785-43CC-9626-F5842B33E402}"/>
            </a:ext>
            <a:ext uri="{147F2762-F138-4A5C-976F-8EAC2B608ADB}">
              <a16:predDERef xmlns:a16="http://schemas.microsoft.com/office/drawing/2014/main" pred="{1D77A80F-402F-4A24-B123-ED808236D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6</xdr:col>
      <xdr:colOff>478790</xdr:colOff>
      <xdr:row>0</xdr:row>
      <xdr:rowOff>10885</xdr:rowOff>
    </xdr:from>
    <xdr:to>
      <xdr:col>9</xdr:col>
      <xdr:colOff>969135</xdr:colOff>
      <xdr:row>12</xdr:row>
      <xdr:rowOff>83601</xdr:rowOff>
    </xdr:to>
    <xdr:graphicFrame macro="">
      <xdr:nvGraphicFramePr>
        <xdr:cNvPr id="24" name="Gráfico 23">
          <a:extLst>
            <a:ext uri="{FF2B5EF4-FFF2-40B4-BE49-F238E27FC236}">
              <a16:creationId xmlns:a16="http://schemas.microsoft.com/office/drawing/2014/main" id="{5F322794-5F75-4777-AECA-47A5DC4162AC}"/>
            </a:ext>
            <a:ext uri="{147F2762-F138-4A5C-976F-8EAC2B608ADB}">
              <a16:predDERef xmlns:a16="http://schemas.microsoft.com/office/drawing/2014/main" pred="{D2857E83-A785-43CC-9626-F5842B33E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xdr:col>
      <xdr:colOff>460012</xdr:colOff>
      <xdr:row>12</xdr:row>
      <xdr:rowOff>61685</xdr:rowOff>
    </xdr:from>
    <xdr:to>
      <xdr:col>9</xdr:col>
      <xdr:colOff>942737</xdr:colOff>
      <xdr:row>25</xdr:row>
      <xdr:rowOff>24546</xdr:rowOff>
    </xdr:to>
    <xdr:graphicFrame macro="">
      <xdr:nvGraphicFramePr>
        <xdr:cNvPr id="26" name="Gráfico 25">
          <a:extLst>
            <a:ext uri="{FF2B5EF4-FFF2-40B4-BE49-F238E27FC236}">
              <a16:creationId xmlns:a16="http://schemas.microsoft.com/office/drawing/2014/main" id="{B05AA36F-B39A-4C1A-AD85-674936375681}"/>
            </a:ext>
            <a:ext uri="{147F2762-F138-4A5C-976F-8EAC2B608ADB}">
              <a16:predDERef xmlns:a16="http://schemas.microsoft.com/office/drawing/2014/main" pred="{5F322794-5F75-4777-AECA-47A5DC416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469718</xdr:colOff>
      <xdr:row>24</xdr:row>
      <xdr:rowOff>154214</xdr:rowOff>
    </xdr:from>
    <xdr:to>
      <xdr:col>9</xdr:col>
      <xdr:colOff>960063</xdr:colOff>
      <xdr:row>37</xdr:row>
      <xdr:rowOff>106008</xdr:rowOff>
    </xdr:to>
    <xdr:graphicFrame macro="">
      <xdr:nvGraphicFramePr>
        <xdr:cNvPr id="37" name="Gráfico 36">
          <a:extLst>
            <a:ext uri="{FF2B5EF4-FFF2-40B4-BE49-F238E27FC236}">
              <a16:creationId xmlns:a16="http://schemas.microsoft.com/office/drawing/2014/main" id="{A236C480-4C98-46C1-AF1F-D8BA571257E6}"/>
            </a:ext>
            <a:ext uri="{147F2762-F138-4A5C-976F-8EAC2B608ADB}">
              <a16:predDERef xmlns:a16="http://schemas.microsoft.com/office/drawing/2014/main" pred="{B05AA36F-B39A-4C1A-AD85-674936375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9</xdr:col>
      <xdr:colOff>952681</xdr:colOff>
      <xdr:row>0</xdr:row>
      <xdr:rowOff>0</xdr:rowOff>
    </xdr:from>
    <xdr:to>
      <xdr:col>14</xdr:col>
      <xdr:colOff>250676</xdr:colOff>
      <xdr:row>12</xdr:row>
      <xdr:rowOff>72716</xdr:rowOff>
    </xdr:to>
    <xdr:graphicFrame macro="">
      <xdr:nvGraphicFramePr>
        <xdr:cNvPr id="46" name="Gráfico 45">
          <a:extLst>
            <a:ext uri="{FF2B5EF4-FFF2-40B4-BE49-F238E27FC236}">
              <a16:creationId xmlns:a16="http://schemas.microsoft.com/office/drawing/2014/main" id="{7301F78B-F577-419D-A6A2-297FA18B38D7}"/>
            </a:ext>
            <a:ext uri="{147F2762-F138-4A5C-976F-8EAC2B608ADB}">
              <a16:predDERef xmlns:a16="http://schemas.microsoft.com/office/drawing/2014/main" pred="{A236C480-4C98-46C1-AF1F-D8BA57125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9</xdr:col>
      <xdr:colOff>921566</xdr:colOff>
      <xdr:row>12</xdr:row>
      <xdr:rowOff>20863</xdr:rowOff>
    </xdr:from>
    <xdr:to>
      <xdr:col>14</xdr:col>
      <xdr:colOff>227181</xdr:colOff>
      <xdr:row>24</xdr:row>
      <xdr:rowOff>160616</xdr:rowOff>
    </xdr:to>
    <xdr:graphicFrame macro="">
      <xdr:nvGraphicFramePr>
        <xdr:cNvPr id="60" name="Gráfico 59">
          <a:extLst>
            <a:ext uri="{FF2B5EF4-FFF2-40B4-BE49-F238E27FC236}">
              <a16:creationId xmlns:a16="http://schemas.microsoft.com/office/drawing/2014/main" id="{D444ACA3-E401-4F48-8C5F-E2132D418354}"/>
            </a:ext>
            <a:ext uri="{147F2762-F138-4A5C-976F-8EAC2B608ADB}">
              <a16:predDERef xmlns:a16="http://schemas.microsoft.com/office/drawing/2014/main" pred="{7301F78B-F577-419D-A6A2-297FA18B3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9</xdr:col>
      <xdr:colOff>901519</xdr:colOff>
      <xdr:row>24</xdr:row>
      <xdr:rowOff>149135</xdr:rowOff>
    </xdr:from>
    <xdr:to>
      <xdr:col>14</xdr:col>
      <xdr:colOff>193799</xdr:colOff>
      <xdr:row>37</xdr:row>
      <xdr:rowOff>101474</xdr:rowOff>
    </xdr:to>
    <xdr:graphicFrame macro="">
      <xdr:nvGraphicFramePr>
        <xdr:cNvPr id="61" name="Gráfico 60">
          <a:extLst>
            <a:ext uri="{FF2B5EF4-FFF2-40B4-BE49-F238E27FC236}">
              <a16:creationId xmlns:a16="http://schemas.microsoft.com/office/drawing/2014/main" id="{2D097CFB-747D-4B0E-A34E-9BEEBED4E086}"/>
            </a:ext>
            <a:ext uri="{147F2762-F138-4A5C-976F-8EAC2B608ADB}">
              <a16:predDERef xmlns:a16="http://schemas.microsoft.com/office/drawing/2014/main" pred="{D444ACA3-E401-4F48-8C5F-E2132D418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14</xdr:col>
      <xdr:colOff>220616</xdr:colOff>
      <xdr:row>0</xdr:row>
      <xdr:rowOff>0</xdr:rowOff>
    </xdr:from>
    <xdr:to>
      <xdr:col>18</xdr:col>
      <xdr:colOff>577974</xdr:colOff>
      <xdr:row>12</xdr:row>
      <xdr:rowOff>72716</xdr:rowOff>
    </xdr:to>
    <xdr:graphicFrame macro="">
      <xdr:nvGraphicFramePr>
        <xdr:cNvPr id="62" name="Gráfico 61">
          <a:extLst>
            <a:ext uri="{FF2B5EF4-FFF2-40B4-BE49-F238E27FC236}">
              <a16:creationId xmlns:a16="http://schemas.microsoft.com/office/drawing/2014/main" id="{BD070916-4E52-4FA8-9C7D-F41C77121911}"/>
            </a:ext>
            <a:ext uri="{147F2762-F138-4A5C-976F-8EAC2B608ADB}">
              <a16:predDERef xmlns:a16="http://schemas.microsoft.com/office/drawing/2014/main" pred="{2D097CFB-747D-4B0E-A34E-9BEEBED4E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14</xdr:col>
      <xdr:colOff>220435</xdr:colOff>
      <xdr:row>12</xdr:row>
      <xdr:rowOff>3629</xdr:rowOff>
    </xdr:from>
    <xdr:to>
      <xdr:col>18</xdr:col>
      <xdr:colOff>579698</xdr:colOff>
      <xdr:row>24</xdr:row>
      <xdr:rowOff>143382</xdr:rowOff>
    </xdr:to>
    <xdr:graphicFrame macro="">
      <xdr:nvGraphicFramePr>
        <xdr:cNvPr id="63" name="Gráfico 62">
          <a:extLst>
            <a:ext uri="{FF2B5EF4-FFF2-40B4-BE49-F238E27FC236}">
              <a16:creationId xmlns:a16="http://schemas.microsoft.com/office/drawing/2014/main" id="{CCD42522-213F-408E-A946-912AF65BEB56}"/>
            </a:ext>
            <a:ext uri="{147F2762-F138-4A5C-976F-8EAC2B608ADB}">
              <a16:predDERef xmlns:a16="http://schemas.microsoft.com/office/drawing/2014/main" pred="{BD070916-4E52-4FA8-9C7D-F41C77121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14</xdr:col>
      <xdr:colOff>162561</xdr:colOff>
      <xdr:row>24</xdr:row>
      <xdr:rowOff>147501</xdr:rowOff>
    </xdr:from>
    <xdr:to>
      <xdr:col>18</xdr:col>
      <xdr:colOff>525634</xdr:colOff>
      <xdr:row>37</xdr:row>
      <xdr:rowOff>101472</xdr:rowOff>
    </xdr:to>
    <xdr:graphicFrame macro="">
      <xdr:nvGraphicFramePr>
        <xdr:cNvPr id="64" name="Gráfico 63">
          <a:extLst>
            <a:ext uri="{FF2B5EF4-FFF2-40B4-BE49-F238E27FC236}">
              <a16:creationId xmlns:a16="http://schemas.microsoft.com/office/drawing/2014/main" id="{6D8D110B-757C-4AC4-87BC-12A5EF438219}"/>
            </a:ext>
            <a:ext uri="{147F2762-F138-4A5C-976F-8EAC2B608ADB}">
              <a16:predDERef xmlns:a16="http://schemas.microsoft.com/office/drawing/2014/main" pred="{CCD42522-213F-408E-A946-912AF65BE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18</xdr:col>
      <xdr:colOff>573315</xdr:colOff>
      <xdr:row>0</xdr:row>
      <xdr:rowOff>0</xdr:rowOff>
    </xdr:from>
    <xdr:to>
      <xdr:col>23</xdr:col>
      <xdr:colOff>152616</xdr:colOff>
      <xdr:row>12</xdr:row>
      <xdr:rowOff>72716</xdr:rowOff>
    </xdr:to>
    <xdr:graphicFrame macro="">
      <xdr:nvGraphicFramePr>
        <xdr:cNvPr id="65" name="Gráfico 64">
          <a:extLst>
            <a:ext uri="{FF2B5EF4-FFF2-40B4-BE49-F238E27FC236}">
              <a16:creationId xmlns:a16="http://schemas.microsoft.com/office/drawing/2014/main" id="{9C04BC25-B6A7-40E4-9EBA-C2A13EBF8C0B}"/>
            </a:ext>
            <a:ext uri="{147F2762-F138-4A5C-976F-8EAC2B608ADB}">
              <a16:predDERef xmlns:a16="http://schemas.microsoft.com/office/drawing/2014/main" pred="{6D8D110B-757C-4AC4-87BC-12A5EF438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18</xdr:col>
      <xdr:colOff>565151</xdr:colOff>
      <xdr:row>11</xdr:row>
      <xdr:rowOff>167913</xdr:rowOff>
    </xdr:from>
    <xdr:to>
      <xdr:col>23</xdr:col>
      <xdr:colOff>144452</xdr:colOff>
      <xdr:row>24</xdr:row>
      <xdr:rowOff>132678</xdr:rowOff>
    </xdr:to>
    <xdr:graphicFrame macro="">
      <xdr:nvGraphicFramePr>
        <xdr:cNvPr id="66" name="Gráfico 65">
          <a:extLst>
            <a:ext uri="{FF2B5EF4-FFF2-40B4-BE49-F238E27FC236}">
              <a16:creationId xmlns:a16="http://schemas.microsoft.com/office/drawing/2014/main" id="{2229FE5C-6BEF-4D80-A1DE-51CB49B1CA4E}"/>
            </a:ext>
            <a:ext uri="{147F2762-F138-4A5C-976F-8EAC2B608ADB}">
              <a16:predDERef xmlns:a16="http://schemas.microsoft.com/office/drawing/2014/main" pred="{9C04BC25-B6A7-40E4-9EBA-C2A13EBF8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18</xdr:col>
      <xdr:colOff>541564</xdr:colOff>
      <xdr:row>24</xdr:row>
      <xdr:rowOff>136252</xdr:rowOff>
    </xdr:from>
    <xdr:to>
      <xdr:col>23</xdr:col>
      <xdr:colOff>120865</xdr:colOff>
      <xdr:row>37</xdr:row>
      <xdr:rowOff>104556</xdr:rowOff>
    </xdr:to>
    <xdr:graphicFrame macro="">
      <xdr:nvGraphicFramePr>
        <xdr:cNvPr id="78" name="Gráfico 77">
          <a:extLst>
            <a:ext uri="{FF2B5EF4-FFF2-40B4-BE49-F238E27FC236}">
              <a16:creationId xmlns:a16="http://schemas.microsoft.com/office/drawing/2014/main" id="{4FA4E70E-E216-4361-BE38-C41BD1874B1D}"/>
            </a:ext>
            <a:ext uri="{147F2762-F138-4A5C-976F-8EAC2B608ADB}">
              <a16:predDERef xmlns:a16="http://schemas.microsoft.com/office/drawing/2014/main" pred="{2229FE5C-6BEF-4D80-A1DE-51CB49B1C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6</xdr:col>
      <xdr:colOff>415562</xdr:colOff>
      <xdr:row>38</xdr:row>
      <xdr:rowOff>196668</xdr:rowOff>
    </xdr:from>
    <xdr:to>
      <xdr:col>9</xdr:col>
      <xdr:colOff>905272</xdr:colOff>
      <xdr:row>51</xdr:row>
      <xdr:rowOff>159166</xdr:rowOff>
    </xdr:to>
    <xdr:graphicFrame macro="">
      <xdr:nvGraphicFramePr>
        <xdr:cNvPr id="79" name="Gráfico 78">
          <a:extLst>
            <a:ext uri="{FF2B5EF4-FFF2-40B4-BE49-F238E27FC236}">
              <a16:creationId xmlns:a16="http://schemas.microsoft.com/office/drawing/2014/main" id="{CAF40D32-045C-47B6-9B6D-AF992CC64AAA}"/>
            </a:ext>
            <a:ext uri="{147F2762-F138-4A5C-976F-8EAC2B608ADB}">
              <a16:predDERef xmlns:a16="http://schemas.microsoft.com/office/drawing/2014/main" pred="{4FA4E70E-E216-4361-BE38-C41BD1874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10</xdr:col>
      <xdr:colOff>616676</xdr:colOff>
      <xdr:row>71</xdr:row>
      <xdr:rowOff>3809</xdr:rowOff>
    </xdr:from>
    <xdr:to>
      <xdr:col>15</xdr:col>
      <xdr:colOff>145359</xdr:colOff>
      <xdr:row>83</xdr:row>
      <xdr:rowOff>101925</xdr:rowOff>
    </xdr:to>
    <xdr:graphicFrame macro="">
      <xdr:nvGraphicFramePr>
        <xdr:cNvPr id="92" name="Gráfico 91">
          <a:extLst>
            <a:ext uri="{FF2B5EF4-FFF2-40B4-BE49-F238E27FC236}">
              <a16:creationId xmlns:a16="http://schemas.microsoft.com/office/drawing/2014/main" id="{AF78E94B-3BBF-4CA8-B083-C070C102EED9}"/>
            </a:ext>
            <a:ext uri="{147F2762-F138-4A5C-976F-8EAC2B608ADB}">
              <a16:predDERef xmlns:a16="http://schemas.microsoft.com/office/drawing/2014/main" pred="{CAF40D32-045C-47B6-9B6D-AF992CC64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10</xdr:col>
      <xdr:colOff>623208</xdr:colOff>
      <xdr:row>83</xdr:row>
      <xdr:rowOff>77016</xdr:rowOff>
    </xdr:from>
    <xdr:to>
      <xdr:col>15</xdr:col>
      <xdr:colOff>132841</xdr:colOff>
      <xdr:row>96</xdr:row>
      <xdr:rowOff>51307</xdr:rowOff>
    </xdr:to>
    <xdr:graphicFrame macro="">
      <xdr:nvGraphicFramePr>
        <xdr:cNvPr id="93" name="Gráfico 92">
          <a:extLst>
            <a:ext uri="{FF2B5EF4-FFF2-40B4-BE49-F238E27FC236}">
              <a16:creationId xmlns:a16="http://schemas.microsoft.com/office/drawing/2014/main" id="{EABB84A0-955C-4D75-B600-1E6D70E1B002}"/>
            </a:ext>
            <a:ext uri="{147F2762-F138-4A5C-976F-8EAC2B608ADB}">
              <a16:predDERef xmlns:a16="http://schemas.microsoft.com/office/drawing/2014/main" pred="{AF78E94B-3BBF-4CA8-B083-C070C102E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10</xdr:col>
      <xdr:colOff>625113</xdr:colOff>
      <xdr:row>95</xdr:row>
      <xdr:rowOff>164102</xdr:rowOff>
    </xdr:from>
    <xdr:to>
      <xdr:col>15</xdr:col>
      <xdr:colOff>144271</xdr:colOff>
      <xdr:row>108</xdr:row>
      <xdr:rowOff>112668</xdr:rowOff>
    </xdr:to>
    <xdr:graphicFrame macro="">
      <xdr:nvGraphicFramePr>
        <xdr:cNvPr id="95" name="Gráfico 94">
          <a:extLst>
            <a:ext uri="{FF2B5EF4-FFF2-40B4-BE49-F238E27FC236}">
              <a16:creationId xmlns:a16="http://schemas.microsoft.com/office/drawing/2014/main" id="{BD396A98-BB0D-4DC8-BFE3-FE2E3C1F728F}"/>
            </a:ext>
            <a:ext uri="{147F2762-F138-4A5C-976F-8EAC2B608ADB}">
              <a16:predDERef xmlns:a16="http://schemas.microsoft.com/office/drawing/2014/main" pred="{EABB84A0-955C-4D75-B600-1E6D70E1B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15</xdr:col>
      <xdr:colOff>138792</xdr:colOff>
      <xdr:row>70</xdr:row>
      <xdr:rowOff>160565</xdr:rowOff>
    </xdr:from>
    <xdr:to>
      <xdr:col>19</xdr:col>
      <xdr:colOff>454513</xdr:colOff>
      <xdr:row>83</xdr:row>
      <xdr:rowOff>76345</xdr:rowOff>
    </xdr:to>
    <xdr:graphicFrame macro="">
      <xdr:nvGraphicFramePr>
        <xdr:cNvPr id="96" name="Gráfico 95">
          <a:extLst>
            <a:ext uri="{FF2B5EF4-FFF2-40B4-BE49-F238E27FC236}">
              <a16:creationId xmlns:a16="http://schemas.microsoft.com/office/drawing/2014/main" id="{CD928926-3F18-4318-9C9A-2BC745720053}"/>
            </a:ext>
            <a:ext uri="{147F2762-F138-4A5C-976F-8EAC2B608ADB}">
              <a16:predDERef xmlns:a16="http://schemas.microsoft.com/office/drawing/2014/main" pred="{BD396A98-BB0D-4DC8-BFE3-FE2E3C1F7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15</xdr:col>
      <xdr:colOff>128724</xdr:colOff>
      <xdr:row>83</xdr:row>
      <xdr:rowOff>71845</xdr:rowOff>
    </xdr:from>
    <xdr:to>
      <xdr:col>19</xdr:col>
      <xdr:colOff>452065</xdr:colOff>
      <xdr:row>96</xdr:row>
      <xdr:rowOff>44231</xdr:rowOff>
    </xdr:to>
    <xdr:graphicFrame macro="">
      <xdr:nvGraphicFramePr>
        <xdr:cNvPr id="97" name="Gráfico 96">
          <a:extLst>
            <a:ext uri="{FF2B5EF4-FFF2-40B4-BE49-F238E27FC236}">
              <a16:creationId xmlns:a16="http://schemas.microsoft.com/office/drawing/2014/main" id="{B466D6A1-FC36-4F30-AD7A-25A3A8C75E82}"/>
            </a:ext>
            <a:ext uri="{147F2762-F138-4A5C-976F-8EAC2B608ADB}">
              <a16:predDERef xmlns:a16="http://schemas.microsoft.com/office/drawing/2014/main" pred="{CD928926-3F18-4318-9C9A-2BC745720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15</xdr:col>
      <xdr:colOff>110761</xdr:colOff>
      <xdr:row>95</xdr:row>
      <xdr:rowOff>153216</xdr:rowOff>
    </xdr:from>
    <xdr:to>
      <xdr:col>19</xdr:col>
      <xdr:colOff>424577</xdr:colOff>
      <xdr:row>108</xdr:row>
      <xdr:rowOff>110762</xdr:rowOff>
    </xdr:to>
    <xdr:graphicFrame macro="">
      <xdr:nvGraphicFramePr>
        <xdr:cNvPr id="98" name="Gráfico 97">
          <a:extLst>
            <a:ext uri="{FF2B5EF4-FFF2-40B4-BE49-F238E27FC236}">
              <a16:creationId xmlns:a16="http://schemas.microsoft.com/office/drawing/2014/main" id="{7C0662E9-D5C5-432B-9232-A8D9AA16CAE4}"/>
            </a:ext>
            <a:ext uri="{147F2762-F138-4A5C-976F-8EAC2B608ADB}">
              <a16:predDERef xmlns:a16="http://schemas.microsoft.com/office/drawing/2014/main" pred="{B466D6A1-FC36-4F30-AD7A-25A3A8C75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19</xdr:col>
      <xdr:colOff>460739</xdr:colOff>
      <xdr:row>70</xdr:row>
      <xdr:rowOff>156754</xdr:rowOff>
    </xdr:from>
    <xdr:to>
      <xdr:col>24</xdr:col>
      <xdr:colOff>38135</xdr:colOff>
      <xdr:row>83</xdr:row>
      <xdr:rowOff>62465</xdr:rowOff>
    </xdr:to>
    <xdr:graphicFrame macro="">
      <xdr:nvGraphicFramePr>
        <xdr:cNvPr id="99" name="Gráfico 98">
          <a:extLst>
            <a:ext uri="{FF2B5EF4-FFF2-40B4-BE49-F238E27FC236}">
              <a16:creationId xmlns:a16="http://schemas.microsoft.com/office/drawing/2014/main" id="{1C8EC3C5-4935-45A2-9B2F-E601C13AC4F1}"/>
            </a:ext>
            <a:ext uri="{147F2762-F138-4A5C-976F-8EAC2B608ADB}">
              <a16:predDERef xmlns:a16="http://schemas.microsoft.com/office/drawing/2014/main" pred="{7C0662E9-D5C5-432B-9232-A8D9AA16C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19</xdr:col>
      <xdr:colOff>447131</xdr:colOff>
      <xdr:row>83</xdr:row>
      <xdr:rowOff>71845</xdr:rowOff>
    </xdr:from>
    <xdr:to>
      <xdr:col>24</xdr:col>
      <xdr:colOff>24527</xdr:colOff>
      <xdr:row>96</xdr:row>
      <xdr:rowOff>44231</xdr:rowOff>
    </xdr:to>
    <xdr:graphicFrame macro="">
      <xdr:nvGraphicFramePr>
        <xdr:cNvPr id="100" name="Gráfico 99">
          <a:extLst>
            <a:ext uri="{FF2B5EF4-FFF2-40B4-BE49-F238E27FC236}">
              <a16:creationId xmlns:a16="http://schemas.microsoft.com/office/drawing/2014/main" id="{6A4F9142-BEB8-43F2-BE5F-6299F83B68F4}"/>
            </a:ext>
            <a:ext uri="{147F2762-F138-4A5C-976F-8EAC2B608ADB}">
              <a16:predDERef xmlns:a16="http://schemas.microsoft.com/office/drawing/2014/main" pred="{1C8EC3C5-4935-45A2-9B2F-E601C13AC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19</xdr:col>
      <xdr:colOff>433524</xdr:colOff>
      <xdr:row>95</xdr:row>
      <xdr:rowOff>166823</xdr:rowOff>
    </xdr:from>
    <xdr:to>
      <xdr:col>24</xdr:col>
      <xdr:colOff>10920</xdr:colOff>
      <xdr:row>108</xdr:row>
      <xdr:rowOff>129540</xdr:rowOff>
    </xdr:to>
    <xdr:graphicFrame macro="">
      <xdr:nvGraphicFramePr>
        <xdr:cNvPr id="101" name="Gráfico 100">
          <a:extLst>
            <a:ext uri="{FF2B5EF4-FFF2-40B4-BE49-F238E27FC236}">
              <a16:creationId xmlns:a16="http://schemas.microsoft.com/office/drawing/2014/main" id="{8B177002-0B5C-4B38-A356-01AB2D3B557F}"/>
            </a:ext>
            <a:ext uri="{147F2762-F138-4A5C-976F-8EAC2B608ADB}">
              <a16:predDERef xmlns:a16="http://schemas.microsoft.com/office/drawing/2014/main" pred="{6A4F9142-BEB8-43F2-BE5F-6299F83B6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24</xdr:col>
      <xdr:colOff>20682</xdr:colOff>
      <xdr:row>70</xdr:row>
      <xdr:rowOff>166007</xdr:rowOff>
    </xdr:from>
    <xdr:to>
      <xdr:col>28</xdr:col>
      <xdr:colOff>389471</xdr:colOff>
      <xdr:row>83</xdr:row>
      <xdr:rowOff>71718</xdr:rowOff>
    </xdr:to>
    <xdr:graphicFrame macro="">
      <xdr:nvGraphicFramePr>
        <xdr:cNvPr id="102" name="Gráfico 101">
          <a:extLst>
            <a:ext uri="{FF2B5EF4-FFF2-40B4-BE49-F238E27FC236}">
              <a16:creationId xmlns:a16="http://schemas.microsoft.com/office/drawing/2014/main" id="{2B49D5AF-6788-419D-AA31-6E2A81ADB6DC}"/>
            </a:ext>
            <a:ext uri="{147F2762-F138-4A5C-976F-8EAC2B608ADB}">
              <a16:predDERef xmlns:a16="http://schemas.microsoft.com/office/drawing/2014/main" pred="{8B177002-0B5C-4B38-A356-01AB2D3B5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24</xdr:col>
      <xdr:colOff>7076</xdr:colOff>
      <xdr:row>83</xdr:row>
      <xdr:rowOff>45448</xdr:rowOff>
    </xdr:from>
    <xdr:to>
      <xdr:col>28</xdr:col>
      <xdr:colOff>375865</xdr:colOff>
      <xdr:row>96</xdr:row>
      <xdr:rowOff>17834</xdr:rowOff>
    </xdr:to>
    <xdr:graphicFrame macro="">
      <xdr:nvGraphicFramePr>
        <xdr:cNvPr id="103" name="Gráfico 102">
          <a:extLst>
            <a:ext uri="{FF2B5EF4-FFF2-40B4-BE49-F238E27FC236}">
              <a16:creationId xmlns:a16="http://schemas.microsoft.com/office/drawing/2014/main" id="{D3A8F31F-6A03-4867-B12B-CB7C2A6868C2}"/>
            </a:ext>
            <a:ext uri="{147F2762-F138-4A5C-976F-8EAC2B608ADB}">
              <a16:predDERef xmlns:a16="http://schemas.microsoft.com/office/drawing/2014/main" pred="{2B49D5AF-6788-419D-AA31-6E2A81ADB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24</xdr:col>
      <xdr:colOff>29119</xdr:colOff>
      <xdr:row>96</xdr:row>
      <xdr:rowOff>13607</xdr:rowOff>
    </xdr:from>
    <xdr:to>
      <xdr:col>28</xdr:col>
      <xdr:colOff>388383</xdr:colOff>
      <xdr:row>108</xdr:row>
      <xdr:rowOff>120559</xdr:rowOff>
    </xdr:to>
    <xdr:graphicFrame macro="">
      <xdr:nvGraphicFramePr>
        <xdr:cNvPr id="104" name="Gráfico 103">
          <a:extLst>
            <a:ext uri="{FF2B5EF4-FFF2-40B4-BE49-F238E27FC236}">
              <a16:creationId xmlns:a16="http://schemas.microsoft.com/office/drawing/2014/main" id="{662444D6-AA4C-4F41-9139-0666FA884CEE}"/>
            </a:ext>
            <a:ext uri="{147F2762-F138-4A5C-976F-8EAC2B608ADB}">
              <a16:predDERef xmlns:a16="http://schemas.microsoft.com/office/drawing/2014/main" pred="{D3A8F31F-6A03-4867-B12B-CB7C2A686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28</xdr:col>
      <xdr:colOff>384537</xdr:colOff>
      <xdr:row>70</xdr:row>
      <xdr:rowOff>152401</xdr:rowOff>
    </xdr:from>
    <xdr:to>
      <xdr:col>32</xdr:col>
      <xdr:colOff>737541</xdr:colOff>
      <xdr:row>83</xdr:row>
      <xdr:rowOff>58112</xdr:rowOff>
    </xdr:to>
    <xdr:graphicFrame macro="">
      <xdr:nvGraphicFramePr>
        <xdr:cNvPr id="105" name="Gráfico 104">
          <a:extLst>
            <a:ext uri="{FF2B5EF4-FFF2-40B4-BE49-F238E27FC236}">
              <a16:creationId xmlns:a16="http://schemas.microsoft.com/office/drawing/2014/main" id="{2B161DC0-4448-473A-8B2F-A2D8DF2F2E46}"/>
            </a:ext>
            <a:ext uri="{147F2762-F138-4A5C-976F-8EAC2B608ADB}">
              <a16:predDERef xmlns:a16="http://schemas.microsoft.com/office/drawing/2014/main" pred="{662444D6-AA4C-4F41-9139-0666FA884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28</xdr:col>
      <xdr:colOff>383721</xdr:colOff>
      <xdr:row>83</xdr:row>
      <xdr:rowOff>44630</xdr:rowOff>
    </xdr:from>
    <xdr:to>
      <xdr:col>32</xdr:col>
      <xdr:colOff>738630</xdr:colOff>
      <xdr:row>96</xdr:row>
      <xdr:rowOff>17016</xdr:rowOff>
    </xdr:to>
    <xdr:graphicFrame macro="">
      <xdr:nvGraphicFramePr>
        <xdr:cNvPr id="106" name="Gráfico 105">
          <a:extLst>
            <a:ext uri="{FF2B5EF4-FFF2-40B4-BE49-F238E27FC236}">
              <a16:creationId xmlns:a16="http://schemas.microsoft.com/office/drawing/2014/main" id="{6827C279-8BA3-443F-84A5-77512EFFE2C1}"/>
            </a:ext>
            <a:ext uri="{147F2762-F138-4A5C-976F-8EAC2B608ADB}">
              <a16:predDERef xmlns:a16="http://schemas.microsoft.com/office/drawing/2014/main" pred="{2B161DC0-4448-473A-8B2F-A2D8DF2F2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28</xdr:col>
      <xdr:colOff>394336</xdr:colOff>
      <xdr:row>96</xdr:row>
      <xdr:rowOff>8164</xdr:rowOff>
    </xdr:from>
    <xdr:to>
      <xdr:col>32</xdr:col>
      <xdr:colOff>747340</xdr:colOff>
      <xdr:row>108</xdr:row>
      <xdr:rowOff>91440</xdr:rowOff>
    </xdr:to>
    <xdr:graphicFrame macro="">
      <xdr:nvGraphicFramePr>
        <xdr:cNvPr id="107" name="Gráfico 106">
          <a:extLst>
            <a:ext uri="{FF2B5EF4-FFF2-40B4-BE49-F238E27FC236}">
              <a16:creationId xmlns:a16="http://schemas.microsoft.com/office/drawing/2014/main" id="{47F34493-5C8E-4604-BC13-0F55E033539F}"/>
            </a:ext>
            <a:ext uri="{147F2762-F138-4A5C-976F-8EAC2B608ADB}">
              <a16:predDERef xmlns:a16="http://schemas.microsoft.com/office/drawing/2014/main" pred="{6827C279-8BA3-443F-84A5-77512EFFE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2</xdr:col>
      <xdr:colOff>69805</xdr:colOff>
      <xdr:row>108</xdr:row>
      <xdr:rowOff>5650</xdr:rowOff>
    </xdr:from>
    <xdr:to>
      <xdr:col>5</xdr:col>
      <xdr:colOff>668553</xdr:colOff>
      <xdr:row>120</xdr:row>
      <xdr:rowOff>104038</xdr:rowOff>
    </xdr:to>
    <xdr:graphicFrame macro="">
      <xdr:nvGraphicFramePr>
        <xdr:cNvPr id="128" name="Gráfico 127">
          <a:extLst>
            <a:ext uri="{FF2B5EF4-FFF2-40B4-BE49-F238E27FC236}">
              <a16:creationId xmlns:a16="http://schemas.microsoft.com/office/drawing/2014/main" id="{C0C9DD14-B8DA-48A3-B0BA-E0511ECAF0AD}"/>
            </a:ext>
            <a:ext uri="{147F2762-F138-4A5C-976F-8EAC2B608ADB}">
              <a16:predDERef xmlns:a16="http://schemas.microsoft.com/office/drawing/2014/main" pred="{47F34493-5C8E-4604-BC13-0F55E0335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2</xdr:col>
      <xdr:colOff>63817</xdr:colOff>
      <xdr:row>120</xdr:row>
      <xdr:rowOff>104913</xdr:rowOff>
    </xdr:from>
    <xdr:to>
      <xdr:col>5</xdr:col>
      <xdr:colOff>661341</xdr:colOff>
      <xdr:row>133</xdr:row>
      <xdr:rowOff>92538</xdr:rowOff>
    </xdr:to>
    <xdr:graphicFrame macro="">
      <xdr:nvGraphicFramePr>
        <xdr:cNvPr id="135" name="Gráfico 134">
          <a:extLst>
            <a:ext uri="{FF2B5EF4-FFF2-40B4-BE49-F238E27FC236}">
              <a16:creationId xmlns:a16="http://schemas.microsoft.com/office/drawing/2014/main" id="{1A77B913-04E7-46AF-B124-1329276D0403}"/>
            </a:ext>
            <a:ext uri="{147F2762-F138-4A5C-976F-8EAC2B608ADB}">
              <a16:predDERef xmlns:a16="http://schemas.microsoft.com/office/drawing/2014/main" pred="{C0C9DD14-B8DA-48A3-B0BA-E0511ECAF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2</xdr:col>
      <xdr:colOff>41364</xdr:colOff>
      <xdr:row>133</xdr:row>
      <xdr:rowOff>100489</xdr:rowOff>
    </xdr:from>
    <xdr:to>
      <xdr:col>5</xdr:col>
      <xdr:colOff>636303</xdr:colOff>
      <xdr:row>146</xdr:row>
      <xdr:rowOff>84511</xdr:rowOff>
    </xdr:to>
    <xdr:graphicFrame macro="">
      <xdr:nvGraphicFramePr>
        <xdr:cNvPr id="136" name="Gráfico 135">
          <a:extLst>
            <a:ext uri="{FF2B5EF4-FFF2-40B4-BE49-F238E27FC236}">
              <a16:creationId xmlns:a16="http://schemas.microsoft.com/office/drawing/2014/main" id="{8D2C4F1C-D953-406A-9983-9EF29E009246}"/>
            </a:ext>
            <a:ext uri="{147F2762-F138-4A5C-976F-8EAC2B608ADB}">
              <a16:predDERef xmlns:a16="http://schemas.microsoft.com/office/drawing/2014/main" pred="{1A77B913-04E7-46AF-B124-1329276D0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5</xdr:col>
      <xdr:colOff>685800</xdr:colOff>
      <xdr:row>107</xdr:row>
      <xdr:rowOff>176076</xdr:rowOff>
    </xdr:from>
    <xdr:to>
      <xdr:col>9</xdr:col>
      <xdr:colOff>124677</xdr:colOff>
      <xdr:row>120</xdr:row>
      <xdr:rowOff>80426</xdr:rowOff>
    </xdr:to>
    <xdr:graphicFrame macro="">
      <xdr:nvGraphicFramePr>
        <xdr:cNvPr id="137" name="Gráfico 136">
          <a:extLst>
            <a:ext uri="{FF2B5EF4-FFF2-40B4-BE49-F238E27FC236}">
              <a16:creationId xmlns:a16="http://schemas.microsoft.com/office/drawing/2014/main" id="{036DC04D-0AC8-4A71-A0F2-789AF652F0A9}"/>
            </a:ext>
            <a:ext uri="{147F2762-F138-4A5C-976F-8EAC2B608ADB}">
              <a16:predDERef xmlns:a16="http://schemas.microsoft.com/office/drawing/2014/main" pred="{8D2C4F1C-D953-406A-9983-9EF29E009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5</xdr:col>
      <xdr:colOff>660151</xdr:colOff>
      <xdr:row>120</xdr:row>
      <xdr:rowOff>95251</xdr:rowOff>
    </xdr:from>
    <xdr:to>
      <xdr:col>9</xdr:col>
      <xdr:colOff>99029</xdr:colOff>
      <xdr:row>133</xdr:row>
      <xdr:rowOff>75053</xdr:rowOff>
    </xdr:to>
    <xdr:graphicFrame macro="">
      <xdr:nvGraphicFramePr>
        <xdr:cNvPr id="138" name="Gráfico 137">
          <a:extLst>
            <a:ext uri="{FF2B5EF4-FFF2-40B4-BE49-F238E27FC236}">
              <a16:creationId xmlns:a16="http://schemas.microsoft.com/office/drawing/2014/main" id="{B348FF76-1C24-4B85-B99E-013EFBB7CA42}"/>
            </a:ext>
            <a:ext uri="{147F2762-F138-4A5C-976F-8EAC2B608ADB}">
              <a16:predDERef xmlns:a16="http://schemas.microsoft.com/office/drawing/2014/main" pred="{036DC04D-0AC8-4A71-A0F2-789AF652F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5</xdr:col>
      <xdr:colOff>681581</xdr:colOff>
      <xdr:row>133</xdr:row>
      <xdr:rowOff>65177</xdr:rowOff>
    </xdr:from>
    <xdr:to>
      <xdr:col>9</xdr:col>
      <xdr:colOff>109028</xdr:colOff>
      <xdr:row>146</xdr:row>
      <xdr:rowOff>45183</xdr:rowOff>
    </xdr:to>
    <xdr:graphicFrame macro="">
      <xdr:nvGraphicFramePr>
        <xdr:cNvPr id="139" name="Gráfico 138">
          <a:extLst>
            <a:ext uri="{FF2B5EF4-FFF2-40B4-BE49-F238E27FC236}">
              <a16:creationId xmlns:a16="http://schemas.microsoft.com/office/drawing/2014/main" id="{18B8A7F3-AD93-491F-9DAB-3D23BF7AEB8C}"/>
            </a:ext>
            <a:ext uri="{147F2762-F138-4A5C-976F-8EAC2B608ADB}">
              <a16:predDERef xmlns:a16="http://schemas.microsoft.com/office/drawing/2014/main" pred="{B348FF76-1C24-4B85-B99E-013EFBB7C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9</xdr:col>
      <xdr:colOff>105320</xdr:colOff>
      <xdr:row>108</xdr:row>
      <xdr:rowOff>7076</xdr:rowOff>
    </xdr:from>
    <xdr:to>
      <xdr:col>13</xdr:col>
      <xdr:colOff>133657</xdr:colOff>
      <xdr:row>120</xdr:row>
      <xdr:rowOff>89680</xdr:rowOff>
    </xdr:to>
    <xdr:graphicFrame macro="">
      <xdr:nvGraphicFramePr>
        <xdr:cNvPr id="140" name="Gráfico 139">
          <a:extLst>
            <a:ext uri="{FF2B5EF4-FFF2-40B4-BE49-F238E27FC236}">
              <a16:creationId xmlns:a16="http://schemas.microsoft.com/office/drawing/2014/main" id="{F4094086-C83F-4E12-857E-DF790D1E0FEC}"/>
            </a:ext>
            <a:ext uri="{147F2762-F138-4A5C-976F-8EAC2B608ADB}">
              <a16:predDERef xmlns:a16="http://schemas.microsoft.com/office/drawing/2014/main" pred="{18B8A7F3-AD93-491F-9DAB-3D23BF7AE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9</xdr:col>
      <xdr:colOff>38917</xdr:colOff>
      <xdr:row>120</xdr:row>
      <xdr:rowOff>103415</xdr:rowOff>
    </xdr:from>
    <xdr:to>
      <xdr:col>13</xdr:col>
      <xdr:colOff>65349</xdr:colOff>
      <xdr:row>133</xdr:row>
      <xdr:rowOff>85326</xdr:rowOff>
    </xdr:to>
    <xdr:graphicFrame macro="">
      <xdr:nvGraphicFramePr>
        <xdr:cNvPr id="141" name="Gráfico 140">
          <a:extLst>
            <a:ext uri="{FF2B5EF4-FFF2-40B4-BE49-F238E27FC236}">
              <a16:creationId xmlns:a16="http://schemas.microsoft.com/office/drawing/2014/main" id="{5BD90F9F-2033-457B-9C52-F26ACC257AA5}"/>
            </a:ext>
            <a:ext uri="{147F2762-F138-4A5C-976F-8EAC2B608ADB}">
              <a16:predDERef xmlns:a16="http://schemas.microsoft.com/office/drawing/2014/main" pred="{F4094086-C83F-4E12-857E-DF790D1E0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9</xdr:col>
      <xdr:colOff>106954</xdr:colOff>
      <xdr:row>133</xdr:row>
      <xdr:rowOff>67218</xdr:rowOff>
    </xdr:from>
    <xdr:to>
      <xdr:col>13</xdr:col>
      <xdr:colOff>133386</xdr:colOff>
      <xdr:row>146</xdr:row>
      <xdr:rowOff>47768</xdr:rowOff>
    </xdr:to>
    <xdr:graphicFrame macro="">
      <xdr:nvGraphicFramePr>
        <xdr:cNvPr id="142" name="Gráfico 141">
          <a:extLst>
            <a:ext uri="{FF2B5EF4-FFF2-40B4-BE49-F238E27FC236}">
              <a16:creationId xmlns:a16="http://schemas.microsoft.com/office/drawing/2014/main" id="{5046F948-DB66-4D1B-8D2A-7E4E51812D34}"/>
            </a:ext>
            <a:ext uri="{147F2762-F138-4A5C-976F-8EAC2B608ADB}">
              <a16:predDERef xmlns:a16="http://schemas.microsoft.com/office/drawing/2014/main" pred="{5BD90F9F-2033-457B-9C52-F26ACC257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13</xdr:col>
      <xdr:colOff>74294</xdr:colOff>
      <xdr:row>108</xdr:row>
      <xdr:rowOff>20683</xdr:rowOff>
    </xdr:from>
    <xdr:to>
      <xdr:col>17</xdr:col>
      <xdr:colOff>388654</xdr:colOff>
      <xdr:row>120</xdr:row>
      <xdr:rowOff>103287</xdr:rowOff>
    </xdr:to>
    <xdr:graphicFrame macro="">
      <xdr:nvGraphicFramePr>
        <xdr:cNvPr id="143" name="Gráfico 142">
          <a:extLst>
            <a:ext uri="{FF2B5EF4-FFF2-40B4-BE49-F238E27FC236}">
              <a16:creationId xmlns:a16="http://schemas.microsoft.com/office/drawing/2014/main" id="{81C987BA-AB32-4131-9B0B-8013D94251DC}"/>
            </a:ext>
            <a:ext uri="{147F2762-F138-4A5C-976F-8EAC2B608ADB}">
              <a16:predDERef xmlns:a16="http://schemas.microsoft.com/office/drawing/2014/main" pred="{5046F948-DB66-4D1B-8D2A-7E4E51812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13</xdr:col>
      <xdr:colOff>74294</xdr:colOff>
      <xdr:row>120</xdr:row>
      <xdr:rowOff>90624</xdr:rowOff>
    </xdr:from>
    <xdr:to>
      <xdr:col>17</xdr:col>
      <xdr:colOff>388654</xdr:colOff>
      <xdr:row>133</xdr:row>
      <xdr:rowOff>72535</xdr:rowOff>
    </xdr:to>
    <xdr:graphicFrame macro="">
      <xdr:nvGraphicFramePr>
        <xdr:cNvPr id="144" name="Gráfico 143">
          <a:extLst>
            <a:ext uri="{FF2B5EF4-FFF2-40B4-BE49-F238E27FC236}">
              <a16:creationId xmlns:a16="http://schemas.microsoft.com/office/drawing/2014/main" id="{5501CBB0-A7E9-4FAB-A9BF-5F726C676E21}"/>
            </a:ext>
            <a:ext uri="{147F2762-F138-4A5C-976F-8EAC2B608ADB}">
              <a16:predDERef xmlns:a16="http://schemas.microsoft.com/office/drawing/2014/main" pred="{81C987BA-AB32-4131-9B0B-8013D9425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13</xdr:col>
      <xdr:colOff>83547</xdr:colOff>
      <xdr:row>133</xdr:row>
      <xdr:rowOff>54429</xdr:rowOff>
    </xdr:from>
    <xdr:to>
      <xdr:col>17</xdr:col>
      <xdr:colOff>388382</xdr:colOff>
      <xdr:row>146</xdr:row>
      <xdr:rowOff>42599</xdr:rowOff>
    </xdr:to>
    <xdr:graphicFrame macro="">
      <xdr:nvGraphicFramePr>
        <xdr:cNvPr id="145" name="Gráfico 144">
          <a:extLst>
            <a:ext uri="{FF2B5EF4-FFF2-40B4-BE49-F238E27FC236}">
              <a16:creationId xmlns:a16="http://schemas.microsoft.com/office/drawing/2014/main" id="{BAAFC56B-3E2D-40AB-AEC3-A36FC0DA81C5}"/>
            </a:ext>
            <a:ext uri="{147F2762-F138-4A5C-976F-8EAC2B608ADB}">
              <a16:predDERef xmlns:a16="http://schemas.microsoft.com/office/drawing/2014/main" pred="{5501CBB0-A7E9-4FAB-A9BF-5F726C676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17</xdr:col>
      <xdr:colOff>397329</xdr:colOff>
      <xdr:row>108</xdr:row>
      <xdr:rowOff>47898</xdr:rowOff>
    </xdr:from>
    <xdr:to>
      <xdr:col>21</xdr:col>
      <xdr:colOff>725024</xdr:colOff>
      <xdr:row>120</xdr:row>
      <xdr:rowOff>130502</xdr:rowOff>
    </xdr:to>
    <xdr:graphicFrame macro="">
      <xdr:nvGraphicFramePr>
        <xdr:cNvPr id="146" name="Gráfico 145">
          <a:extLst>
            <a:ext uri="{FF2B5EF4-FFF2-40B4-BE49-F238E27FC236}">
              <a16:creationId xmlns:a16="http://schemas.microsoft.com/office/drawing/2014/main" id="{96BC699D-D3B1-4DF3-8D24-3EA2CDB28BE1}"/>
            </a:ext>
            <a:ext uri="{147F2762-F138-4A5C-976F-8EAC2B608ADB}">
              <a16:predDERef xmlns:a16="http://schemas.microsoft.com/office/drawing/2014/main" pred="{BAAFC56B-3E2D-40AB-AEC3-A36FC0DA8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17</xdr:col>
      <xdr:colOff>382905</xdr:colOff>
      <xdr:row>120</xdr:row>
      <xdr:rowOff>90624</xdr:rowOff>
    </xdr:from>
    <xdr:to>
      <xdr:col>21</xdr:col>
      <xdr:colOff>710600</xdr:colOff>
      <xdr:row>133</xdr:row>
      <xdr:rowOff>72535</xdr:rowOff>
    </xdr:to>
    <xdr:graphicFrame macro="">
      <xdr:nvGraphicFramePr>
        <xdr:cNvPr id="147" name="Gráfico 146">
          <a:extLst>
            <a:ext uri="{FF2B5EF4-FFF2-40B4-BE49-F238E27FC236}">
              <a16:creationId xmlns:a16="http://schemas.microsoft.com/office/drawing/2014/main" id="{F82628AD-3656-4585-935C-BE54765C24AE}"/>
            </a:ext>
            <a:ext uri="{147F2762-F138-4A5C-976F-8EAC2B608ADB}">
              <a16:predDERef xmlns:a16="http://schemas.microsoft.com/office/drawing/2014/main" pred="{96BC699D-D3B1-4DF3-8D24-3EA2CDB28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17</xdr:col>
      <xdr:colOff>406581</xdr:colOff>
      <xdr:row>133</xdr:row>
      <xdr:rowOff>56334</xdr:rowOff>
    </xdr:from>
    <xdr:to>
      <xdr:col>21</xdr:col>
      <xdr:colOff>734276</xdr:colOff>
      <xdr:row>146</xdr:row>
      <xdr:rowOff>30625</xdr:rowOff>
    </xdr:to>
    <xdr:graphicFrame macro="">
      <xdr:nvGraphicFramePr>
        <xdr:cNvPr id="148" name="Gráfico 147">
          <a:extLst>
            <a:ext uri="{FF2B5EF4-FFF2-40B4-BE49-F238E27FC236}">
              <a16:creationId xmlns:a16="http://schemas.microsoft.com/office/drawing/2014/main" id="{0A2E2309-B75F-4745-BFEB-13DCFAC5E9DA}"/>
            </a:ext>
            <a:ext uri="{147F2762-F138-4A5C-976F-8EAC2B608ADB}">
              <a16:predDERef xmlns:a16="http://schemas.microsoft.com/office/drawing/2014/main" pred="{F82628AD-3656-4585-935C-BE54765C2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1</xdr:col>
      <xdr:colOff>2330450</xdr:colOff>
      <xdr:row>231</xdr:row>
      <xdr:rowOff>28575</xdr:rowOff>
    </xdr:from>
    <xdr:to>
      <xdr:col>5</xdr:col>
      <xdr:colOff>609452</xdr:colOff>
      <xdr:row>244</xdr:row>
      <xdr:rowOff>4454</xdr:rowOff>
    </xdr:to>
    <xdr:graphicFrame macro="">
      <xdr:nvGraphicFramePr>
        <xdr:cNvPr id="149" name="Gráfico 148">
          <a:extLst>
            <a:ext uri="{FF2B5EF4-FFF2-40B4-BE49-F238E27FC236}">
              <a16:creationId xmlns:a16="http://schemas.microsoft.com/office/drawing/2014/main" id="{C3C79097-E405-4DE7-9D63-F6B242A2775F}"/>
            </a:ext>
            <a:ext uri="{147F2762-F138-4A5C-976F-8EAC2B608ADB}">
              <a16:predDERef xmlns:a16="http://schemas.microsoft.com/office/drawing/2014/main" pred="{0A2E2309-B75F-4745-BFEB-13DCFAC5E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1</xdr:col>
      <xdr:colOff>2355850</xdr:colOff>
      <xdr:row>244</xdr:row>
      <xdr:rowOff>12700</xdr:rowOff>
    </xdr:from>
    <xdr:to>
      <xdr:col>5</xdr:col>
      <xdr:colOff>634852</xdr:colOff>
      <xdr:row>256</xdr:row>
      <xdr:rowOff>166379</xdr:rowOff>
    </xdr:to>
    <xdr:graphicFrame macro="">
      <xdr:nvGraphicFramePr>
        <xdr:cNvPr id="150" name="Gráfico 149">
          <a:extLst>
            <a:ext uri="{FF2B5EF4-FFF2-40B4-BE49-F238E27FC236}">
              <a16:creationId xmlns:a16="http://schemas.microsoft.com/office/drawing/2014/main" id="{B877A8DC-ABB1-4C8A-AABC-F43236CCAF2F}"/>
            </a:ext>
            <a:ext uri="{147F2762-F138-4A5C-976F-8EAC2B608ADB}">
              <a16:predDERef xmlns:a16="http://schemas.microsoft.com/office/drawing/2014/main" pred="{C3C79097-E405-4DE7-9D63-F6B242A27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5</xdr:col>
      <xdr:colOff>622663</xdr:colOff>
      <xdr:row>218</xdr:row>
      <xdr:rowOff>78830</xdr:rowOff>
    </xdr:from>
    <xdr:to>
      <xdr:col>9</xdr:col>
      <xdr:colOff>45935</xdr:colOff>
      <xdr:row>231</xdr:row>
      <xdr:rowOff>38834</xdr:rowOff>
    </xdr:to>
    <xdr:graphicFrame macro="">
      <xdr:nvGraphicFramePr>
        <xdr:cNvPr id="151" name="Gráfico 150">
          <a:extLst>
            <a:ext uri="{FF2B5EF4-FFF2-40B4-BE49-F238E27FC236}">
              <a16:creationId xmlns:a16="http://schemas.microsoft.com/office/drawing/2014/main" id="{076FBADA-B7DC-4F09-A7DF-019E4F8868C8}"/>
            </a:ext>
            <a:ext uri="{147F2762-F138-4A5C-976F-8EAC2B608ADB}">
              <a16:predDERef xmlns:a16="http://schemas.microsoft.com/office/drawing/2014/main" pred="{B877A8DC-ABB1-4C8A-AABC-F43236CCA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5</xdr:col>
      <xdr:colOff>631462</xdr:colOff>
      <xdr:row>231</xdr:row>
      <xdr:rowOff>29482</xdr:rowOff>
    </xdr:from>
    <xdr:to>
      <xdr:col>9</xdr:col>
      <xdr:colOff>54734</xdr:colOff>
      <xdr:row>244</xdr:row>
      <xdr:rowOff>7266</xdr:rowOff>
    </xdr:to>
    <xdr:graphicFrame macro="">
      <xdr:nvGraphicFramePr>
        <xdr:cNvPr id="152" name="Gráfico 151">
          <a:extLst>
            <a:ext uri="{FF2B5EF4-FFF2-40B4-BE49-F238E27FC236}">
              <a16:creationId xmlns:a16="http://schemas.microsoft.com/office/drawing/2014/main" id="{A9E89FEE-2831-4DA4-96FC-88AF10DADD40}"/>
            </a:ext>
            <a:ext uri="{147F2762-F138-4A5C-976F-8EAC2B608ADB}">
              <a16:predDERef xmlns:a16="http://schemas.microsoft.com/office/drawing/2014/main" pred="{076FBADA-B7DC-4F09-A7DF-019E4F886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5</xdr:col>
      <xdr:colOff>644888</xdr:colOff>
      <xdr:row>244</xdr:row>
      <xdr:rowOff>4354</xdr:rowOff>
    </xdr:from>
    <xdr:to>
      <xdr:col>9</xdr:col>
      <xdr:colOff>70065</xdr:colOff>
      <xdr:row>256</xdr:row>
      <xdr:rowOff>159031</xdr:rowOff>
    </xdr:to>
    <xdr:graphicFrame macro="">
      <xdr:nvGraphicFramePr>
        <xdr:cNvPr id="153" name="Gráfico 152">
          <a:extLst>
            <a:ext uri="{FF2B5EF4-FFF2-40B4-BE49-F238E27FC236}">
              <a16:creationId xmlns:a16="http://schemas.microsoft.com/office/drawing/2014/main" id="{AC5316E5-B3AB-4B66-8CBA-D4E2C4EE5F11}"/>
            </a:ext>
            <a:ext uri="{147F2762-F138-4A5C-976F-8EAC2B608ADB}">
              <a16:predDERef xmlns:a16="http://schemas.microsoft.com/office/drawing/2014/main" pred="{A9E89FEE-2831-4DA4-96FC-88AF10DAD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9</xdr:col>
      <xdr:colOff>50619</xdr:colOff>
      <xdr:row>218</xdr:row>
      <xdr:rowOff>79464</xdr:rowOff>
    </xdr:from>
    <xdr:to>
      <xdr:col>13</xdr:col>
      <xdr:colOff>83582</xdr:colOff>
      <xdr:row>231</xdr:row>
      <xdr:rowOff>36566</xdr:rowOff>
    </xdr:to>
    <xdr:graphicFrame macro="">
      <xdr:nvGraphicFramePr>
        <xdr:cNvPr id="154" name="Gráfico 153">
          <a:extLst>
            <a:ext uri="{FF2B5EF4-FFF2-40B4-BE49-F238E27FC236}">
              <a16:creationId xmlns:a16="http://schemas.microsoft.com/office/drawing/2014/main" id="{F3A61473-F4CA-4647-AFA5-B666165F26A9}"/>
            </a:ext>
            <a:ext uri="{147F2762-F138-4A5C-976F-8EAC2B608ADB}">
              <a16:predDERef xmlns:a16="http://schemas.microsoft.com/office/drawing/2014/main" pred="{AC5316E5-B3AB-4B66-8CBA-D4E2C4EE5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9</xdr:col>
      <xdr:colOff>66948</xdr:colOff>
      <xdr:row>231</xdr:row>
      <xdr:rowOff>18505</xdr:rowOff>
    </xdr:from>
    <xdr:to>
      <xdr:col>13</xdr:col>
      <xdr:colOff>99911</xdr:colOff>
      <xdr:row>243</xdr:row>
      <xdr:rowOff>175087</xdr:rowOff>
    </xdr:to>
    <xdr:graphicFrame macro="">
      <xdr:nvGraphicFramePr>
        <xdr:cNvPr id="155" name="Gráfico 154">
          <a:extLst>
            <a:ext uri="{FF2B5EF4-FFF2-40B4-BE49-F238E27FC236}">
              <a16:creationId xmlns:a16="http://schemas.microsoft.com/office/drawing/2014/main" id="{1DD100CD-A9CF-4E78-AEA9-95EDAA1194E5}"/>
            </a:ext>
            <a:ext uri="{147F2762-F138-4A5C-976F-8EAC2B608ADB}">
              <a16:predDERef xmlns:a16="http://schemas.microsoft.com/office/drawing/2014/main" pred="{F3A61473-F4CA-4647-AFA5-B666165F2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9</xdr:col>
      <xdr:colOff>51163</xdr:colOff>
      <xdr:row>243</xdr:row>
      <xdr:rowOff>173083</xdr:rowOff>
    </xdr:from>
    <xdr:to>
      <xdr:col>13</xdr:col>
      <xdr:colOff>84126</xdr:colOff>
      <xdr:row>256</xdr:row>
      <xdr:rowOff>150867</xdr:rowOff>
    </xdr:to>
    <xdr:graphicFrame macro="">
      <xdr:nvGraphicFramePr>
        <xdr:cNvPr id="156" name="Gráfico 155">
          <a:extLst>
            <a:ext uri="{FF2B5EF4-FFF2-40B4-BE49-F238E27FC236}">
              <a16:creationId xmlns:a16="http://schemas.microsoft.com/office/drawing/2014/main" id="{5E5C38AA-C666-495A-A558-7D2BCB3FDC48}"/>
            </a:ext>
            <a:ext uri="{147F2762-F138-4A5C-976F-8EAC2B608ADB}">
              <a16:predDERef xmlns:a16="http://schemas.microsoft.com/office/drawing/2014/main" pred="{1DD100CD-A9CF-4E78-AEA9-95EDAA119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13</xdr:col>
      <xdr:colOff>94162</xdr:colOff>
      <xdr:row>218</xdr:row>
      <xdr:rowOff>93072</xdr:rowOff>
    </xdr:from>
    <xdr:to>
      <xdr:col>17</xdr:col>
      <xdr:colOff>408520</xdr:colOff>
      <xdr:row>231</xdr:row>
      <xdr:rowOff>50174</xdr:rowOff>
    </xdr:to>
    <xdr:graphicFrame macro="">
      <xdr:nvGraphicFramePr>
        <xdr:cNvPr id="157" name="Gráfico 156">
          <a:extLst>
            <a:ext uri="{FF2B5EF4-FFF2-40B4-BE49-F238E27FC236}">
              <a16:creationId xmlns:a16="http://schemas.microsoft.com/office/drawing/2014/main" id="{A82A0D40-0F41-4EBC-8207-89053B108E4A}"/>
            </a:ext>
            <a:ext uri="{147F2762-F138-4A5C-976F-8EAC2B608ADB}">
              <a16:predDERef xmlns:a16="http://schemas.microsoft.com/office/drawing/2014/main" pred="{5E5C38AA-C666-495A-A558-7D2BCB3FD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13</xdr:col>
      <xdr:colOff>106136</xdr:colOff>
      <xdr:row>231</xdr:row>
      <xdr:rowOff>32113</xdr:rowOff>
    </xdr:from>
    <xdr:to>
      <xdr:col>17</xdr:col>
      <xdr:colOff>412874</xdr:colOff>
      <xdr:row>244</xdr:row>
      <xdr:rowOff>11802</xdr:rowOff>
    </xdr:to>
    <xdr:graphicFrame macro="">
      <xdr:nvGraphicFramePr>
        <xdr:cNvPr id="158" name="Gráfico 157">
          <a:extLst>
            <a:ext uri="{FF2B5EF4-FFF2-40B4-BE49-F238E27FC236}">
              <a16:creationId xmlns:a16="http://schemas.microsoft.com/office/drawing/2014/main" id="{145FEE04-4549-418B-B3F4-C13A7B2676C9}"/>
            </a:ext>
            <a:ext uri="{147F2762-F138-4A5C-976F-8EAC2B608ADB}">
              <a16:predDERef xmlns:a16="http://schemas.microsoft.com/office/drawing/2014/main" pred="{A82A0D40-0F41-4EBC-8207-89053B108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13</xdr:col>
      <xdr:colOff>92529</xdr:colOff>
      <xdr:row>243</xdr:row>
      <xdr:rowOff>171450</xdr:rowOff>
    </xdr:from>
    <xdr:to>
      <xdr:col>17</xdr:col>
      <xdr:colOff>399267</xdr:colOff>
      <xdr:row>256</xdr:row>
      <xdr:rowOff>151139</xdr:rowOff>
    </xdr:to>
    <xdr:graphicFrame macro="">
      <xdr:nvGraphicFramePr>
        <xdr:cNvPr id="159" name="Gráfico 158">
          <a:extLst>
            <a:ext uri="{FF2B5EF4-FFF2-40B4-BE49-F238E27FC236}">
              <a16:creationId xmlns:a16="http://schemas.microsoft.com/office/drawing/2014/main" id="{8A3013CB-DC86-4C1F-9628-C6A379A51606}"/>
            </a:ext>
            <a:ext uri="{147F2762-F138-4A5C-976F-8EAC2B608ADB}">
              <a16:predDERef xmlns:a16="http://schemas.microsoft.com/office/drawing/2014/main" pred="{145FEE04-4549-418B-B3F4-C13A7B267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17</xdr:col>
      <xdr:colOff>391886</xdr:colOff>
      <xdr:row>218</xdr:row>
      <xdr:rowOff>110490</xdr:rowOff>
    </xdr:from>
    <xdr:to>
      <xdr:col>21</xdr:col>
      <xdr:colOff>724206</xdr:colOff>
      <xdr:row>231</xdr:row>
      <xdr:rowOff>77117</xdr:rowOff>
    </xdr:to>
    <xdr:graphicFrame macro="">
      <xdr:nvGraphicFramePr>
        <xdr:cNvPr id="160" name="Gráfico 159">
          <a:extLst>
            <a:ext uri="{FF2B5EF4-FFF2-40B4-BE49-F238E27FC236}">
              <a16:creationId xmlns:a16="http://schemas.microsoft.com/office/drawing/2014/main" id="{296D9A0B-379D-48AA-98AF-D8700EF8C428}"/>
            </a:ext>
            <a:ext uri="{147F2762-F138-4A5C-976F-8EAC2B608ADB}">
              <a16:predDERef xmlns:a16="http://schemas.microsoft.com/office/drawing/2014/main" pred="{8A3013CB-DC86-4C1F-9628-C6A379A5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17</xdr:col>
      <xdr:colOff>383178</xdr:colOff>
      <xdr:row>230</xdr:row>
      <xdr:rowOff>168184</xdr:rowOff>
    </xdr:from>
    <xdr:to>
      <xdr:col>21</xdr:col>
      <xdr:colOff>715498</xdr:colOff>
      <xdr:row>243</xdr:row>
      <xdr:rowOff>147873</xdr:rowOff>
    </xdr:to>
    <xdr:graphicFrame macro="">
      <xdr:nvGraphicFramePr>
        <xdr:cNvPr id="161" name="Gráfico 160">
          <a:extLst>
            <a:ext uri="{FF2B5EF4-FFF2-40B4-BE49-F238E27FC236}">
              <a16:creationId xmlns:a16="http://schemas.microsoft.com/office/drawing/2014/main" id="{14C02707-CD0A-406C-9117-460D91884C8C}"/>
            </a:ext>
            <a:ext uri="{147F2762-F138-4A5C-976F-8EAC2B608ADB}">
              <a16:predDERef xmlns:a16="http://schemas.microsoft.com/office/drawing/2014/main" pred="{296D9A0B-379D-48AA-98AF-D8700EF8C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17</xdr:col>
      <xdr:colOff>409847</xdr:colOff>
      <xdr:row>243</xdr:row>
      <xdr:rowOff>117021</xdr:rowOff>
    </xdr:from>
    <xdr:to>
      <xdr:col>21</xdr:col>
      <xdr:colOff>742167</xdr:colOff>
      <xdr:row>256</xdr:row>
      <xdr:rowOff>96710</xdr:rowOff>
    </xdr:to>
    <xdr:graphicFrame macro="">
      <xdr:nvGraphicFramePr>
        <xdr:cNvPr id="162" name="Gráfico 161">
          <a:extLst>
            <a:ext uri="{FF2B5EF4-FFF2-40B4-BE49-F238E27FC236}">
              <a16:creationId xmlns:a16="http://schemas.microsoft.com/office/drawing/2014/main" id="{77F8181F-BC5C-48BB-A716-397558905727}"/>
            </a:ext>
            <a:ext uri="{147F2762-F138-4A5C-976F-8EAC2B608ADB}">
              <a16:predDERef xmlns:a16="http://schemas.microsoft.com/office/drawing/2014/main" pred="{14C02707-CD0A-406C-9117-460D91884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10</xdr:col>
      <xdr:colOff>26670</xdr:colOff>
      <xdr:row>146</xdr:row>
      <xdr:rowOff>224155</xdr:rowOff>
    </xdr:from>
    <xdr:to>
      <xdr:col>15</xdr:col>
      <xdr:colOff>666115</xdr:colOff>
      <xdr:row>164</xdr:row>
      <xdr:rowOff>39370</xdr:rowOff>
    </xdr:to>
    <xdr:graphicFrame macro="">
      <xdr:nvGraphicFramePr>
        <xdr:cNvPr id="5" name="Gráfico 4">
          <a:extLst>
            <a:ext uri="{FF2B5EF4-FFF2-40B4-BE49-F238E27FC236}">
              <a16:creationId xmlns:a16="http://schemas.microsoft.com/office/drawing/2014/main" id="{3F96C31D-CE72-C804-B70D-66526DE67A56}"/>
            </a:ext>
            <a:ext uri="{147F2762-F138-4A5C-976F-8EAC2B608ADB}">
              <a16:predDERef xmlns:a16="http://schemas.microsoft.com/office/drawing/2014/main" pred="{77F8181F-BC5C-48BB-A716-3975589057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9</xdr:col>
      <xdr:colOff>1061266</xdr:colOff>
      <xdr:row>163</xdr:row>
      <xdr:rowOff>143238</xdr:rowOff>
    </xdr:from>
    <xdr:to>
      <xdr:col>15</xdr:col>
      <xdr:colOff>637086</xdr:colOff>
      <xdr:row>181</xdr:row>
      <xdr:rowOff>50166</xdr:rowOff>
    </xdr:to>
    <xdr:graphicFrame macro="">
      <xdr:nvGraphicFramePr>
        <xdr:cNvPr id="7" name="Gráfico 6">
          <a:extLst>
            <a:ext uri="{FF2B5EF4-FFF2-40B4-BE49-F238E27FC236}">
              <a16:creationId xmlns:a16="http://schemas.microsoft.com/office/drawing/2014/main" id="{10E1BF53-A1E1-4AB2-9F8C-841EECAC6E3A}"/>
            </a:ext>
            <a:ext uri="{147F2762-F138-4A5C-976F-8EAC2B608ADB}">
              <a16:predDERef xmlns:a16="http://schemas.microsoft.com/office/drawing/2014/main" pred="{3F96C31D-CE72-C804-B70D-66526DE67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10</xdr:col>
      <xdr:colOff>43634</xdr:colOff>
      <xdr:row>181</xdr:row>
      <xdr:rowOff>21499</xdr:rowOff>
    </xdr:from>
    <xdr:to>
      <xdr:col>15</xdr:col>
      <xdr:colOff>662033</xdr:colOff>
      <xdr:row>198</xdr:row>
      <xdr:rowOff>91349</xdr:rowOff>
    </xdr:to>
    <xdr:graphicFrame macro="">
      <xdr:nvGraphicFramePr>
        <xdr:cNvPr id="9" name="Gráfico 8">
          <a:extLst>
            <a:ext uri="{FF2B5EF4-FFF2-40B4-BE49-F238E27FC236}">
              <a16:creationId xmlns:a16="http://schemas.microsoft.com/office/drawing/2014/main" id="{3A1AE318-BF25-40D1-9E60-E4359DE86C15}"/>
            </a:ext>
            <a:ext uri="{147F2762-F138-4A5C-976F-8EAC2B608ADB}">
              <a16:predDERef xmlns:a16="http://schemas.microsoft.com/office/drawing/2014/main" pred="{10E1BF53-A1E1-4AB2-9F8C-841EECAC6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10</xdr:col>
      <xdr:colOff>78105</xdr:colOff>
      <xdr:row>198</xdr:row>
      <xdr:rowOff>121920</xdr:rowOff>
    </xdr:from>
    <xdr:to>
      <xdr:col>15</xdr:col>
      <xdr:colOff>716280</xdr:colOff>
      <xdr:row>215</xdr:row>
      <xdr:rowOff>172085</xdr:rowOff>
    </xdr:to>
    <xdr:graphicFrame macro="">
      <xdr:nvGraphicFramePr>
        <xdr:cNvPr id="10" name="Gráfico 9">
          <a:extLst>
            <a:ext uri="{FF2B5EF4-FFF2-40B4-BE49-F238E27FC236}">
              <a16:creationId xmlns:a16="http://schemas.microsoft.com/office/drawing/2014/main" id="{C6FB28D5-9AE2-46D7-850D-D5EDC40D40EC}"/>
            </a:ext>
            <a:ext uri="{147F2762-F138-4A5C-976F-8EAC2B608ADB}">
              <a16:predDERef xmlns:a16="http://schemas.microsoft.com/office/drawing/2014/main" pred="{3A1AE318-BF25-40D1-9E60-E4359DE86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xdr:from>
      <xdr:col>15</xdr:col>
      <xdr:colOff>648698</xdr:colOff>
      <xdr:row>146</xdr:row>
      <xdr:rowOff>251823</xdr:rowOff>
    </xdr:from>
    <xdr:to>
      <xdr:col>21</xdr:col>
      <xdr:colOff>492397</xdr:colOff>
      <xdr:row>164</xdr:row>
      <xdr:rowOff>55608</xdr:rowOff>
    </xdr:to>
    <xdr:graphicFrame macro="">
      <xdr:nvGraphicFramePr>
        <xdr:cNvPr id="11" name="Gráfico 10">
          <a:extLst>
            <a:ext uri="{FF2B5EF4-FFF2-40B4-BE49-F238E27FC236}">
              <a16:creationId xmlns:a16="http://schemas.microsoft.com/office/drawing/2014/main" id="{8A1E9979-7FED-4946-913F-DF9274C6B99F}"/>
            </a:ext>
            <a:ext uri="{147F2762-F138-4A5C-976F-8EAC2B608ADB}">
              <a16:predDERef xmlns:a16="http://schemas.microsoft.com/office/drawing/2014/main" pred="{C6FB28D5-9AE2-46D7-850D-D5EDC40D4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2"/>
        </a:graphicData>
      </a:graphic>
    </xdr:graphicFrame>
    <xdr:clientData/>
  </xdr:twoCellAnchor>
  <xdr:twoCellAnchor>
    <xdr:from>
      <xdr:col>15</xdr:col>
      <xdr:colOff>668291</xdr:colOff>
      <xdr:row>164</xdr:row>
      <xdr:rowOff>49893</xdr:rowOff>
    </xdr:from>
    <xdr:to>
      <xdr:col>21</xdr:col>
      <xdr:colOff>507455</xdr:colOff>
      <xdr:row>181</xdr:row>
      <xdr:rowOff>147049</xdr:rowOff>
    </xdr:to>
    <xdr:graphicFrame macro="">
      <xdr:nvGraphicFramePr>
        <xdr:cNvPr id="12" name="Gráfico 11">
          <a:extLst>
            <a:ext uri="{FF2B5EF4-FFF2-40B4-BE49-F238E27FC236}">
              <a16:creationId xmlns:a16="http://schemas.microsoft.com/office/drawing/2014/main" id="{249228E9-9D10-4DB8-B848-7281365CD4A4}"/>
            </a:ext>
            <a:ext uri="{147F2762-F138-4A5C-976F-8EAC2B608ADB}">
              <a16:predDERef xmlns:a16="http://schemas.microsoft.com/office/drawing/2014/main" pred="{8A1E9979-7FED-4946-913F-DF9274C6B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3"/>
        </a:graphicData>
      </a:graphic>
    </xdr:graphicFrame>
    <xdr:clientData/>
  </xdr:twoCellAnchor>
  <xdr:twoCellAnchor>
    <xdr:from>
      <xdr:col>21</xdr:col>
      <xdr:colOff>530679</xdr:colOff>
      <xdr:row>199</xdr:row>
      <xdr:rowOff>97610</xdr:rowOff>
    </xdr:from>
    <xdr:to>
      <xdr:col>27</xdr:col>
      <xdr:colOff>416379</xdr:colOff>
      <xdr:row>216</xdr:row>
      <xdr:rowOff>167822</xdr:rowOff>
    </xdr:to>
    <xdr:graphicFrame macro="">
      <xdr:nvGraphicFramePr>
        <xdr:cNvPr id="13" name="Gráfico 12">
          <a:extLst>
            <a:ext uri="{FF2B5EF4-FFF2-40B4-BE49-F238E27FC236}">
              <a16:creationId xmlns:a16="http://schemas.microsoft.com/office/drawing/2014/main" id="{07C63CB9-B74C-48CC-9036-8789723DC289}"/>
            </a:ext>
            <a:ext uri="{147F2762-F138-4A5C-976F-8EAC2B608ADB}">
              <a16:predDERef xmlns:a16="http://schemas.microsoft.com/office/drawing/2014/main" pred="{249228E9-9D10-4DB8-B848-7281365CD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4"/>
        </a:graphicData>
      </a:graphic>
    </xdr:graphicFrame>
    <xdr:clientData/>
  </xdr:twoCellAnchor>
  <xdr:twoCellAnchor>
    <xdr:from>
      <xdr:col>15</xdr:col>
      <xdr:colOff>675821</xdr:colOff>
      <xdr:row>181</xdr:row>
      <xdr:rowOff>130808</xdr:rowOff>
    </xdr:from>
    <xdr:to>
      <xdr:col>21</xdr:col>
      <xdr:colOff>510176</xdr:colOff>
      <xdr:row>199</xdr:row>
      <xdr:rowOff>40276</xdr:rowOff>
    </xdr:to>
    <xdr:graphicFrame macro="">
      <xdr:nvGraphicFramePr>
        <xdr:cNvPr id="14" name="Gráfico 13">
          <a:extLst>
            <a:ext uri="{FF2B5EF4-FFF2-40B4-BE49-F238E27FC236}">
              <a16:creationId xmlns:a16="http://schemas.microsoft.com/office/drawing/2014/main" id="{AF9D2F26-5377-412B-B3F4-0C37191D035D}"/>
            </a:ext>
            <a:ext uri="{147F2762-F138-4A5C-976F-8EAC2B608ADB}">
              <a16:predDERef xmlns:a16="http://schemas.microsoft.com/office/drawing/2014/main" pred="{07C63CB9-B74C-48CC-9036-8789723DC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5"/>
        </a:graphicData>
      </a:graphic>
    </xdr:graphicFrame>
    <xdr:clientData/>
  </xdr:twoCellAnchor>
  <xdr:twoCellAnchor>
    <xdr:from>
      <xdr:col>15</xdr:col>
      <xdr:colOff>730250</xdr:colOff>
      <xdr:row>199</xdr:row>
      <xdr:rowOff>38100</xdr:rowOff>
    </xdr:from>
    <xdr:to>
      <xdr:col>21</xdr:col>
      <xdr:colOff>514350</xdr:colOff>
      <xdr:row>216</xdr:row>
      <xdr:rowOff>127000</xdr:rowOff>
    </xdr:to>
    <xdr:graphicFrame macro="">
      <xdr:nvGraphicFramePr>
        <xdr:cNvPr id="15" name="Gráfico 14">
          <a:extLst>
            <a:ext uri="{FF2B5EF4-FFF2-40B4-BE49-F238E27FC236}">
              <a16:creationId xmlns:a16="http://schemas.microsoft.com/office/drawing/2014/main" id="{9A3A503A-EAE2-440E-A571-758B7515C9D6}"/>
            </a:ext>
            <a:ext uri="{147F2762-F138-4A5C-976F-8EAC2B608ADB}">
              <a16:predDERef xmlns:a16="http://schemas.microsoft.com/office/drawing/2014/main" pred="{AF9D2F26-5377-412B-B3F4-0C37191D0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6"/>
        </a:graphicData>
      </a:graphic>
    </xdr:graphicFrame>
    <xdr:clientData/>
  </xdr:twoCellAnchor>
  <xdr:twoCellAnchor>
    <xdr:from>
      <xdr:col>21</xdr:col>
      <xdr:colOff>571500</xdr:colOff>
      <xdr:row>147</xdr:row>
      <xdr:rowOff>34925</xdr:rowOff>
    </xdr:from>
    <xdr:to>
      <xdr:col>27</xdr:col>
      <xdr:colOff>419100</xdr:colOff>
      <xdr:row>164</xdr:row>
      <xdr:rowOff>88900</xdr:rowOff>
    </xdr:to>
    <xdr:graphicFrame macro="">
      <xdr:nvGraphicFramePr>
        <xdr:cNvPr id="16" name="Gráfico 15">
          <a:extLst>
            <a:ext uri="{FF2B5EF4-FFF2-40B4-BE49-F238E27FC236}">
              <a16:creationId xmlns:a16="http://schemas.microsoft.com/office/drawing/2014/main" id="{F4CF048B-F555-4EAE-A431-4A7C5B12960B}"/>
            </a:ext>
            <a:ext uri="{147F2762-F138-4A5C-976F-8EAC2B608ADB}">
              <a16:predDERef xmlns:a16="http://schemas.microsoft.com/office/drawing/2014/main" pred="{9A3A503A-EAE2-440E-A571-758B7515C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7"/>
        </a:graphicData>
      </a:graphic>
    </xdr:graphicFrame>
    <xdr:clientData/>
  </xdr:twoCellAnchor>
  <xdr:twoCellAnchor>
    <xdr:from>
      <xdr:col>21</xdr:col>
      <xdr:colOff>586105</xdr:colOff>
      <xdr:row>164</xdr:row>
      <xdr:rowOff>55880</xdr:rowOff>
    </xdr:from>
    <xdr:to>
      <xdr:col>27</xdr:col>
      <xdr:colOff>433705</xdr:colOff>
      <xdr:row>181</xdr:row>
      <xdr:rowOff>142875</xdr:rowOff>
    </xdr:to>
    <xdr:graphicFrame macro="">
      <xdr:nvGraphicFramePr>
        <xdr:cNvPr id="17" name="Gráfico 16">
          <a:extLst>
            <a:ext uri="{FF2B5EF4-FFF2-40B4-BE49-F238E27FC236}">
              <a16:creationId xmlns:a16="http://schemas.microsoft.com/office/drawing/2014/main" id="{C2C3C213-9A0C-4157-ACDE-3F9A949988AC}"/>
            </a:ext>
            <a:ext uri="{147F2762-F138-4A5C-976F-8EAC2B608ADB}">
              <a16:predDERef xmlns:a16="http://schemas.microsoft.com/office/drawing/2014/main" pred="{F4CF048B-F555-4EAE-A431-4A7C5B129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8"/>
        </a:graphicData>
      </a:graphic>
    </xdr:graphicFrame>
    <xdr:clientData/>
  </xdr:twoCellAnchor>
  <xdr:twoCellAnchor>
    <xdr:from>
      <xdr:col>21</xdr:col>
      <xdr:colOff>574675</xdr:colOff>
      <xdr:row>181</xdr:row>
      <xdr:rowOff>121920</xdr:rowOff>
    </xdr:from>
    <xdr:to>
      <xdr:col>27</xdr:col>
      <xdr:colOff>459105</xdr:colOff>
      <xdr:row>199</xdr:row>
      <xdr:rowOff>37465</xdr:rowOff>
    </xdr:to>
    <xdr:graphicFrame macro="">
      <xdr:nvGraphicFramePr>
        <xdr:cNvPr id="18" name="Gráfico 17">
          <a:extLst>
            <a:ext uri="{FF2B5EF4-FFF2-40B4-BE49-F238E27FC236}">
              <a16:creationId xmlns:a16="http://schemas.microsoft.com/office/drawing/2014/main" id="{A800795D-46CA-4D36-B196-3A3C1C2330E6}"/>
            </a:ext>
            <a:ext uri="{147F2762-F138-4A5C-976F-8EAC2B608ADB}">
              <a16:predDERef xmlns:a16="http://schemas.microsoft.com/office/drawing/2014/main" pred="{C2C3C213-9A0C-4157-ACDE-3F9A94998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9"/>
        </a:graphicData>
      </a:graphic>
    </xdr:graphicFrame>
    <xdr:clientData/>
  </xdr:twoCellAnchor>
  <xdr:twoCellAnchor>
    <xdr:from>
      <xdr:col>27</xdr:col>
      <xdr:colOff>533400</xdr:colOff>
      <xdr:row>146</xdr:row>
      <xdr:rowOff>228600</xdr:rowOff>
    </xdr:from>
    <xdr:to>
      <xdr:col>33</xdr:col>
      <xdr:colOff>381000</xdr:colOff>
      <xdr:row>164</xdr:row>
      <xdr:rowOff>45720</xdr:rowOff>
    </xdr:to>
    <xdr:graphicFrame macro="">
      <xdr:nvGraphicFramePr>
        <xdr:cNvPr id="19" name="Gráfico 18">
          <a:extLst>
            <a:ext uri="{FF2B5EF4-FFF2-40B4-BE49-F238E27FC236}">
              <a16:creationId xmlns:a16="http://schemas.microsoft.com/office/drawing/2014/main" id="{A013C771-0975-4C60-906D-6514925B9B53}"/>
            </a:ext>
            <a:ext uri="{147F2762-F138-4A5C-976F-8EAC2B608ADB}">
              <a16:predDERef xmlns:a16="http://schemas.microsoft.com/office/drawing/2014/main" pred="{A800795D-46CA-4D36-B196-3A3C1C233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0"/>
        </a:graphicData>
      </a:graphic>
    </xdr:graphicFrame>
    <xdr:clientData/>
  </xdr:twoCellAnchor>
  <xdr:twoCellAnchor>
    <xdr:from>
      <xdr:col>27</xdr:col>
      <xdr:colOff>533400</xdr:colOff>
      <xdr:row>164</xdr:row>
      <xdr:rowOff>15240</xdr:rowOff>
    </xdr:from>
    <xdr:to>
      <xdr:col>33</xdr:col>
      <xdr:colOff>381000</xdr:colOff>
      <xdr:row>181</xdr:row>
      <xdr:rowOff>106680</xdr:rowOff>
    </xdr:to>
    <xdr:graphicFrame macro="">
      <xdr:nvGraphicFramePr>
        <xdr:cNvPr id="21" name="Gráfico 20">
          <a:extLst>
            <a:ext uri="{FF2B5EF4-FFF2-40B4-BE49-F238E27FC236}">
              <a16:creationId xmlns:a16="http://schemas.microsoft.com/office/drawing/2014/main" id="{F0BFA7FB-B724-46A8-93E9-3153EF52D6AA}"/>
            </a:ext>
            <a:ext uri="{147F2762-F138-4A5C-976F-8EAC2B608ADB}">
              <a16:predDERef xmlns:a16="http://schemas.microsoft.com/office/drawing/2014/main" pred="{A013C771-0975-4C60-906D-6514925B9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1"/>
        </a:graphicData>
      </a:graphic>
    </xdr:graphicFrame>
    <xdr:clientData/>
  </xdr:twoCellAnchor>
  <xdr:twoCellAnchor>
    <xdr:from>
      <xdr:col>2</xdr:col>
      <xdr:colOff>853984</xdr:colOff>
      <xdr:row>39</xdr:row>
      <xdr:rowOff>2722</xdr:rowOff>
    </xdr:from>
    <xdr:to>
      <xdr:col>6</xdr:col>
      <xdr:colOff>436914</xdr:colOff>
      <xdr:row>51</xdr:row>
      <xdr:rowOff>171232</xdr:rowOff>
    </xdr:to>
    <xdr:graphicFrame macro="">
      <xdr:nvGraphicFramePr>
        <xdr:cNvPr id="39" name="Gráfico 38">
          <a:extLst>
            <a:ext uri="{FF2B5EF4-FFF2-40B4-BE49-F238E27FC236}">
              <a16:creationId xmlns:a16="http://schemas.microsoft.com/office/drawing/2014/main" id="{D988965D-B9D1-4A99-8695-BBA2EB2CFC49}"/>
            </a:ext>
            <a:ext uri="{147F2762-F138-4A5C-976F-8EAC2B608ADB}">
              <a16:predDERef xmlns:a16="http://schemas.microsoft.com/office/drawing/2014/main" pred="{4FA4E70E-E216-4361-BE38-C41BD1874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2"/>
        </a:graphicData>
      </a:graphic>
    </xdr:graphicFrame>
    <xdr:clientData/>
  </xdr:twoCellAnchor>
  <xdr:twoCellAnchor>
    <xdr:from>
      <xdr:col>3</xdr:col>
      <xdr:colOff>8165</xdr:colOff>
      <xdr:row>51</xdr:row>
      <xdr:rowOff>130085</xdr:rowOff>
    </xdr:from>
    <xdr:to>
      <xdr:col>6</xdr:col>
      <xdr:colOff>467667</xdr:colOff>
      <xdr:row>64</xdr:row>
      <xdr:rowOff>123063</xdr:rowOff>
    </xdr:to>
    <xdr:graphicFrame macro="">
      <xdr:nvGraphicFramePr>
        <xdr:cNvPr id="40" name="Gráfico 39">
          <a:extLst>
            <a:ext uri="{FF2B5EF4-FFF2-40B4-BE49-F238E27FC236}">
              <a16:creationId xmlns:a16="http://schemas.microsoft.com/office/drawing/2014/main" id="{08FC7D20-48D9-4F6C-9772-50CADB65AE6E}"/>
            </a:ext>
            <a:ext uri="{147F2762-F138-4A5C-976F-8EAC2B608ADB}">
              <a16:predDERef xmlns:a16="http://schemas.microsoft.com/office/drawing/2014/main" pred="{4FA4E70E-E216-4361-BE38-C41BD1874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3"/>
        </a:graphicData>
      </a:graphic>
    </xdr:graphicFrame>
    <xdr:clientData/>
  </xdr:twoCellAnchor>
  <xdr:twoCellAnchor>
    <xdr:from>
      <xdr:col>2</xdr:col>
      <xdr:colOff>857250</xdr:colOff>
      <xdr:row>64</xdr:row>
      <xdr:rowOff>74567</xdr:rowOff>
    </xdr:from>
    <xdr:to>
      <xdr:col>6</xdr:col>
      <xdr:colOff>440180</xdr:colOff>
      <xdr:row>76</xdr:row>
      <xdr:rowOff>178035</xdr:rowOff>
    </xdr:to>
    <xdr:graphicFrame macro="">
      <xdr:nvGraphicFramePr>
        <xdr:cNvPr id="41" name="Gráfico 40">
          <a:extLst>
            <a:ext uri="{FF2B5EF4-FFF2-40B4-BE49-F238E27FC236}">
              <a16:creationId xmlns:a16="http://schemas.microsoft.com/office/drawing/2014/main" id="{8FF44D23-6389-403D-898A-C9FD5E0D6960}"/>
            </a:ext>
            <a:ext uri="{147F2762-F138-4A5C-976F-8EAC2B608ADB}">
              <a16:predDERef xmlns:a16="http://schemas.microsoft.com/office/drawing/2014/main" pred="{4FA4E70E-E216-4361-BE38-C41BD1874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4"/>
        </a:graphicData>
      </a:graphic>
    </xdr:graphicFrame>
    <xdr:clientData/>
  </xdr:twoCellAnchor>
  <xdr:twoCellAnchor>
    <xdr:from>
      <xdr:col>6</xdr:col>
      <xdr:colOff>428625</xdr:colOff>
      <xdr:row>51</xdr:row>
      <xdr:rowOff>123825</xdr:rowOff>
    </xdr:from>
    <xdr:to>
      <xdr:col>9</xdr:col>
      <xdr:colOff>924050</xdr:colOff>
      <xdr:row>64</xdr:row>
      <xdr:rowOff>124423</xdr:rowOff>
    </xdr:to>
    <xdr:graphicFrame macro="">
      <xdr:nvGraphicFramePr>
        <xdr:cNvPr id="42" name="Gráfico 41">
          <a:extLst>
            <a:ext uri="{FF2B5EF4-FFF2-40B4-BE49-F238E27FC236}">
              <a16:creationId xmlns:a16="http://schemas.microsoft.com/office/drawing/2014/main" id="{98A4E805-666D-43D0-A25C-6E4DB54A8503}"/>
            </a:ext>
            <a:ext uri="{147F2762-F138-4A5C-976F-8EAC2B608ADB}">
              <a16:predDERef xmlns:a16="http://schemas.microsoft.com/office/drawing/2014/main" pred="{4FA4E70E-E216-4361-BE38-C41BD1874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5"/>
        </a:graphicData>
      </a:graphic>
    </xdr:graphicFrame>
    <xdr:clientData/>
  </xdr:twoCellAnchor>
  <xdr:twoCellAnchor>
    <xdr:from>
      <xdr:col>6</xdr:col>
      <xdr:colOff>447675</xdr:colOff>
      <xdr:row>64</xdr:row>
      <xdr:rowOff>57150</xdr:rowOff>
    </xdr:from>
    <xdr:to>
      <xdr:col>9</xdr:col>
      <xdr:colOff>943100</xdr:colOff>
      <xdr:row>76</xdr:row>
      <xdr:rowOff>149188</xdr:rowOff>
    </xdr:to>
    <xdr:graphicFrame macro="">
      <xdr:nvGraphicFramePr>
        <xdr:cNvPr id="43" name="Gráfico 42">
          <a:extLst>
            <a:ext uri="{FF2B5EF4-FFF2-40B4-BE49-F238E27FC236}">
              <a16:creationId xmlns:a16="http://schemas.microsoft.com/office/drawing/2014/main" id="{66C3AE30-6175-4DDF-A2AD-4A6EAA43D70D}"/>
            </a:ext>
            <a:ext uri="{147F2762-F138-4A5C-976F-8EAC2B608ADB}">
              <a16:predDERef xmlns:a16="http://schemas.microsoft.com/office/drawing/2014/main" pred="{4FA4E70E-E216-4361-BE38-C41BD1874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6"/>
        </a:graphicData>
      </a:graphic>
    </xdr:graphicFrame>
    <xdr:clientData/>
  </xdr:twoCellAnchor>
  <xdr:twoCellAnchor>
    <xdr:from>
      <xdr:col>9</xdr:col>
      <xdr:colOff>894262</xdr:colOff>
      <xdr:row>39</xdr:row>
      <xdr:rowOff>545</xdr:rowOff>
    </xdr:from>
    <xdr:to>
      <xdr:col>14</xdr:col>
      <xdr:colOff>151437</xdr:colOff>
      <xdr:row>52</xdr:row>
      <xdr:rowOff>3592</xdr:rowOff>
    </xdr:to>
    <xdr:graphicFrame macro="">
      <xdr:nvGraphicFramePr>
        <xdr:cNvPr id="44" name="Gráfico 43">
          <a:extLst>
            <a:ext uri="{FF2B5EF4-FFF2-40B4-BE49-F238E27FC236}">
              <a16:creationId xmlns:a16="http://schemas.microsoft.com/office/drawing/2014/main" id="{951CA597-F2E1-4898-8BEC-1988048BF8E3}"/>
            </a:ext>
            <a:ext uri="{147F2762-F138-4A5C-976F-8EAC2B608ADB}">
              <a16:predDERef xmlns:a16="http://schemas.microsoft.com/office/drawing/2014/main" pred="{4FA4E70E-E216-4361-BE38-C41BD1874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7"/>
        </a:graphicData>
      </a:graphic>
    </xdr:graphicFrame>
    <xdr:clientData/>
  </xdr:twoCellAnchor>
  <xdr:twoCellAnchor>
    <xdr:from>
      <xdr:col>9</xdr:col>
      <xdr:colOff>911951</xdr:colOff>
      <xdr:row>51</xdr:row>
      <xdr:rowOff>117838</xdr:rowOff>
    </xdr:from>
    <xdr:to>
      <xdr:col>14</xdr:col>
      <xdr:colOff>178651</xdr:colOff>
      <xdr:row>64</xdr:row>
      <xdr:rowOff>122246</xdr:rowOff>
    </xdr:to>
    <xdr:graphicFrame macro="">
      <xdr:nvGraphicFramePr>
        <xdr:cNvPr id="45" name="Gráfico 44">
          <a:extLst>
            <a:ext uri="{FF2B5EF4-FFF2-40B4-BE49-F238E27FC236}">
              <a16:creationId xmlns:a16="http://schemas.microsoft.com/office/drawing/2014/main" id="{F1C539D6-E366-41FA-A7CE-36C36639EA43}"/>
            </a:ext>
            <a:ext uri="{147F2762-F138-4A5C-976F-8EAC2B608ADB}">
              <a16:predDERef xmlns:a16="http://schemas.microsoft.com/office/drawing/2014/main" pred="{4FA4E70E-E216-4361-BE38-C41BD1874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8"/>
        </a:graphicData>
      </a:graphic>
    </xdr:graphicFrame>
    <xdr:clientData/>
  </xdr:twoCellAnchor>
  <xdr:twoCellAnchor>
    <xdr:from>
      <xdr:col>14</xdr:col>
      <xdr:colOff>75384</xdr:colOff>
      <xdr:row>39</xdr:row>
      <xdr:rowOff>10886</xdr:rowOff>
    </xdr:from>
    <xdr:to>
      <xdr:col>18</xdr:col>
      <xdr:colOff>399359</xdr:colOff>
      <xdr:row>52</xdr:row>
      <xdr:rowOff>6313</xdr:rowOff>
    </xdr:to>
    <xdr:graphicFrame macro="">
      <xdr:nvGraphicFramePr>
        <xdr:cNvPr id="47" name="Gráfico 46">
          <a:extLst>
            <a:ext uri="{FF2B5EF4-FFF2-40B4-BE49-F238E27FC236}">
              <a16:creationId xmlns:a16="http://schemas.microsoft.com/office/drawing/2014/main" id="{0CA4C87E-D589-49EF-8404-92613ABB4213}"/>
            </a:ext>
            <a:ext uri="{147F2762-F138-4A5C-976F-8EAC2B608ADB}">
              <a16:predDERef xmlns:a16="http://schemas.microsoft.com/office/drawing/2014/main" pred="{4FA4E70E-E216-4361-BE38-C41BD1874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9"/>
        </a:graphicData>
      </a:graphic>
    </xdr:graphicFrame>
    <xdr:clientData/>
  </xdr:twoCellAnchor>
  <xdr:twoCellAnchor>
    <xdr:from>
      <xdr:col>14</xdr:col>
      <xdr:colOff>91440</xdr:colOff>
      <xdr:row>51</xdr:row>
      <xdr:rowOff>77833</xdr:rowOff>
    </xdr:from>
    <xdr:to>
      <xdr:col>18</xdr:col>
      <xdr:colOff>415415</xdr:colOff>
      <xdr:row>64</xdr:row>
      <xdr:rowOff>53666</xdr:rowOff>
    </xdr:to>
    <xdr:graphicFrame macro="">
      <xdr:nvGraphicFramePr>
        <xdr:cNvPr id="48" name="Gráfico 47">
          <a:extLst>
            <a:ext uri="{FF2B5EF4-FFF2-40B4-BE49-F238E27FC236}">
              <a16:creationId xmlns:a16="http://schemas.microsoft.com/office/drawing/2014/main" id="{7470EF46-A1DB-4A39-8331-33361E26CF4E}"/>
            </a:ext>
            <a:ext uri="{147F2762-F138-4A5C-976F-8EAC2B608ADB}">
              <a16:predDERef xmlns:a16="http://schemas.microsoft.com/office/drawing/2014/main" pred="{4FA4E70E-E216-4361-BE38-C41BD1874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0"/>
        </a:graphicData>
      </a:graphic>
    </xdr:graphicFrame>
    <xdr:clientData/>
  </xdr:twoCellAnchor>
  <xdr:twoCellAnchor>
    <xdr:from>
      <xdr:col>18</xdr:col>
      <xdr:colOff>395877</xdr:colOff>
      <xdr:row>38</xdr:row>
      <xdr:rowOff>204833</xdr:rowOff>
    </xdr:from>
    <xdr:to>
      <xdr:col>22</xdr:col>
      <xdr:colOff>746795</xdr:colOff>
      <xdr:row>51</xdr:row>
      <xdr:rowOff>158985</xdr:rowOff>
    </xdr:to>
    <xdr:graphicFrame macro="">
      <xdr:nvGraphicFramePr>
        <xdr:cNvPr id="49" name="Gráfico 48">
          <a:extLst>
            <a:ext uri="{FF2B5EF4-FFF2-40B4-BE49-F238E27FC236}">
              <a16:creationId xmlns:a16="http://schemas.microsoft.com/office/drawing/2014/main" id="{800E40E9-09C6-454E-88C0-DB55AE82C7B9}"/>
            </a:ext>
            <a:ext uri="{147F2762-F138-4A5C-976F-8EAC2B608ADB}">
              <a16:predDERef xmlns:a16="http://schemas.microsoft.com/office/drawing/2014/main" pred="{4FA4E70E-E216-4361-BE38-C41BD1874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1"/>
        </a:graphicData>
      </a:graphic>
    </xdr:graphicFrame>
    <xdr:clientData/>
  </xdr:twoCellAnchor>
  <xdr:twoCellAnchor>
    <xdr:from>
      <xdr:col>18</xdr:col>
      <xdr:colOff>409121</xdr:colOff>
      <xdr:row>51</xdr:row>
      <xdr:rowOff>82641</xdr:rowOff>
    </xdr:from>
    <xdr:to>
      <xdr:col>22</xdr:col>
      <xdr:colOff>752419</xdr:colOff>
      <xdr:row>64</xdr:row>
      <xdr:rowOff>50854</xdr:rowOff>
    </xdr:to>
    <xdr:graphicFrame macro="">
      <xdr:nvGraphicFramePr>
        <xdr:cNvPr id="50" name="Gráfico 49">
          <a:extLst>
            <a:ext uri="{FF2B5EF4-FFF2-40B4-BE49-F238E27FC236}">
              <a16:creationId xmlns:a16="http://schemas.microsoft.com/office/drawing/2014/main" id="{ECDCA0F3-D5AC-47F4-9C6A-3DC842E1B7EB}"/>
            </a:ext>
            <a:ext uri="{147F2762-F138-4A5C-976F-8EAC2B608ADB}">
              <a16:predDERef xmlns:a16="http://schemas.microsoft.com/office/drawing/2014/main" pred="{4FA4E70E-E216-4361-BE38-C41BD1874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2"/>
        </a:graphicData>
      </a:graphic>
    </xdr:graphicFrame>
    <xdr:clientData/>
  </xdr:twoCellAnchor>
  <xdr:twoCellAnchor>
    <xdr:from>
      <xdr:col>22</xdr:col>
      <xdr:colOff>657226</xdr:colOff>
      <xdr:row>38</xdr:row>
      <xdr:rowOff>204742</xdr:rowOff>
    </xdr:from>
    <xdr:to>
      <xdr:col>27</xdr:col>
      <xdr:colOff>239883</xdr:colOff>
      <xdr:row>51</xdr:row>
      <xdr:rowOff>147464</xdr:rowOff>
    </xdr:to>
    <xdr:graphicFrame macro="">
      <xdr:nvGraphicFramePr>
        <xdr:cNvPr id="52" name="Gráfico 51">
          <a:extLst>
            <a:ext uri="{FF2B5EF4-FFF2-40B4-BE49-F238E27FC236}">
              <a16:creationId xmlns:a16="http://schemas.microsoft.com/office/drawing/2014/main" id="{10786DC3-2865-42F0-978D-0EF733A5FF6C}"/>
            </a:ext>
            <a:ext uri="{147F2762-F138-4A5C-976F-8EAC2B608ADB}">
              <a16:predDERef xmlns:a16="http://schemas.microsoft.com/office/drawing/2014/main" pred="{4FA4E70E-E216-4361-BE38-C41BD1874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3"/>
        </a:graphicData>
      </a:graphic>
    </xdr:graphicFrame>
    <xdr:clientData/>
  </xdr:twoCellAnchor>
  <xdr:twoCellAnchor>
    <xdr:from>
      <xdr:col>22</xdr:col>
      <xdr:colOff>687434</xdr:colOff>
      <xdr:row>51</xdr:row>
      <xdr:rowOff>53340</xdr:rowOff>
    </xdr:from>
    <xdr:to>
      <xdr:col>27</xdr:col>
      <xdr:colOff>270091</xdr:colOff>
      <xdr:row>64</xdr:row>
      <xdr:rowOff>29173</xdr:rowOff>
    </xdr:to>
    <xdr:graphicFrame macro="">
      <xdr:nvGraphicFramePr>
        <xdr:cNvPr id="53" name="Gráfico 52">
          <a:extLst>
            <a:ext uri="{FF2B5EF4-FFF2-40B4-BE49-F238E27FC236}">
              <a16:creationId xmlns:a16="http://schemas.microsoft.com/office/drawing/2014/main" id="{F5DF2750-5BD0-4585-8273-4F967965A651}"/>
            </a:ext>
            <a:ext uri="{147F2762-F138-4A5C-976F-8EAC2B608ADB}">
              <a16:predDERef xmlns:a16="http://schemas.microsoft.com/office/drawing/2014/main" pred="{4FA4E70E-E216-4361-BE38-C41BD1874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4"/>
        </a:graphicData>
      </a:graphic>
    </xdr:graphicFrame>
    <xdr:clientData/>
  </xdr:twoCellAnchor>
  <xdr:twoCellAnchor>
    <xdr:from>
      <xdr:col>27</xdr:col>
      <xdr:colOff>190500</xdr:colOff>
      <xdr:row>39</xdr:row>
      <xdr:rowOff>47898</xdr:rowOff>
    </xdr:from>
    <xdr:to>
      <xdr:col>31</xdr:col>
      <xdr:colOff>548765</xdr:colOff>
      <xdr:row>52</xdr:row>
      <xdr:rowOff>37610</xdr:rowOff>
    </xdr:to>
    <xdr:graphicFrame macro="">
      <xdr:nvGraphicFramePr>
        <xdr:cNvPr id="67" name="Gráfico 66">
          <a:extLst>
            <a:ext uri="{FF2B5EF4-FFF2-40B4-BE49-F238E27FC236}">
              <a16:creationId xmlns:a16="http://schemas.microsoft.com/office/drawing/2014/main" id="{722833A2-A477-4443-9C58-4414714B7ACB}"/>
            </a:ext>
            <a:ext uri="{147F2762-F138-4A5C-976F-8EAC2B608ADB}">
              <a16:predDERef xmlns:a16="http://schemas.microsoft.com/office/drawing/2014/main" pred="{4FA4E70E-E216-4361-BE38-C41BD1874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561065</xdr:colOff>
      <xdr:row>0</xdr:row>
      <xdr:rowOff>76812</xdr:rowOff>
    </xdr:from>
    <xdr:to>
      <xdr:col>11</xdr:col>
      <xdr:colOff>484865</xdr:colOff>
      <xdr:row>14</xdr:row>
      <xdr:rowOff>153012</xdr:rowOff>
    </xdr:to>
    <xdr:graphicFrame macro="">
      <xdr:nvGraphicFramePr>
        <xdr:cNvPr id="2" name="Gráfico 1">
          <a:extLst>
            <a:ext uri="{FF2B5EF4-FFF2-40B4-BE49-F238E27FC236}">
              <a16:creationId xmlns:a16="http://schemas.microsoft.com/office/drawing/2014/main" id="{5107B04E-0CF0-4633-99AF-B84F68896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ropbox\PLANMICC2050_compartido%20con%20equipo\OSeMOSYS\1_Modelacion%20USCUSS%20y%20Agricultura\Plantillas%20Agricultura%20y%20USCUSS%20Versi&#243;n%2011%20Final\2_Plantilla%20para%20datos%20iniciales%20ELENA-OSeMOSYS_V16.xlsx" TargetMode="External"/><Relationship Id="rId1" Type="http://schemas.openxmlformats.org/officeDocument/2006/relationships/externalLinkPath" Target="/Dropbox/PLANMICC2050_compartido%20con%20equipo/OSeMOSYS/1_Modelacion%20USCUSS%20y%20Agricultura/Plantillas%20Agricultura%20y%20USCUSS%20Versi&#243;n%2011%20Final/2_Plantilla%20para%20datos%20iniciales%20ELENA-OSeMOSYS_V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libración-UTCUTS_Osemosys"/>
      <sheetName val="Calibración-UTCUTS2"/>
      <sheetName val="Drivers_macroeconómicos_USCUSS"/>
      <sheetName val="Calibración_BAU_USCUSS"/>
      <sheetName val="Emisiones_USCUSS"/>
      <sheetName val="Costos_USCUSS"/>
      <sheetName val="Beneficios_USCUSS"/>
      <sheetName val="Driver_macroeconómicos_Agricult"/>
      <sheetName val="Calibración-BAU_Agricultura "/>
      <sheetName val="Emisiones_Agricultura"/>
      <sheetName val="Proyecciones BAU - Agricultura"/>
      <sheetName val="Emisiones UTCUTS-OseMOSYS"/>
      <sheetName val="Costos_Agricultura"/>
      <sheetName val="Gráficos Agricultura-OseMOSYS"/>
      <sheetName val="Gráficos UTCUTS-OseMOSYS"/>
      <sheetName val="Drivers Económicos"/>
    </sheetNames>
    <sheetDataSet>
      <sheetData sheetId="0"/>
      <sheetData sheetId="1"/>
      <sheetData sheetId="2"/>
      <sheetData sheetId="3"/>
      <sheetData sheetId="4"/>
      <sheetData sheetId="5"/>
      <sheetData sheetId="6"/>
      <sheetData sheetId="7"/>
      <sheetData sheetId="8">
        <row r="1">
          <cell r="O1">
            <v>2018</v>
          </cell>
          <cell r="P1">
            <v>2019</v>
          </cell>
          <cell r="Q1">
            <v>2020</v>
          </cell>
          <cell r="R1">
            <v>2021</v>
          </cell>
          <cell r="S1">
            <v>2022</v>
          </cell>
          <cell r="T1">
            <v>2023</v>
          </cell>
          <cell r="U1">
            <v>2024</v>
          </cell>
          <cell r="V1">
            <v>2025</v>
          </cell>
          <cell r="W1">
            <v>2026</v>
          </cell>
          <cell r="X1">
            <v>2027</v>
          </cell>
          <cell r="Y1">
            <v>2028</v>
          </cell>
          <cell r="Z1">
            <v>2029</v>
          </cell>
          <cell r="AA1">
            <v>2030</v>
          </cell>
          <cell r="AB1">
            <v>2031</v>
          </cell>
          <cell r="AC1">
            <v>2032</v>
          </cell>
          <cell r="AD1">
            <v>2033</v>
          </cell>
          <cell r="AE1">
            <v>2034</v>
          </cell>
          <cell r="AF1">
            <v>2035</v>
          </cell>
          <cell r="AG1">
            <v>2036</v>
          </cell>
          <cell r="AH1">
            <v>2037</v>
          </cell>
          <cell r="AI1">
            <v>2038</v>
          </cell>
          <cell r="AJ1">
            <v>2039</v>
          </cell>
          <cell r="AK1">
            <v>2040</v>
          </cell>
          <cell r="AL1">
            <v>2041</v>
          </cell>
          <cell r="AM1">
            <v>2042</v>
          </cell>
          <cell r="AN1">
            <v>2043</v>
          </cell>
          <cell r="AO1">
            <v>2044</v>
          </cell>
          <cell r="AP1">
            <v>2045</v>
          </cell>
          <cell r="AQ1">
            <v>2046</v>
          </cell>
          <cell r="AR1">
            <v>2047</v>
          </cell>
          <cell r="AS1">
            <v>2048</v>
          </cell>
          <cell r="AT1">
            <v>2049</v>
          </cell>
          <cell r="AU1">
            <v>2050</v>
          </cell>
          <cell r="AV1">
            <v>2051</v>
          </cell>
          <cell r="AW1">
            <v>2052</v>
          </cell>
          <cell r="AX1">
            <v>2053</v>
          </cell>
          <cell r="AY1">
            <v>2054</v>
          </cell>
          <cell r="AZ1">
            <v>2055</v>
          </cell>
          <cell r="BA1">
            <v>2056</v>
          </cell>
          <cell r="BB1">
            <v>2057</v>
          </cell>
          <cell r="BC1">
            <v>2058</v>
          </cell>
          <cell r="BD1">
            <v>2059</v>
          </cell>
          <cell r="BE1">
            <v>2060</v>
          </cell>
          <cell r="BF1">
            <v>2061</v>
          </cell>
          <cell r="BG1">
            <v>2062</v>
          </cell>
          <cell r="BH1">
            <v>2063</v>
          </cell>
          <cell r="BI1">
            <v>2064</v>
          </cell>
          <cell r="BJ1">
            <v>2065</v>
          </cell>
          <cell r="BK1">
            <v>2066</v>
          </cell>
          <cell r="BL1">
            <v>2067</v>
          </cell>
          <cell r="BM1">
            <v>2068</v>
          </cell>
          <cell r="BN1">
            <v>2069</v>
          </cell>
          <cell r="BO1">
            <v>2070</v>
          </cell>
        </row>
        <row r="189">
          <cell r="O189">
            <v>0</v>
          </cell>
          <cell r="P189">
            <v>0</v>
          </cell>
          <cell r="Q189">
            <v>0</v>
          </cell>
          <cell r="R189">
            <v>2.2309075800000001E-5</v>
          </cell>
          <cell r="S189">
            <v>2.5903107060609624E-5</v>
          </cell>
          <cell r="T189">
            <v>2.8321676325894041E-5</v>
          </cell>
          <cell r="U189">
            <v>3.0740245591178464E-5</v>
          </cell>
          <cell r="V189">
            <v>3.315881485646288E-5</v>
          </cell>
          <cell r="W189">
            <v>3.5577384121747297E-5</v>
          </cell>
          <cell r="X189">
            <v>3.7995953387031713E-5</v>
          </cell>
          <cell r="Y189">
            <v>4.041452265231613E-5</v>
          </cell>
          <cell r="Z189">
            <v>4.2833091917600553E-5</v>
          </cell>
          <cell r="AA189">
            <v>4.525166118288497E-5</v>
          </cell>
          <cell r="AB189">
            <v>4.7670230448169386E-5</v>
          </cell>
          <cell r="AC189">
            <v>5.0088799713453803E-5</v>
          </cell>
          <cell r="AD189">
            <v>5.2507368978738219E-5</v>
          </cell>
          <cell r="AE189">
            <v>5.4925938244022643E-5</v>
          </cell>
          <cell r="AF189">
            <v>5.7344507509307059E-5</v>
          </cell>
          <cell r="AG189">
            <v>5.7593338372823707E-5</v>
          </cell>
          <cell r="AH189">
            <v>5.9448069712726169E-5</v>
          </cell>
          <cell r="AI189">
            <v>6.1090153562270294E-5</v>
          </cell>
          <cell r="AJ189">
            <v>6.2640575758913185E-5</v>
          </cell>
          <cell r="AK189">
            <v>6.3929778116376227E-5</v>
          </cell>
          <cell r="AL189">
            <v>6.5264689162486468E-5</v>
          </cell>
          <cell r="AM189">
            <v>6.6845299230677171E-5</v>
          </cell>
          <cell r="AN189">
            <v>6.8043918163981923E-5</v>
          </cell>
          <cell r="AO189">
            <v>6.9514275660955527E-5</v>
          </cell>
          <cell r="AP189">
            <v>7.0778690862309491E-5</v>
          </cell>
          <cell r="AQ189">
            <v>7.239281462488554E-5</v>
          </cell>
          <cell r="AR189">
            <v>7.3750231672348437E-5</v>
          </cell>
          <cell r="AS189">
            <v>7.5071754896621762E-5</v>
          </cell>
          <cell r="AT189">
            <v>7.6435376384587867E-5</v>
          </cell>
          <cell r="AU189">
            <v>7.7812323972122383E-5</v>
          </cell>
          <cell r="AV189">
            <v>7.9381427251455329E-5</v>
          </cell>
          <cell r="AW189">
            <v>8.0812392525965153E-5</v>
          </cell>
          <cell r="AX189">
            <v>8.2239722473858391E-5</v>
          </cell>
          <cell r="AY189">
            <v>8.3712722668350672E-5</v>
          </cell>
          <cell r="AZ189">
            <v>8.5200633940132821E-5</v>
          </cell>
          <cell r="BA189">
            <v>8.6730348224462278E-5</v>
          </cell>
          <cell r="BB189">
            <v>8.8211820822894137E-5</v>
          </cell>
          <cell r="BC189">
            <v>8.9706864386417489E-5</v>
          </cell>
          <cell r="BD189">
            <v>9.1215718569242235E-5</v>
          </cell>
          <cell r="BE189">
            <v>9.2731592527329072E-5</v>
          </cell>
          <cell r="BF189">
            <v>9.4247882882711771E-5</v>
          </cell>
          <cell r="BG189">
            <v>9.5768391180017884E-5</v>
          </cell>
          <cell r="BH189">
            <v>9.72946850972672E-5</v>
          </cell>
          <cell r="BI189">
            <v>9.8827126400375566E-5</v>
          </cell>
          <cell r="BJ189">
            <v>1.0036129781514986E-4</v>
          </cell>
          <cell r="BK189">
            <v>1.0189675911384107E-4</v>
          </cell>
          <cell r="BL189">
            <v>1.0343132672727499E-4</v>
          </cell>
          <cell r="BM189">
            <v>1.0496797685987317E-4</v>
          </cell>
          <cell r="BN189">
            <v>1.0650548935629744E-4</v>
          </cell>
          <cell r="BO189">
            <v>1.080426763234647E-4</v>
          </cell>
        </row>
        <row r="190">
          <cell r="O190">
            <v>5.94E-5</v>
          </cell>
          <cell r="P190">
            <v>5.94E-5</v>
          </cell>
          <cell r="Q190">
            <v>1.5502266450000002E-5</v>
          </cell>
          <cell r="R190">
            <v>1.485E-5</v>
          </cell>
          <cell r="S190">
            <v>1.7242361059620985E-5</v>
          </cell>
          <cell r="T190">
            <v>1.8852277755025894E-5</v>
          </cell>
          <cell r="U190">
            <v>2.0462194450430802E-5</v>
          </cell>
          <cell r="V190">
            <v>2.2072111145835711E-5</v>
          </cell>
          <cell r="W190">
            <v>2.3682027841240619E-5</v>
          </cell>
          <cell r="X190">
            <v>2.5291944536645524E-5</v>
          </cell>
          <cell r="Y190">
            <v>2.6901861232050436E-5</v>
          </cell>
          <cell r="Z190">
            <v>2.8511777927455345E-5</v>
          </cell>
          <cell r="AA190">
            <v>3.0121694622860254E-5</v>
          </cell>
          <cell r="AB190">
            <v>3.1731611318265159E-5</v>
          </cell>
          <cell r="AC190">
            <v>3.3341528013670064E-5</v>
          </cell>
          <cell r="AD190">
            <v>3.4951444709074976E-5</v>
          </cell>
          <cell r="AE190">
            <v>3.6561361404479888E-5</v>
          </cell>
          <cell r="AF190">
            <v>3.8171278099884793E-5</v>
          </cell>
          <cell r="AG190">
            <v>3.8336911959231947E-5</v>
          </cell>
          <cell r="AH190">
            <v>3.9571510857208326E-5</v>
          </cell>
          <cell r="AI190">
            <v>4.0664561299294786E-5</v>
          </cell>
          <cell r="AJ190">
            <v>4.169659731129968E-5</v>
          </cell>
          <cell r="AK190">
            <v>4.2554752762469301E-5</v>
          </cell>
          <cell r="AL190">
            <v>4.3443334127849626E-5</v>
          </cell>
          <cell r="AM190">
            <v>4.4495464647421931E-5</v>
          </cell>
          <cell r="AN190">
            <v>4.5293323389717994E-5</v>
          </cell>
          <cell r="AO190">
            <v>4.6272064464687047E-5</v>
          </cell>
          <cell r="AP190">
            <v>4.7113720385731808E-5</v>
          </cell>
          <cell r="AQ190">
            <v>4.8188159241430812E-5</v>
          </cell>
          <cell r="AR190">
            <v>4.9091721689984779E-5</v>
          </cell>
          <cell r="AS190">
            <v>4.9971391473546986E-5</v>
          </cell>
          <cell r="AT190">
            <v>5.0879083897824674E-5</v>
          </cell>
          <cell r="AU190">
            <v>5.1795646818592896E-5</v>
          </cell>
          <cell r="AV190">
            <v>5.2840117862888431E-5</v>
          </cell>
          <cell r="AW190">
            <v>5.3792637569082215E-5</v>
          </cell>
          <cell r="AX190">
            <v>5.4742737426029879E-5</v>
          </cell>
          <cell r="AY190">
            <v>5.5723237608301451E-5</v>
          </cell>
          <cell r="AZ190">
            <v>5.6713663324904421E-5</v>
          </cell>
          <cell r="BA190">
            <v>5.7731915148778379E-5</v>
          </cell>
          <cell r="BB190">
            <v>5.8718054972944161E-5</v>
          </cell>
          <cell r="BC190">
            <v>5.9713228287937411E-5</v>
          </cell>
          <cell r="BD190">
            <v>6.0717594619192943E-5</v>
          </cell>
          <cell r="BE190">
            <v>6.1726633652427551E-5</v>
          </cell>
          <cell r="BF190">
            <v>6.2735949859844494E-5</v>
          </cell>
          <cell r="BG190">
            <v>6.3748073733438395E-5</v>
          </cell>
          <cell r="BH190">
            <v>6.4764048795531843E-5</v>
          </cell>
          <cell r="BI190">
            <v>6.5784115855017981E-5</v>
          </cell>
          <cell r="BJ190">
            <v>6.6805334560518918E-5</v>
          </cell>
          <cell r="BK190">
            <v>6.7827411875149966E-5</v>
          </cell>
          <cell r="BL190">
            <v>6.8848894309643906E-5</v>
          </cell>
          <cell r="BM190">
            <v>6.9871762969630396E-5</v>
          </cell>
          <cell r="BN190">
            <v>7.089520566069429E-5</v>
          </cell>
          <cell r="BO190">
            <v>7.1918431663738023E-5</v>
          </cell>
        </row>
        <row r="191">
          <cell r="O191">
            <v>1.2549685804750004E-2</v>
          </cell>
          <cell r="P191">
            <v>5.1538124631200135E-3</v>
          </cell>
          <cell r="Q191">
            <v>8.488391902630012E-3</v>
          </cell>
          <cell r="R191">
            <v>9.1421000816264107E-3</v>
          </cell>
          <cell r="S191">
            <v>1.0614908447851384E-2</v>
          </cell>
          <cell r="T191">
            <v>1.2511163015073937E-2</v>
          </cell>
          <cell r="U191">
            <v>1.4407417582296491E-2</v>
          </cell>
          <cell r="V191">
            <v>1.6303672149519045E-2</v>
          </cell>
          <cell r="W191">
            <v>1.8199926716741598E-2</v>
          </cell>
          <cell r="X191">
            <v>2.0096181283964155E-2</v>
          </cell>
          <cell r="Y191">
            <v>2.1992435851186709E-2</v>
          </cell>
          <cell r="Z191">
            <v>2.3888690418409263E-2</v>
          </cell>
          <cell r="AA191">
            <v>2.5784944985631816E-2</v>
          </cell>
          <cell r="AB191">
            <v>2.768119955285437E-2</v>
          </cell>
          <cell r="AC191">
            <v>2.9577454120076924E-2</v>
          </cell>
          <cell r="AD191">
            <v>3.147370868729947E-2</v>
          </cell>
          <cell r="AE191">
            <v>3.3369963254522031E-2</v>
          </cell>
          <cell r="AF191">
            <v>3.5266217821744585E-2</v>
          </cell>
          <cell r="AG191">
            <v>3.7898593181122681E-2</v>
          </cell>
          <cell r="AH191">
            <v>4.1857411850332212E-2</v>
          </cell>
          <cell r="AI191">
            <v>4.6024556072443684E-2</v>
          </cell>
          <cell r="AJ191">
            <v>5.049610845521426E-2</v>
          </cell>
          <cell r="AK191">
            <v>5.5142841809537192E-2</v>
          </cell>
          <cell r="AL191">
            <v>6.0234872915438456E-2</v>
          </cell>
          <cell r="AM191">
            <v>6.6012225396783891E-2</v>
          </cell>
          <cell r="AN191">
            <v>7.1899619725329794E-2</v>
          </cell>
          <cell r="AO191">
            <v>7.8595025518689257E-2</v>
          </cell>
          <cell r="AP191">
            <v>8.5626336014043403E-2</v>
          </cell>
          <cell r="AQ191">
            <v>9.3709598074946374E-2</v>
          </cell>
          <cell r="AR191">
            <v>0.10214939046125175</v>
          </cell>
          <cell r="AS191">
            <v>0.11125838112954865</v>
          </cell>
          <cell r="AT191">
            <v>0.12120885660309563</v>
          </cell>
          <cell r="AU191">
            <v>0.13202984394024397</v>
          </cell>
          <cell r="AV191">
            <v>0.14412071380112826</v>
          </cell>
          <cell r="AW191">
            <v>0.15698900744100597</v>
          </cell>
          <cell r="AX191">
            <v>0.17094511423101158</v>
          </cell>
          <cell r="AY191">
            <v>0.18618740608878576</v>
          </cell>
          <cell r="AZ191">
            <v>0.20276147330447661</v>
          </cell>
          <cell r="BA191">
            <v>0.22085003877386752</v>
          </cell>
          <cell r="BB191">
            <v>0.24034603064817037</v>
          </cell>
          <cell r="BC191">
            <v>0.26152886060349323</v>
          </cell>
          <cell r="BD191">
            <v>0.28454267270839562</v>
          </cell>
          <cell r="BE191">
            <v>0.30952035776110742</v>
          </cell>
          <cell r="BF191">
            <v>0.33660214676945993</v>
          </cell>
          <cell r="BG191">
            <v>0.36597485517256212</v>
          </cell>
          <cell r="BH191">
            <v>0.3978340493998947</v>
          </cell>
          <cell r="BI191">
            <v>0.43238714999086264</v>
          </cell>
          <cell r="BJ191">
            <v>0.46983639725375814</v>
          </cell>
          <cell r="BK191">
            <v>0.51041630332245547</v>
          </cell>
          <cell r="BL191">
            <v>0.55437040792704462</v>
          </cell>
          <cell r="BM191">
            <v>0.60198899049064547</v>
          </cell>
          <cell r="BN191">
            <v>0.65356305144609084</v>
          </cell>
          <cell r="BO191">
            <v>0.70940559746467269</v>
          </cell>
        </row>
        <row r="192">
          <cell r="O192">
            <v>3.8495490626339994E-2</v>
          </cell>
          <cell r="P192">
            <v>2.8920761788049996E-2</v>
          </cell>
          <cell r="Q192">
            <v>2.7924159298860003E-2</v>
          </cell>
          <cell r="R192">
            <v>3.914996472684E-2</v>
          </cell>
          <cell r="S192">
            <v>4.5457092746909171E-2</v>
          </cell>
          <cell r="T192">
            <v>4.6578354144663429E-2</v>
          </cell>
          <cell r="U192">
            <v>4.7699615542417681E-2</v>
          </cell>
          <cell r="V192">
            <v>4.8820876940171939E-2</v>
          </cell>
          <cell r="W192">
            <v>4.9942138337926198E-2</v>
          </cell>
          <cell r="X192">
            <v>5.1063399735680456E-2</v>
          </cell>
          <cell r="Y192">
            <v>5.2184661133434708E-2</v>
          </cell>
          <cell r="Z192">
            <v>5.3305922531188966E-2</v>
          </cell>
          <cell r="AA192">
            <v>5.4427183928943218E-2</v>
          </cell>
          <cell r="AB192">
            <v>5.5548445326697476E-2</v>
          </cell>
          <cell r="AC192">
            <v>5.6669706724451735E-2</v>
          </cell>
          <cell r="AD192">
            <v>5.7790968122205993E-2</v>
          </cell>
          <cell r="AE192">
            <v>5.8912229519960245E-2</v>
          </cell>
          <cell r="AF192">
            <v>6.0033490917714503E-2</v>
          </cell>
          <cell r="AG192">
            <v>5.9973457426796786E-2</v>
          </cell>
          <cell r="AH192">
            <v>5.9913483969369991E-2</v>
          </cell>
          <cell r="AI192">
            <v>5.9853570485400617E-2</v>
          </cell>
          <cell r="AJ192">
            <v>5.9793716914915217E-2</v>
          </cell>
          <cell r="AK192">
            <v>5.9733923198000305E-2</v>
          </cell>
          <cell r="AL192">
            <v>5.9674189274802301E-2</v>
          </cell>
          <cell r="AM192">
            <v>5.9614515085527502E-2</v>
          </cell>
          <cell r="AN192">
            <v>5.9554900570441972E-2</v>
          </cell>
          <cell r="AO192">
            <v>5.9495345669871531E-2</v>
          </cell>
          <cell r="AP192">
            <v>5.9435850324201657E-2</v>
          </cell>
          <cell r="AQ192">
            <v>5.9376414473877454E-2</v>
          </cell>
          <cell r="AR192">
            <v>5.9317038059403575E-2</v>
          </cell>
          <cell r="AS192">
            <v>5.9257721021344169E-2</v>
          </cell>
          <cell r="AT192">
            <v>5.9198463300322822E-2</v>
          </cell>
          <cell r="AU192">
            <v>5.9139264837022497E-2</v>
          </cell>
          <cell r="AV192">
            <v>5.9080125572185477E-2</v>
          </cell>
          <cell r="AW192">
            <v>5.9021045446613289E-2</v>
          </cell>
          <cell r="AX192">
            <v>5.8962024401166678E-2</v>
          </cell>
          <cell r="AY192">
            <v>5.8903062376765514E-2</v>
          </cell>
          <cell r="AZ192">
            <v>5.8844159314388751E-2</v>
          </cell>
          <cell r="BA192">
            <v>5.8785315155074361E-2</v>
          </cell>
          <cell r="BB192">
            <v>5.8726529839919286E-2</v>
          </cell>
          <cell r="BC192">
            <v>5.8667803310079369E-2</v>
          </cell>
          <cell r="BD192">
            <v>5.8609135506769293E-2</v>
          </cell>
          <cell r="BE192">
            <v>5.8550526371262526E-2</v>
          </cell>
          <cell r="BF192">
            <v>5.8491975844891263E-2</v>
          </cell>
          <cell r="BG192">
            <v>5.8433483869046371E-2</v>
          </cell>
          <cell r="BH192">
            <v>5.8375050385177325E-2</v>
          </cell>
          <cell r="BI192">
            <v>5.8316675334792151E-2</v>
          </cell>
          <cell r="BJ192">
            <v>5.825835865945736E-2</v>
          </cell>
          <cell r="BK192">
            <v>5.8200100300797905E-2</v>
          </cell>
          <cell r="BL192">
            <v>5.8141900200497108E-2</v>
          </cell>
          <cell r="BM192">
            <v>5.8083758300296613E-2</v>
          </cell>
          <cell r="BN192">
            <v>5.8025674541996315E-2</v>
          </cell>
          <cell r="BO192">
            <v>5.796764886745432E-2</v>
          </cell>
        </row>
        <row r="193">
          <cell r="O193">
            <v>5.6735909999999994E-2</v>
          </cell>
          <cell r="P193">
            <v>2.7309150000000001E-2</v>
          </cell>
          <cell r="Q193">
            <v>4.8787199999999996E-2</v>
          </cell>
          <cell r="R193">
            <v>5.6826000000000002E-2</v>
          </cell>
          <cell r="S193">
            <v>6.5980768321482974E-2</v>
          </cell>
          <cell r="T193">
            <v>7.2141382875899093E-2</v>
          </cell>
          <cell r="U193">
            <v>7.8301997430315212E-2</v>
          </cell>
          <cell r="V193">
            <v>8.4462611984731331E-2</v>
          </cell>
          <cell r="W193">
            <v>9.062322653914745E-2</v>
          </cell>
          <cell r="X193">
            <v>9.6783841093563569E-2</v>
          </cell>
          <cell r="Y193">
            <v>0.10294445564797969</v>
          </cell>
          <cell r="Z193">
            <v>0.10910507020239579</v>
          </cell>
          <cell r="AA193">
            <v>0.11526568475681193</v>
          </cell>
          <cell r="AB193">
            <v>0.12142629931122803</v>
          </cell>
          <cell r="AC193">
            <v>0.12758691386564416</v>
          </cell>
          <cell r="AD193">
            <v>0.13374752842006027</v>
          </cell>
          <cell r="AE193">
            <v>0.1399081429744764</v>
          </cell>
          <cell r="AF193">
            <v>0.14606875752889251</v>
          </cell>
          <cell r="AG193">
            <v>0.14670258309732762</v>
          </cell>
          <cell r="AH193">
            <v>0.15142698154691722</v>
          </cell>
          <cell r="AI193">
            <v>0.15560972123863473</v>
          </cell>
          <cell r="AJ193">
            <v>0.15955897904457345</v>
          </cell>
          <cell r="AK193">
            <v>0.16284285390438252</v>
          </cell>
          <cell r="AL193">
            <v>0.16624315859590455</v>
          </cell>
          <cell r="AM193">
            <v>0.17026931138413456</v>
          </cell>
          <cell r="AN193">
            <v>0.1733224508379875</v>
          </cell>
          <cell r="AO193">
            <v>0.17706776668486907</v>
          </cell>
          <cell r="AP193">
            <v>0.18028850334273366</v>
          </cell>
          <cell r="AQ193">
            <v>0.18440002269720854</v>
          </cell>
          <cell r="AR193">
            <v>0.18785765500034171</v>
          </cell>
          <cell r="AS193">
            <v>0.19122385803877309</v>
          </cell>
          <cell r="AT193">
            <v>0.19469729438234237</v>
          </cell>
          <cell r="AU193">
            <v>0.19820467515914877</v>
          </cell>
          <cell r="AV193">
            <v>0.20220151768865302</v>
          </cell>
          <cell r="AW193">
            <v>0.2058464930976879</v>
          </cell>
          <cell r="AX193">
            <v>0.2094822085502743</v>
          </cell>
          <cell r="AY193">
            <v>0.21323425591443351</v>
          </cell>
          <cell r="AZ193">
            <v>0.21702428498996754</v>
          </cell>
          <cell r="BA193">
            <v>0.22092079530265857</v>
          </cell>
          <cell r="BB193">
            <v>0.22469442369646631</v>
          </cell>
          <cell r="BC193">
            <v>0.22850262024850715</v>
          </cell>
          <cell r="BD193">
            <v>0.23234599540944498</v>
          </cell>
          <cell r="BE193">
            <v>0.23620725144328941</v>
          </cell>
          <cell r="BF193">
            <v>0.24006956813033825</v>
          </cell>
          <cell r="BG193">
            <v>0.24394262881995757</v>
          </cell>
          <cell r="BH193">
            <v>0.24783042672423514</v>
          </cell>
          <cell r="BI193">
            <v>0.25173388333853541</v>
          </cell>
          <cell r="BJ193">
            <v>0.25564174691825231</v>
          </cell>
          <cell r="BK193">
            <v>0.25955289610890714</v>
          </cell>
          <cell r="BL193">
            <v>0.26346176889157058</v>
          </cell>
          <cell r="BM193">
            <v>0.26737594629711886</v>
          </cell>
          <cell r="BN193">
            <v>0.27129232032825668</v>
          </cell>
          <cell r="BO193">
            <v>0.2752078651665707</v>
          </cell>
        </row>
        <row r="194">
          <cell r="O194">
            <v>6.4052071577999992E-3</v>
          </cell>
          <cell r="P194">
            <v>1.8851188069889998E-2</v>
          </cell>
          <cell r="Q194">
            <v>4.9142684843999996E-3</v>
          </cell>
          <cell r="R194">
            <v>1.41248521953E-2</v>
          </cell>
          <cell r="S194">
            <v>1.640039067105338E-2</v>
          </cell>
          <cell r="T194">
            <v>1.7931692716126792E-2</v>
          </cell>
          <cell r="U194">
            <v>1.9462994761200201E-2</v>
          </cell>
          <cell r="V194">
            <v>2.0994296806273613E-2</v>
          </cell>
          <cell r="W194">
            <v>2.2525598851347022E-2</v>
          </cell>
          <cell r="X194">
            <v>2.4056900896420434E-2</v>
          </cell>
          <cell r="Y194">
            <v>2.5588202941493846E-2</v>
          </cell>
          <cell r="Z194">
            <v>2.7119504986567254E-2</v>
          </cell>
          <cell r="AA194">
            <v>2.8650807031640666E-2</v>
          </cell>
          <cell r="AB194">
            <v>3.0182109076714078E-2</v>
          </cell>
          <cell r="AC194">
            <v>3.1713411121787487E-2</v>
          </cell>
          <cell r="AD194">
            <v>3.3244713166860895E-2</v>
          </cell>
          <cell r="AE194">
            <v>3.4776015211934311E-2</v>
          </cell>
          <cell r="AF194">
            <v>3.6307317257007719E-2</v>
          </cell>
          <cell r="AG194">
            <v>3.6464862966220896E-2</v>
          </cell>
          <cell r="AH194">
            <v>3.7639174545641543E-2</v>
          </cell>
          <cell r="AI194">
            <v>3.8678849692879158E-2</v>
          </cell>
          <cell r="AJ194">
            <v>3.9660489836299766E-2</v>
          </cell>
          <cell r="AK194">
            <v>4.0476740267839283E-2</v>
          </cell>
          <cell r="AL194">
            <v>4.1321930870498874E-2</v>
          </cell>
          <cell r="AM194">
            <v>4.2322684276500419E-2</v>
          </cell>
          <cell r="AN194">
            <v>4.308158237802634E-2</v>
          </cell>
          <cell r="AO194">
            <v>4.4012530056235559E-2</v>
          </cell>
          <cell r="AP194">
            <v>4.4813086654488507E-2</v>
          </cell>
          <cell r="AQ194">
            <v>4.5835059047056571E-2</v>
          </cell>
          <cell r="AR194">
            <v>4.6694499184096849E-2</v>
          </cell>
          <cell r="AS194">
            <v>4.7531213370863697E-2</v>
          </cell>
          <cell r="AT194">
            <v>4.8394581810709887E-2</v>
          </cell>
          <cell r="AU194">
            <v>4.9266387587379487E-2</v>
          </cell>
          <cell r="AV194">
            <v>5.0259855541786566E-2</v>
          </cell>
          <cell r="AW194">
            <v>5.1165862280042308E-2</v>
          </cell>
          <cell r="AX194">
            <v>5.2069567333925239E-2</v>
          </cell>
          <cell r="AY194">
            <v>5.3002188219585217E-2</v>
          </cell>
          <cell r="AZ194">
            <v>5.3944249960827036E-2</v>
          </cell>
          <cell r="BA194">
            <v>5.4912779018726994E-2</v>
          </cell>
          <cell r="BB194">
            <v>5.5850764154096746E-2</v>
          </cell>
          <cell r="BC194">
            <v>5.6797341661368558E-2</v>
          </cell>
          <cell r="BD194">
            <v>5.7752663276110651E-2</v>
          </cell>
          <cell r="BE194">
            <v>5.8712429417775783E-2</v>
          </cell>
          <cell r="BF194">
            <v>5.9672459198791612E-2</v>
          </cell>
          <cell r="BG194">
            <v>6.0635159543427859E-2</v>
          </cell>
          <cell r="BH194">
            <v>6.1601523017244739E-2</v>
          </cell>
          <cell r="BI194">
            <v>6.2571778670075434E-2</v>
          </cell>
          <cell r="BJ194">
            <v>6.3543129732316267E-2</v>
          </cell>
          <cell r="BK194">
            <v>6.4515297476513758E-2</v>
          </cell>
          <cell r="BL194">
            <v>6.5486899389464739E-2</v>
          </cell>
          <cell r="BM194">
            <v>6.6459819836435369E-2</v>
          </cell>
          <cell r="BN194">
            <v>6.7433286283683683E-2</v>
          </cell>
          <cell r="BO194">
            <v>6.8406546624113343E-2</v>
          </cell>
        </row>
        <row r="195">
          <cell r="O195">
            <v>3.9607226999999998E-6</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0</v>
          </cell>
          <cell r="BH195">
            <v>0</v>
          </cell>
          <cell r="BI195">
            <v>0</v>
          </cell>
          <cell r="BJ195">
            <v>0</v>
          </cell>
          <cell r="BK195">
            <v>0</v>
          </cell>
          <cell r="BL195">
            <v>0</v>
          </cell>
          <cell r="BM195">
            <v>0</v>
          </cell>
          <cell r="BN195">
            <v>0</v>
          </cell>
          <cell r="BO195">
            <v>0</v>
          </cell>
        </row>
        <row r="196">
          <cell r="O196">
            <v>0</v>
          </cell>
          <cell r="P196">
            <v>3.3937667803175621E-2</v>
          </cell>
          <cell r="Q196">
            <v>3.3177234568879888E-2</v>
          </cell>
          <cell r="R196">
            <v>4.7858902209213905E-2</v>
          </cell>
          <cell r="S196">
            <v>5.5569055340630211E-2</v>
          </cell>
          <cell r="T196">
            <v>6.0757529797893797E-2</v>
          </cell>
          <cell r="U196">
            <v>6.5946004255157398E-2</v>
          </cell>
          <cell r="V196">
            <v>7.1134478712420984E-2</v>
          </cell>
          <cell r="W196">
            <v>7.6322953169684571E-2</v>
          </cell>
          <cell r="X196">
            <v>8.1511427626948157E-2</v>
          </cell>
          <cell r="Y196">
            <v>8.6699902084211744E-2</v>
          </cell>
          <cell r="Z196">
            <v>9.1888376541475331E-2</v>
          </cell>
          <cell r="AA196">
            <v>9.7076850998738931E-2</v>
          </cell>
          <cell r="AB196">
            <v>0.10226532545600253</v>
          </cell>
          <cell r="AC196">
            <v>0.1074537999132661</v>
          </cell>
          <cell r="AD196">
            <v>0.1126422743705297</v>
          </cell>
          <cell r="AE196">
            <v>0.11783074882779329</v>
          </cell>
          <cell r="AF196">
            <v>0.12301922328505688</v>
          </cell>
          <cell r="AG196">
            <v>0.12355303168081648</v>
          </cell>
          <cell r="AH196">
            <v>0.12753192379703565</v>
          </cell>
          <cell r="AI196">
            <v>0.13105463047835242</v>
          </cell>
          <cell r="AJ196">
            <v>0.13438069853053622</v>
          </cell>
          <cell r="AK196">
            <v>0.13714638053847095</v>
          </cell>
          <cell r="AL196">
            <v>0.14001011984289294</v>
          </cell>
          <cell r="AM196">
            <v>0.14340094891006736</v>
          </cell>
          <cell r="AN196">
            <v>0.14597230537635111</v>
          </cell>
          <cell r="AO196">
            <v>0.14912661334908409</v>
          </cell>
          <cell r="AP196">
            <v>0.15183912031333235</v>
          </cell>
          <cell r="AQ196">
            <v>0.15530184517021306</v>
          </cell>
          <cell r="AR196">
            <v>0.15821386583454047</v>
          </cell>
          <cell r="AS196">
            <v>0.1610488846997192</v>
          </cell>
          <cell r="AT196">
            <v>0.16397421553941954</v>
          </cell>
          <cell r="AU196">
            <v>0.16692813440767798</v>
          </cell>
          <cell r="AV196">
            <v>0.1702942783517383</v>
          </cell>
          <cell r="AW196">
            <v>0.17336407952824182</v>
          </cell>
          <cell r="AX196">
            <v>0.17642608196209006</v>
          </cell>
          <cell r="AY196">
            <v>0.179586059224006</v>
          </cell>
          <cell r="AZ196">
            <v>0.18277802471332533</v>
          </cell>
          <cell r="BA196">
            <v>0.18605966878491709</v>
          </cell>
          <cell r="BB196">
            <v>0.18923782160709632</v>
          </cell>
          <cell r="BC196">
            <v>0.1924450877595193</v>
          </cell>
          <cell r="BD196">
            <v>0.19568198136421866</v>
          </cell>
          <cell r="BE196">
            <v>0.19893393425424255</v>
          </cell>
          <cell r="BF196">
            <v>0.20218678042723529</v>
          </cell>
          <cell r="BG196">
            <v>0.20544867520770269</v>
          </cell>
          <cell r="BH196">
            <v>0.20872298168202794</v>
          </cell>
          <cell r="BI196">
            <v>0.21201047593433683</v>
          </cell>
          <cell r="BJ196">
            <v>0.21530168173641018</v>
          </cell>
          <cell r="BK196">
            <v>0.2185956546826178</v>
          </cell>
          <cell r="BL196">
            <v>0.22188771043621205</v>
          </cell>
          <cell r="BM196">
            <v>0.22518423374740149</v>
          </cell>
          <cell r="BN196">
            <v>0.22848260705840226</v>
          </cell>
          <cell r="BO196">
            <v>0.23178028202255008</v>
          </cell>
        </row>
        <row r="197">
          <cell r="O197">
            <v>4.75101E-3</v>
          </cell>
          <cell r="P197">
            <v>3.6936899999999999E-3</v>
          </cell>
          <cell r="Q197">
            <v>6.3013500000000007E-3</v>
          </cell>
          <cell r="R197">
            <v>4.24611E-3</v>
          </cell>
          <cell r="S197">
            <v>4.9301657723142935E-3</v>
          </cell>
          <cell r="T197">
            <v>5.3904946194204039E-3</v>
          </cell>
          <cell r="U197">
            <v>5.8508234665265134E-3</v>
          </cell>
          <cell r="V197">
            <v>6.3111523136326238E-3</v>
          </cell>
          <cell r="W197">
            <v>6.7714811607387342E-3</v>
          </cell>
          <cell r="X197">
            <v>7.2318100078448437E-3</v>
          </cell>
          <cell r="Y197">
            <v>7.6921388549509532E-3</v>
          </cell>
          <cell r="Z197">
            <v>8.1524677020570636E-3</v>
          </cell>
          <cell r="AA197">
            <v>8.612796549163174E-3</v>
          </cell>
          <cell r="AB197">
            <v>9.0731253962692826E-3</v>
          </cell>
          <cell r="AC197">
            <v>9.533454243375393E-3</v>
          </cell>
          <cell r="AD197">
            <v>9.9937830904815034E-3</v>
          </cell>
          <cell r="AE197">
            <v>1.0454111937587614E-2</v>
          </cell>
          <cell r="AF197">
            <v>1.0914440784693724E-2</v>
          </cell>
          <cell r="AG197">
            <v>1.096180102620972E-2</v>
          </cell>
          <cell r="AH197">
            <v>1.1314814004437767E-2</v>
          </cell>
          <cell r="AI197">
            <v>1.1627353560845021E-2</v>
          </cell>
          <cell r="AJ197">
            <v>1.192244705787762E-2</v>
          </cell>
          <cell r="AK197">
            <v>1.216782230654872E-2</v>
          </cell>
          <cell r="AL197">
            <v>1.2421897338289802E-2</v>
          </cell>
          <cell r="AM197">
            <v>1.2722736524852842E-2</v>
          </cell>
          <cell r="AN197">
            <v>1.2950870934566696E-2</v>
          </cell>
          <cell r="AO197">
            <v>1.3230725632602847E-2</v>
          </cell>
          <cell r="AP197">
            <v>1.3471383115626913E-2</v>
          </cell>
          <cell r="AQ197">
            <v>1.3778600999099782E-2</v>
          </cell>
          <cell r="AR197">
            <v>1.4036959621889646E-2</v>
          </cell>
          <cell r="AS197">
            <v>1.4288486535336199E-2</v>
          </cell>
          <cell r="AT197">
            <v>1.4548026055851333E-2</v>
          </cell>
          <cell r="AU197">
            <v>1.4810101946996326E-2</v>
          </cell>
          <cell r="AV197">
            <v>1.5108751034261896E-2</v>
          </cell>
          <cell r="AW197">
            <v>1.5381108168919572E-2</v>
          </cell>
          <cell r="AX197">
            <v>1.5652773388016142E-2</v>
          </cell>
          <cell r="AY197">
            <v>1.5933131073466993E-2</v>
          </cell>
          <cell r="AZ197">
            <v>1.6216326800034334E-2</v>
          </cell>
          <cell r="BA197">
            <v>1.6507478938207362E-2</v>
          </cell>
          <cell r="BB197">
            <v>1.678944918526383E-2</v>
          </cell>
          <cell r="BC197">
            <v>1.7074002408464233E-2</v>
          </cell>
          <cell r="BD197">
            <v>1.7361184221447896E-2</v>
          </cell>
          <cell r="BE197">
            <v>1.7649702115684111E-2</v>
          </cell>
          <cell r="BF197">
            <v>1.7938299263258198E-2</v>
          </cell>
          <cell r="BG197">
            <v>1.8227699216181146E-2</v>
          </cell>
          <cell r="BH197">
            <v>1.8518200352269063E-2</v>
          </cell>
          <cell r="BI197">
            <v>1.8809871526811465E-2</v>
          </cell>
          <cell r="BJ197">
            <v>1.9101871995337701E-2</v>
          </cell>
          <cell r="BK197">
            <v>1.9394117968834539E-2</v>
          </cell>
          <cell r="BL197">
            <v>1.9686193846270839E-2</v>
          </cell>
          <cell r="BM197">
            <v>1.9978666091782976E-2</v>
          </cell>
          <cell r="BN197">
            <v>2.0271302471914512E-2</v>
          </cell>
          <cell r="BO197">
            <v>2.0563876893718153E-2</v>
          </cell>
        </row>
        <row r="198">
          <cell r="O198">
            <v>1.1163827426399999</v>
          </cell>
          <cell r="P198">
            <v>1.1711372280300001</v>
          </cell>
          <cell r="Q198">
            <v>1.2535868013669</v>
          </cell>
          <cell r="R198">
            <v>1.4902693066205999</v>
          </cell>
          <cell r="S198">
            <v>1.7303543071261547</v>
          </cell>
          <cell r="T198">
            <v>1.8919172322021143</v>
          </cell>
          <cell r="U198">
            <v>2.0534801572780741</v>
          </cell>
          <cell r="V198">
            <v>2.2150430823540335</v>
          </cell>
          <cell r="W198">
            <v>2.3766060074299933</v>
          </cell>
          <cell r="X198">
            <v>2.5381689325059527</v>
          </cell>
          <cell r="Y198">
            <v>2.6997318575819125</v>
          </cell>
          <cell r="Z198">
            <v>2.8612947826578718</v>
          </cell>
          <cell r="AA198">
            <v>3.0228577077338317</v>
          </cell>
          <cell r="AB198">
            <v>3.1844206328097915</v>
          </cell>
          <cell r="AC198">
            <v>3.3459835578857509</v>
          </cell>
          <cell r="AD198">
            <v>3.5075464829617102</v>
          </cell>
          <cell r="AE198">
            <v>3.6691094080376701</v>
          </cell>
          <cell r="AF198">
            <v>3.8306723331136294</v>
          </cell>
          <cell r="AG198">
            <v>3.8472944918154597</v>
          </cell>
          <cell r="AH198">
            <v>3.9711924610842688</v>
          </cell>
          <cell r="AI198">
            <v>4.0808853583522504</v>
          </cell>
          <cell r="AJ198">
            <v>4.1844551625285478</v>
          </cell>
          <cell r="AK198">
            <v>4.2705752116320657</v>
          </cell>
          <cell r="AL198">
            <v>4.3597486483500001</v>
          </cell>
          <cell r="AM198">
            <v>4.4653350335269284</v>
          </cell>
          <cell r="AN198">
            <v>4.5454040163325002</v>
          </cell>
          <cell r="AO198">
            <v>4.6436254158715728</v>
          </cell>
          <cell r="AP198">
            <v>4.7280896573441984</v>
          </cell>
          <cell r="AQ198">
            <v>4.8359147919225682</v>
          </cell>
          <cell r="AR198">
            <v>4.9265916527774456</v>
          </cell>
          <cell r="AS198">
            <v>5.0148707691683105</v>
          </cell>
          <cell r="AT198">
            <v>5.105962093057407</v>
          </cell>
          <cell r="AU198">
            <v>5.1979436141622832</v>
          </cell>
          <cell r="AV198">
            <v>5.302761333958081</v>
          </cell>
          <cell r="AW198">
            <v>5.3983512923481056</v>
          </cell>
          <cell r="AX198">
            <v>5.4936984071651915</v>
          </cell>
          <cell r="AY198">
            <v>5.5920963416281699</v>
          </cell>
          <cell r="AZ198">
            <v>5.6914903514558546</v>
          </cell>
          <cell r="BA198">
            <v>5.7936768457002863</v>
          </cell>
          <cell r="BB198">
            <v>5.8926407454976264</v>
          </cell>
          <cell r="BC198">
            <v>5.9925111997806111</v>
          </cell>
          <cell r="BD198">
            <v>6.0933042176980017</v>
          </cell>
          <cell r="BE198">
            <v>6.1945661638536693</v>
          </cell>
          <cell r="BF198">
            <v>6.2958559257787998</v>
          </cell>
          <cell r="BG198">
            <v>6.3974274505811524</v>
          </cell>
          <cell r="BH198">
            <v>6.4993854607717125</v>
          </cell>
          <cell r="BI198">
            <v>6.6017541226873293</v>
          </cell>
          <cell r="BJ198">
            <v>6.704238357849273</v>
          </cell>
          <cell r="BK198">
            <v>6.8068087585891961</v>
          </cell>
          <cell r="BL198">
            <v>6.9093194602308392</v>
          </cell>
          <cell r="BM198">
            <v>7.0119692763037014</v>
          </cell>
          <cell r="BN198">
            <v>7.1146766991708867</v>
          </cell>
          <cell r="BO198">
            <v>7.217362376347463</v>
          </cell>
        </row>
        <row r="199">
          <cell r="O199">
            <v>1.0400940000000001E-2</v>
          </cell>
          <cell r="P199">
            <v>1.228491E-2</v>
          </cell>
          <cell r="Q199">
            <v>9.2446200000000003E-3</v>
          </cell>
          <cell r="R199">
            <v>1.3803569999999999E-2</v>
          </cell>
          <cell r="S199">
            <v>1.6027349350286359E-2</v>
          </cell>
          <cell r="T199">
            <v>1.7523820582555069E-2</v>
          </cell>
          <cell r="U199">
            <v>1.9020291814823776E-2</v>
          </cell>
          <cell r="V199">
            <v>2.0516763047092483E-2</v>
          </cell>
          <cell r="W199">
            <v>2.2013234279361193E-2</v>
          </cell>
          <cell r="X199">
            <v>2.3509705511629904E-2</v>
          </cell>
          <cell r="Y199">
            <v>2.5006176743898611E-2</v>
          </cell>
          <cell r="Z199">
            <v>2.6502647976167321E-2</v>
          </cell>
          <cell r="AA199">
            <v>2.7999119208436028E-2</v>
          </cell>
          <cell r="AB199">
            <v>2.9495590440704739E-2</v>
          </cell>
          <cell r="AC199">
            <v>3.0992061672973449E-2</v>
          </cell>
          <cell r="AD199">
            <v>3.248853290524216E-2</v>
          </cell>
          <cell r="AE199">
            <v>3.3985004137510863E-2</v>
          </cell>
          <cell r="AF199">
            <v>3.5481475369779573E-2</v>
          </cell>
          <cell r="AG199">
            <v>3.5635437563171397E-2</v>
          </cell>
          <cell r="AH199">
            <v>3.6783038392137042E-2</v>
          </cell>
          <cell r="AI199">
            <v>3.7799065213071144E-2</v>
          </cell>
          <cell r="AJ199">
            <v>3.8758377087430095E-2</v>
          </cell>
          <cell r="AK199">
            <v>3.955606118447396E-2</v>
          </cell>
          <cell r="AL199">
            <v>4.0382027182973818E-2</v>
          </cell>
          <cell r="AM199">
            <v>4.136001757193359E-2</v>
          </cell>
          <cell r="AN199">
            <v>4.210165386818919E-2</v>
          </cell>
          <cell r="AO199">
            <v>4.301142632207542E-2</v>
          </cell>
          <cell r="AP199">
            <v>4.3793773555883889E-2</v>
          </cell>
          <cell r="AQ199">
            <v>4.479250028688464E-2</v>
          </cell>
          <cell r="AR199">
            <v>4.5632391701563836E-2</v>
          </cell>
          <cell r="AS199">
            <v>4.6450074087711027E-2</v>
          </cell>
          <cell r="AT199">
            <v>4.7293804452491282E-2</v>
          </cell>
          <cell r="AU199">
            <v>4.8145780239442701E-2</v>
          </cell>
          <cell r="AV199">
            <v>4.9116650890816876E-2</v>
          </cell>
          <cell r="AW199">
            <v>5.0002049708380868E-2</v>
          </cell>
          <cell r="AX199">
            <v>5.0885199195408952E-2</v>
          </cell>
          <cell r="AY199">
            <v>5.1796606798169789E-2</v>
          </cell>
          <cell r="AZ199">
            <v>5.2717240515942801E-2</v>
          </cell>
          <cell r="BA199">
            <v>5.3663739527961107E-2</v>
          </cell>
          <cell r="BB199">
            <v>5.4580389365850676E-2</v>
          </cell>
          <cell r="BC199">
            <v>5.5505436134580734E-2</v>
          </cell>
          <cell r="BD199">
            <v>5.6439028118360456E-2</v>
          </cell>
          <cell r="BE199">
            <v>5.7376963534386462E-2</v>
          </cell>
          <cell r="BF199">
            <v>5.8315156593054092E-2</v>
          </cell>
          <cell r="BG199">
            <v>5.9255959471022072E-2</v>
          </cell>
          <cell r="BH199">
            <v>6.020034215707333E-2</v>
          </cell>
          <cell r="BI199">
            <v>6.1148528491101008E-2</v>
          </cell>
          <cell r="BJ199">
            <v>6.2097785318487642E-2</v>
          </cell>
          <cell r="BK199">
            <v>6.3047840251681017E-2</v>
          </cell>
          <cell r="BL199">
            <v>6.3997342223957615E-2</v>
          </cell>
          <cell r="BM199">
            <v>6.4948132739037059E-2</v>
          </cell>
          <cell r="BN199">
            <v>6.5899456835137316E-2</v>
          </cell>
          <cell r="BO199">
            <v>6.6850579512499911E-2</v>
          </cell>
        </row>
        <row r="200">
          <cell r="O200">
            <v>6.2166059999999995E-3</v>
          </cell>
          <cell r="P200">
            <v>6.4013895000000001E-3</v>
          </cell>
          <cell r="Q200">
            <v>7.4665801108800001E-3</v>
          </cell>
          <cell r="R200">
            <v>8.0476308000000003E-3</v>
          </cell>
          <cell r="S200">
            <v>9.3441182443182811E-3</v>
          </cell>
          <cell r="T200">
            <v>1.0216577179225672E-2</v>
          </cell>
          <cell r="U200">
            <v>1.1089036114133062E-2</v>
          </cell>
          <cell r="V200">
            <v>1.1961495049040453E-2</v>
          </cell>
          <cell r="W200">
            <v>1.2833953983947844E-2</v>
          </cell>
          <cell r="X200">
            <v>1.3706412918855236E-2</v>
          </cell>
          <cell r="Y200">
            <v>1.4578871853762627E-2</v>
          </cell>
          <cell r="Z200">
            <v>1.5451330788670017E-2</v>
          </cell>
          <cell r="AA200">
            <v>1.6323789723577408E-2</v>
          </cell>
          <cell r="AB200">
            <v>1.7196248658484799E-2</v>
          </cell>
          <cell r="AC200">
            <v>1.8068707593392189E-2</v>
          </cell>
          <cell r="AD200">
            <v>1.894116652829958E-2</v>
          </cell>
          <cell r="AE200">
            <v>1.9813625463206971E-2</v>
          </cell>
          <cell r="AF200">
            <v>2.0686084398114361E-2</v>
          </cell>
          <cell r="AG200">
            <v>2.0775846024242647E-2</v>
          </cell>
          <cell r="AH200">
            <v>2.1444909735825191E-2</v>
          </cell>
          <cell r="AI200">
            <v>2.2037264375804222E-2</v>
          </cell>
          <cell r="AJ200">
            <v>2.2596553587718008E-2</v>
          </cell>
          <cell r="AK200">
            <v>2.3061612055059456E-2</v>
          </cell>
          <cell r="AL200">
            <v>2.3543159177237285E-2</v>
          </cell>
          <cell r="AM200">
            <v>2.4113338165448063E-2</v>
          </cell>
          <cell r="AN200">
            <v>2.4545720157943086E-2</v>
          </cell>
          <cell r="AO200">
            <v>2.5076127351218915E-2</v>
          </cell>
          <cell r="AP200">
            <v>2.553224426119886E-2</v>
          </cell>
          <cell r="AQ200">
            <v>2.611451276139011E-2</v>
          </cell>
          <cell r="AR200">
            <v>2.6604178552010062E-2</v>
          </cell>
          <cell r="AS200">
            <v>2.708089623847636E-2</v>
          </cell>
          <cell r="AT200">
            <v>2.7572800178580319E-2</v>
          </cell>
          <cell r="AU200">
            <v>2.80695112891064E-2</v>
          </cell>
          <cell r="AV200">
            <v>2.8635539393199391E-2</v>
          </cell>
          <cell r="AW200">
            <v>2.9151736492537574E-2</v>
          </cell>
          <cell r="AX200">
            <v>2.966662220781351E-2</v>
          </cell>
          <cell r="AY200">
            <v>3.0197982710591577E-2</v>
          </cell>
          <cell r="AZ200">
            <v>3.0734722138338791E-2</v>
          </cell>
          <cell r="BA200">
            <v>3.1286541312747156E-2</v>
          </cell>
          <cell r="BB200">
            <v>3.1820958095377667E-2</v>
          </cell>
          <cell r="BC200">
            <v>3.2360270379625328E-2</v>
          </cell>
          <cell r="BD200">
            <v>3.2904564616789977E-2</v>
          </cell>
          <cell r="BE200">
            <v>3.3451391121992739E-2</v>
          </cell>
          <cell r="BF200">
            <v>3.399836783564579E-2</v>
          </cell>
          <cell r="BG200">
            <v>3.4546866102214781E-2</v>
          </cell>
          <cell r="BH200">
            <v>3.5097451435664957E-2</v>
          </cell>
          <cell r="BI200">
            <v>3.5650254337078156E-2</v>
          </cell>
          <cell r="BJ200">
            <v>3.6203681347712867E-2</v>
          </cell>
          <cell r="BK200">
            <v>3.6757573662676242E-2</v>
          </cell>
          <cell r="BL200">
            <v>3.731114359543667E-2</v>
          </cell>
          <cell r="BM200">
            <v>3.7865464762605827E-2</v>
          </cell>
          <cell r="BN200">
            <v>3.8420097013288697E-2</v>
          </cell>
          <cell r="BO200">
            <v>3.8974611834666183E-2</v>
          </cell>
        </row>
        <row r="201">
          <cell r="O201">
            <v>1.75655217375E-3</v>
          </cell>
          <cell r="P201">
            <v>3.0912361919999999E-4</v>
          </cell>
          <cell r="Q201">
            <v>2.8502965556999999E-4</v>
          </cell>
          <cell r="R201">
            <v>3.5763463197E-4</v>
          </cell>
          <cell r="S201">
            <v>4.1525019877787273E-4</v>
          </cell>
          <cell r="T201">
            <v>4.5402204826362985E-4</v>
          </cell>
          <cell r="U201">
            <v>4.9279389774938692E-4</v>
          </cell>
          <cell r="V201">
            <v>5.31565747235144E-4</v>
          </cell>
          <cell r="W201">
            <v>5.7033759672090118E-4</v>
          </cell>
          <cell r="X201">
            <v>6.0910944620665825E-4</v>
          </cell>
          <cell r="Y201">
            <v>6.4788129569241532E-4</v>
          </cell>
          <cell r="Z201">
            <v>6.8665314517817239E-4</v>
          </cell>
          <cell r="AA201">
            <v>7.2542499466392958E-4</v>
          </cell>
          <cell r="AB201">
            <v>7.6419684414968676E-4</v>
          </cell>
          <cell r="AC201">
            <v>8.0296869363544383E-4</v>
          </cell>
          <cell r="AD201">
            <v>8.417405431212009E-4</v>
          </cell>
          <cell r="AE201">
            <v>8.8051239260695797E-4</v>
          </cell>
          <cell r="AF201">
            <v>9.1928424209271515E-4</v>
          </cell>
          <cell r="AG201">
            <v>9.2327322554923972E-4</v>
          </cell>
          <cell r="AH201">
            <v>9.5300624389997037E-4</v>
          </cell>
          <cell r="AI201">
            <v>9.7933033094241046E-4</v>
          </cell>
          <cell r="AJ201">
            <v>1.0041849989109732E-3</v>
          </cell>
          <cell r="AK201">
            <v>1.0248520769548853E-3</v>
          </cell>
          <cell r="AL201">
            <v>1.0462519065564471E-3</v>
          </cell>
          <cell r="AM201">
            <v>1.0715905133680057E-3</v>
          </cell>
          <cell r="AN201">
            <v>1.0908054573185175E-3</v>
          </cell>
          <cell r="AO201">
            <v>1.114376615846496E-3</v>
          </cell>
          <cell r="AP201">
            <v>1.134646333393177E-3</v>
          </cell>
          <cell r="AQ201">
            <v>1.1605221949913037E-3</v>
          </cell>
          <cell r="AR201">
            <v>1.1822828161192841E-3</v>
          </cell>
          <cell r="AS201">
            <v>1.2034680268465164E-3</v>
          </cell>
          <cell r="AT201">
            <v>1.225328110758874E-3</v>
          </cell>
          <cell r="AU201">
            <v>1.2474018240818566E-3</v>
          </cell>
          <cell r="AV201">
            <v>1.2725559666764664E-3</v>
          </cell>
          <cell r="AW201">
            <v>1.2954956323039941E-3</v>
          </cell>
          <cell r="AX201">
            <v>1.3183770203628647E-3</v>
          </cell>
          <cell r="AY201">
            <v>1.3419905437186365E-3</v>
          </cell>
          <cell r="AZ201">
            <v>1.3658431051092712E-3</v>
          </cell>
          <cell r="BA201">
            <v>1.3903658065425335E-3</v>
          </cell>
          <cell r="BB201">
            <v>1.4141151501847213E-3</v>
          </cell>
          <cell r="BC201">
            <v>1.4380820486530024E-3</v>
          </cell>
          <cell r="BD201">
            <v>1.462270343820789E-3</v>
          </cell>
          <cell r="BE201">
            <v>1.4865711723254505E-3</v>
          </cell>
          <cell r="BF201">
            <v>1.510878676054805E-3</v>
          </cell>
          <cell r="BG201">
            <v>1.535253797202334E-3</v>
          </cell>
          <cell r="BH201">
            <v>1.5597216670624342E-3</v>
          </cell>
          <cell r="BI201">
            <v>1.5842880850694405E-3</v>
          </cell>
          <cell r="BJ201">
            <v>1.6088822383288821E-3</v>
          </cell>
          <cell r="BK201">
            <v>1.6334970695923812E-3</v>
          </cell>
          <cell r="BL201">
            <v>1.6580975742741359E-3</v>
          </cell>
          <cell r="BM201">
            <v>1.6827314636187766E-3</v>
          </cell>
          <cell r="BN201">
            <v>1.7073791774343337E-3</v>
          </cell>
          <cell r="BO201">
            <v>1.7320216727219216E-3</v>
          </cell>
        </row>
        <row r="202">
          <cell r="O202">
            <v>1.0000000000000001E-5</v>
          </cell>
          <cell r="P202">
            <v>6.4999999999999994E-5</v>
          </cell>
          <cell r="Q202">
            <v>1.5999999999999999E-5</v>
          </cell>
          <cell r="R202">
            <v>4.3000000000000002E-5</v>
          </cell>
          <cell r="S202">
            <v>4.9927375458835177E-5</v>
          </cell>
          <cell r="T202">
            <v>5.4589087102095178E-5</v>
          </cell>
          <cell r="U202">
            <v>5.925079874535518E-5</v>
          </cell>
          <cell r="V202">
            <v>6.3912510388615181E-5</v>
          </cell>
          <cell r="W202">
            <v>6.8574222031875183E-5</v>
          </cell>
          <cell r="X202">
            <v>7.3235933675135198E-5</v>
          </cell>
          <cell r="Y202">
            <v>7.78976453183952E-5</v>
          </cell>
          <cell r="Z202">
            <v>8.2559356961655201E-5</v>
          </cell>
          <cell r="AA202">
            <v>8.7221068604915203E-5</v>
          </cell>
          <cell r="AB202">
            <v>9.1882780248175205E-5</v>
          </cell>
          <cell r="AC202">
            <v>9.654449189143522E-5</v>
          </cell>
          <cell r="AD202">
            <v>1.0120620353469521E-4</v>
          </cell>
          <cell r="AE202">
            <v>1.0586791517795522E-4</v>
          </cell>
          <cell r="AF202">
            <v>1.1052962682121522E-4</v>
          </cell>
          <cell r="AG202">
            <v>1.1100924001663122E-4</v>
          </cell>
          <cell r="AH202">
            <v>1.1458417285252243E-4</v>
          </cell>
          <cell r="AI202">
            <v>1.1774923473869871E-4</v>
          </cell>
          <cell r="AJ202">
            <v>1.2073762184416742E-4</v>
          </cell>
          <cell r="AK202">
            <v>1.2322251641657777E-4</v>
          </cell>
          <cell r="AL202">
            <v>1.2579551296279688E-4</v>
          </cell>
          <cell r="AM202">
            <v>1.2884208618445405E-4</v>
          </cell>
          <cell r="AN202">
            <v>1.3115238422611942E-4</v>
          </cell>
          <cell r="AO202">
            <v>1.3398644929168638E-4</v>
          </cell>
          <cell r="AP202">
            <v>1.3642356744690014E-4</v>
          </cell>
          <cell r="AQ202">
            <v>1.3953473719740904E-4</v>
          </cell>
          <cell r="AR202">
            <v>1.4215111331106699E-4</v>
          </cell>
          <cell r="AS202">
            <v>1.4469830527693734E-4</v>
          </cell>
          <cell r="AT202">
            <v>1.4732664024285928E-4</v>
          </cell>
          <cell r="AU202">
            <v>1.4998066082151472E-4</v>
          </cell>
          <cell r="AV202">
            <v>1.5300505509119203E-4</v>
          </cell>
          <cell r="AW202">
            <v>1.5576319296097874E-4</v>
          </cell>
          <cell r="AX202">
            <v>1.5851432385988445E-4</v>
          </cell>
          <cell r="AY202">
            <v>1.6135348263683242E-4</v>
          </cell>
          <cell r="AZ202">
            <v>1.6422138201824168E-4</v>
          </cell>
          <cell r="BA202">
            <v>1.6716985531296089E-4</v>
          </cell>
          <cell r="BB202">
            <v>1.7002534436610087E-4</v>
          </cell>
          <cell r="BC202">
            <v>1.7290699100210827E-4</v>
          </cell>
          <cell r="BD202">
            <v>1.7581525714648456E-4</v>
          </cell>
          <cell r="BE202">
            <v>1.7873705367369588E-4</v>
          </cell>
          <cell r="BF202">
            <v>1.8165965279281566E-4</v>
          </cell>
          <cell r="BG202">
            <v>1.8459038185440069E-4</v>
          </cell>
          <cell r="BH202">
            <v>1.8753226250558036E-4</v>
          </cell>
          <cell r="BI202">
            <v>1.9048599203809913E-4</v>
          </cell>
          <cell r="BJ202">
            <v>1.9344305630318603E-4</v>
          </cell>
          <cell r="BK202">
            <v>1.9640260677652844E-4</v>
          </cell>
          <cell r="BL202">
            <v>1.9936043470132571E-4</v>
          </cell>
          <cell r="BM202">
            <v>2.0232227661239771E-4</v>
          </cell>
          <cell r="BN202">
            <v>2.0528578070100022E-4</v>
          </cell>
          <cell r="BO202">
            <v>2.0824865734281038E-4</v>
          </cell>
        </row>
      </sheetData>
      <sheetData sheetId="9"/>
      <sheetData sheetId="10"/>
      <sheetData sheetId="11"/>
      <sheetData sheetId="12"/>
      <sheetData sheetId="13"/>
      <sheetData sheetId="14"/>
      <sheetData sheetId="15"/>
    </sheetDataSet>
  </externalBook>
</externalLink>
</file>

<file path=xl/persons/person.xml><?xml version="1.0" encoding="utf-8"?>
<personList xmlns="http://schemas.microsoft.com/office/spreadsheetml/2018/threadedcomments" xmlns:x="http://schemas.openxmlformats.org/spreadsheetml/2006/main">
  <person displayName="ROSA ISABEL SORIA PENAFIEL" id="{E4FB7C9F-882C-4E7D-A58B-747589F9D416}" userId="" providerId=""/>
  <person displayName="Jam Angulo Paniagua" id="{8FE929AC-D734-4E31-9ABF-15811A573F24}" userId="677db98c2725c13a" providerId="Windows Liv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3-01-04T16:39:34.41" personId="{8FE929AC-D734-4E31-9ABF-15811A573F24}" id="{37D4E11D-AE30-4EEF-B8C2-8D85F9A59E58}">
    <text xml:space="preserve">Esta tabla solo enumera los cambios más comunes que el modelo puede incorporar relacionados con la implementación de un escenario de descarbonización. Es decir, no es necesario incluir todos los cambios en esta tabla y no es necesario limitarse a lo descrito aquí. En caso de que existan otras diferencias entre escenarios que deseen incorporar en este escenario de descarbonización, podemos conversarlo para encontrar la mejor forma de incluirlo. 
Los cambios en una variable, cambiarán otras. Por ejemplo, mejores rendimientos aumentarán la producción y por tanto afectará la importación y exportación de productos. </text>
  </threadedComment>
  <threadedComment ref="C4" dT="2023-01-04T16:32:46.76" personId="{8FE929AC-D734-4E31-9ABF-15811A573F24}" id="{7D2F3F11-0F08-4B31-BF0E-CF0313BBC481}">
    <text xml:space="preserve">En un escenario de descarbonización las coberturas pueden ser diferentes en comparación con el escenario BAU por diferentes razones: 
•	Metas de incremento o conservación del bosque (ej., una meta de incremento anual o una meta al 2050). 
•	Similarmente, metas de incremento de plantaciones forestales. 
•	Metas de contención de la mancha urbana. Por tanto, un escenario de descarbonización podría contemplar un menor crecimiento de la zona antrópica. 
•	Metas de contención de cultivos y ganadería. Por ejemplo, el aumento en el rendimiento de ambos tipos de suelo puede significar que no se requiere de la misma área. </text>
  </threadedComment>
  <threadedComment ref="C11" dT="2023-01-04T16:32:46.76" personId="{8FE929AC-D734-4E31-9ABF-15811A573F24}" id="{6FB51619-1A21-4F44-9F36-EE313F531FA0}">
    <text xml:space="preserve">En un escenario de descarbonización las coberturas pueden ser diferentes en comparación con el escenario BAU por diferentes razones: 
•	Metas de incremento o conservación del bosque (ej., una meta de incremento anual o una meta al 2050). 
•	Similarmente, metas de incremento de plantaciones forestales. 
•	Metas de contención de la mancha urbana. Por tanto, un escenario de descarbonización podría contemplar un menor crecimiento de la zona antrópica. 
•	Metas de contención de cultivos y ganadería. Por ejemplo, el aumento en el rendimiento de ambos tipos de suelo puede significar que no se requiere de la misma área. </text>
  </threadedComment>
  <threadedComment ref="BE11" dT="2023-01-26T02:06:00.32" personId="{E4FB7C9F-882C-4E7D-A58B-747589F9D416}" id="{4EF26B00-CE6F-4415-A5E2-88E7109738FA}">
    <text>se mantiene la tasa de reforestación observada de 2014-2021</text>
  </threadedComment>
  <threadedComment ref="BE13" dT="2023-01-26T02:07:05.89" personId="{E4FB7C9F-882C-4E7D-A58B-747589F9D416}" id="{2F453880-39FA-4FD7-8C29-A3A34D2D683E}">
    <text xml:space="preserve">Gobierto plantea incentivar plantaciones forestales approximadamente 20000 ha en los próximos 10 años, lo cual implica una tasa de 2000 ha/año </text>
  </threadedComment>
  <threadedComment ref="C16" dT="2023-01-15T23:59:46.84" personId="{E4FB7C9F-882C-4E7D-A58B-747589F9D416}" id="{F3B18EDB-0E01-436A-B8D0-7E39160C373B}">
    <text>Al igual que en el BAU he dejado Pastura como la categoría de ajuste para que podamos sumar las 24.9 Mha.</text>
  </threadedComment>
  <threadedComment ref="BE17" dT="2023-01-26T02:07:51.00" personId="{E4FB7C9F-882C-4E7D-A58B-747589F9D416}" id="{C0B15FAA-B262-411E-8D1F-0509ACC07FCD}">
    <text>Se asume que el Proyecto Socio Bosque seguirá creciendo a la misma tasa observada  hasta el momento</text>
  </threadedComment>
  <threadedComment ref="BE18" dT="2023-01-26T02:08:12.96" personId="{E4FB7C9F-882C-4E7D-A58B-747589F9D416}" id="{FC8053A9-B9B8-44CB-A74F-16F9CD87E31C}">
    <text>se asume que los páramos protegidos bajo el proyecto PSB siguen creciendo</text>
  </threadedComment>
  <threadedComment ref="A24" dT="2023-01-04T16:39:34.41" personId="{8FE929AC-D734-4E31-9ABF-15811A573F24}" id="{37D4E11D-AE30-4F04-B8C2-8D85F9A59E58}">
    <text xml:space="preserve">Esta tabla solo enumera los cambios más comunes que el modelo puede incorporar relacionados con la implementación de un escenario de descarbonización. Es decir, no es necesario incluir todos los cambios en esta tabla y no es necesario limitarse a lo descrito aquí. En caso de que existan otras diferencias entre escenarios que deseen incorporar en este escenario de descarbonización, podemos conversarlo para encontrar la mejor forma de incluirlo. 
Los cambios en una variable, cambiarán otras. Por ejemplo, mejores rendimientos aumentarán la producción y por tanto afectará la importación y exportación de productos. </text>
  </threadedComment>
  <threadedComment ref="C26" dT="2023-01-04T16:23:49.24" personId="{8FE929AC-D734-4E31-9ABF-15811A573F24}" id="{C0A0F51D-ECB5-41FA-986B-3C07E70A689C}">
    <text xml:space="preserve">Las prácticas sostenibles en cultivos tienen el potencial de reducir sus emisiones. Un ejemplo de práctica con este potencial es el cambio en el tipo y cantidad de fertilizantes. 
Al igual que en ganadería, las mejoras en el cambio del factor de emisión pueden modelarse como un cambio porcentual anual o una reducción al 2050 con respecto al año base, por ejemplo. 
En el caso de Costa Rica, utilizamos de referencia instrumentos de política ya diseñados, y estudios realizados en el país. Sin embargo, también podrían establecerse por criterio experto o a partir de fuentes internacionales. </text>
  </threadedComment>
  <threadedComment ref="C26" dT="2023-01-04T16:24:22.11" personId="{8FE929AC-D734-4E31-9ABF-15811A573F24}" id="{D85D87E8-65AF-409B-9292-8C1D1E72B689}" parentId="{C0A0F51D-ECB5-41FA-986B-3C07E70A689C}">
    <text>Además, si el factor de reducción es distinto por cultivo, pueden agregarse diferentes filas acá</text>
  </threadedComment>
  <threadedComment ref="C29" dT="2023-01-04T16:25:58.15" personId="{8FE929AC-D734-4E31-9ABF-15811A573F24}" id="{3B6BA5A7-60BA-409B-8468-C9C725A541D6}">
    <text xml:space="preserve">La implementación de prácticas sostenibles también tiene el potencial de mejorar el rendimiento de los cultivos. 
Igualmente, esto puede definirse de acuerdo con metas del sector, estudios en el país, estudios internacionales, o criterio experto. </text>
  </threadedComment>
  <threadedComment ref="C29" dT="2023-01-04T16:26:20.40" personId="{8FE929AC-D734-4E31-9ABF-15811A573F24}" id="{772E27BC-3197-476F-8D97-CF48326C621D}" parentId="{3B6BA5A7-60BA-409B-8468-C9C725A541D6}">
    <text>Si el escenario incluye cambios diferentes por cultivos, pueden agregarse diferentes filas para cada uno</text>
  </threadedComment>
  <threadedComment ref="B32" dT="2023-01-04T16:26:59.02" personId="{8FE929AC-D734-4E31-9ABF-15811A573F24}" id="{0E21EEEB-43A4-4B28-896C-0788D6A8D1EC}">
    <text>Algunos objetivos de políticas de descarbonización pueden estar relacionados con cambios en las demandas. Por ejemplo, un escenario de descarbonización puede incluir cambios en las dietas, que contempla más consumo de productos vegetales.</text>
  </threadedComment>
  <threadedComment ref="B32" dT="2023-01-04T16:27:16.22" personId="{8FE929AC-D734-4E31-9ABF-15811A573F24}" id="{69E0D8D3-C395-4A25-8041-FD3DB8261FB7}" parentId="{0E21EEEB-43A4-4B28-896C-0788D6A8D1EC}">
    <text>Si habrán cambios diferentes por cultivos, puede agregarse una fila por producto</text>
  </threadedComment>
  <threadedComment ref="B48" dT="2023-01-04T16:26:59.02" personId="{8FE929AC-D734-4E31-9ABF-15811A573F24}" id="{0E21EEEB-43A4-4B29-896C-0788D6A8D1EC}">
    <text>Algunos objetivos de políticas de descarbonización pueden estar relacionados con cambios en las demandas. Por ejemplo, un escenario de descarbonización puede incluir cambios en las dietas, que contempla más consumo de productos vegetales.</text>
  </threadedComment>
  <threadedComment ref="B48" dT="2023-01-04T16:27:16.22" personId="{8FE929AC-D734-4E31-9ABF-15811A573F24}" id="{69E0D8D3-C395-4A29-8041-FD3DB8261FB7}" parentId="{0E21EEEB-43A4-4B29-896C-0788D6A8D1EC}">
    <text>Si habrán cambios diferentes por cultivos, puede agregarse una fila por producto</text>
  </threadedComment>
  <threadedComment ref="B64" dT="2023-01-04T16:26:59.02" personId="{8FE929AC-D734-4E31-9ABF-15811A573F24}" id="{0E21EEEB-43A4-4B2B-896C-0788D6A8D1EC}">
    <text>Algunos objetivos de políticas de descarbonización pueden estar relacionados con cambios en las demandas. Por ejemplo, un escenario de descarbonización puede incluir cambios en las dietas, que contempla más consumo de productos vegetales.</text>
  </threadedComment>
  <threadedComment ref="B64" dT="2023-01-04T16:27:16.22" personId="{8FE929AC-D734-4E31-9ABF-15811A573F24}" id="{69E0D8D3-C395-4A2A-8041-FD3DB8261FB7}" parentId="{0E21EEEB-43A4-4B2B-896C-0788D6A8D1EC}">
    <text>Si habrán cambios diferentes por cultivos, puede agregarse una fila por producto</text>
  </threadedComment>
  <threadedComment ref="C80" dT="2023-01-04T16:34:12.36" personId="{8FE929AC-D734-4E31-9ABF-15811A573F24}" id="{2FEA6679-5D7A-4417-9C7C-1285F236DCA5}">
    <text xml:space="preserve">La implementación de prácticas sostenibles puede implicar nuevos costos de inversión o cambios en los costos de operación en todos los subsectores. </text>
  </threadedComment>
  <threadedComment ref="C80" dT="2023-01-04T16:35:09.95" personId="{8FE929AC-D734-4E31-9ABF-15811A573F24}" id="{2F216A40-F412-4075-BF49-3A64B9D26E80}" parentId="{2FEA6679-5D7A-4417-9C7C-1285F236DCA5}">
    <text>Si el cambio por tipo de cultivo es diferente, puede agregarse una fila por producto</text>
  </threadedComment>
  <threadedComment ref="C80" dT="2023-01-04T16:36:51.84" personId="{8FE929AC-D734-4E31-9ABF-15811A573F24}" id="{32EA73BA-52BD-4707-B09F-0A5E1C260B96}" parentId="{2FEA6679-5D7A-4417-9C7C-1285F236DCA5}">
    <text xml:space="preserve">Los costos pueden desagregarse entre costos de inversión y costos de operación. Los costos de inversión pueden representar los costos de instalar un cultivo. En ese caso, es necesario saber la vida útil de los cultivos para saber cada cuanto se debe hacer esa inversión. </text>
  </threadedComment>
  <threadedComment ref="C82" dT="2023-01-04T16:22:22.82" personId="{8FE929AC-D734-4E31-9ABF-15811A573F24}" id="{4696C98B-3C3C-46AC-83FA-E98C4D3832ED}">
    <text xml:space="preserve">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ext>
  </threadedComment>
  <threadedComment ref="C85" dT="2023-01-04T16:25:11.87" personId="{8FE929AC-D734-4E31-9ABF-15811A573F24}" id="{8CF15ADF-585B-4C29-B748-BE188ECE2C66}">
    <text xml:space="preserve">La implementación de prácticas sostenibles puede inducir cambios en el rendimiento de la ganadería. Este cambio en el rendimiento puede estar relacionado con la cantidad de animales por unidad de suelo, o al tamaño de los animales (i.e., más carne por animal). Por ejemplo, en Costa Rica, de acuerdo con las metas del sector, se espera que la implementación de prácticas sostenibles reduzca el área que requiere cada animal y aumente la productividad de cada animal. </text>
  </threadedComment>
  <threadedComment ref="C88" dT="2023-01-04T16:26:59.02" personId="{8FE929AC-D734-4E31-9ABF-15811A573F24}" id="{51B872A9-69FB-42D2-9D1D-728706ED710B}">
    <text xml:space="preserve">Algunos objetivos de políticas de descarbonización pueden estar relacionados con cambios en las demandas. Por ejemplo, un escenario de descarbonización puede incluir cambios en las dietas, que contempla menos consumo de carne o productos derivados de la ganadería. </text>
  </threadedComment>
  <threadedComment ref="C91" dT="2023-01-04T16:26:59.02" personId="{8FE929AC-D734-4E31-9ABF-15811A573F24}" id="{51B872A9-69FB-42D4-9D1D-728706ED710B}">
    <text xml:space="preserve">Algunos objetivos de políticas de descarbonización pueden estar relacionados con cambios en las demandas. Por ejemplo, un escenario de descarbonización puede incluir cambios en las dietas, que contempla menos consumo de carne o productos derivados de la ganadería. </text>
  </threadedComment>
  <threadedComment ref="C94" dT="2023-01-04T16:26:59.02" personId="{8FE929AC-D734-4E31-9ABF-15811A573F24}" id="{51B872A9-69FB-42D5-9D1D-728706ED710B}">
    <text xml:space="preserve">Algunos objetivos de políticas de descarbonización pueden estar relacionados con cambios en las demandas. Por ejemplo, un escenario de descarbonización puede incluir cambios en las dietas, que contempla menos consumo de carne o productos derivados de la ganadería. </text>
  </threadedComment>
  <threadedComment ref="C97" dT="2023-01-04T16:22:22.82" personId="{8FE929AC-D734-4E31-9ABF-15811A573F24}" id="{4696C98B-3C3C-46B0-83FA-E98C4D3832ED}">
    <text xml:space="preserve">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ext>
  </threadedComment>
  <threadedComment ref="C98" dT="2023-01-04T16:34:12.36" personId="{8FE929AC-D734-4E31-9ABF-15811A573F24}" id="{DD3FEAC0-C320-4937-A12D-9AC55FB45C47}">
    <text xml:space="preserve">La implementación de prácticas sostenibles puede implicar nuevos costos de inversión o cambios en los costos de operación en todos los subsectores. </text>
  </threadedComment>
  <threadedComment ref="C98" dT="2023-01-04T16:35:09.95" personId="{8FE929AC-D734-4E31-9ABF-15811A573F24}" id="{33073AB9-377F-4D33-925C-0911D0EBBD75}" parentId="{DD3FEAC0-C320-4937-A12D-9AC55FB45C47}">
    <text>Si el cambio por tipo de cultivo es diferente, puede agregarse una fila por producto</text>
  </threadedComment>
  <threadedComment ref="C98" dT="2023-01-04T16:36:51.84" personId="{8FE929AC-D734-4E31-9ABF-15811A573F24}" id="{BBDBE80A-54DA-4C4E-928A-081E303E4E49}" parentId="{DD3FEAC0-C320-4937-A12D-9AC55FB45C47}">
    <text xml:space="preserve">Los costos pueden desagregarse entre costos de inversión y costos de operación. Los costos de inversión pueden representar los costos de instalar un cultivo. En ese caso, es necesario saber la vida útil de los cultivos para saber cada cuanto se debe hacer esa inversión.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3-01-04T16:39:34.41" personId="{8FE929AC-D734-4E31-9ABF-15811A573F24}" id="{9F279A0F-EB39-41A8-8B0F-FF4DD0A5A7C1}">
    <text xml:space="preserve">Esta tabla solo enumera los cambios más comunes que el modelo puede incorporar relacionados con la implementación de un escenario de descarbonización. Es decir, no es necesario incluir todos los cambios en esta tabla y no es necesario limitarse a lo descrito aquí. En caso de que existan otras diferencias entre escenarios que deseen incorporar en este escenario de descarbonización, podemos conversarlo para encontrar la mejor forma de incluirlo. 
Los cambios en una variable, cambiarán otras. Por ejemplo, mejores rendimientos aumentarán la producción y por tanto afectará la importación y exportación de productos. </text>
  </threadedComment>
  <threadedComment ref="C3" dT="2023-01-04T16:23:49.24" personId="{8FE929AC-D734-4E31-9ABF-15811A573F24}" id="{C0A0F51D-ECB5-41FC-986B-3C07E70A689C}">
    <text xml:space="preserve">Las prácticas sostenibles en cultivos tienen el potencial de reducir sus emisiones. Un ejemplo de práctica con este potencial es el cambio en el tipo y cantidad de fertilizantes. 
Al igual que en ganadería, las mejoras en el cambio del factor de emisión pueden modelarse como un cambio porcentual anual o una reducción al 2050 con respecto al año base, por ejemplo. 
En el caso de Costa Rica, utilizamos de referencia instrumentos de política ya diseñados, y estudios realizados en el país. Sin embargo, también podrían establecerse por criterio experto o a partir de fuentes internacionales. </text>
  </threadedComment>
  <threadedComment ref="C3" dT="2023-01-04T16:24:22.11" personId="{8FE929AC-D734-4E31-9ABF-15811A573F24}" id="{D85D87E8-65AF-40A0-9292-8C1D1E72B689}" parentId="{C0A0F51D-ECB5-41FC-986B-3C07E70A689C}">
    <text>Además, si el factor de reducción es distinto por cultivo, pueden agregarse diferentes filas acá</text>
  </threadedComment>
  <threadedComment ref="C5" dT="2023-01-04T16:23:49.24" personId="{8FE929AC-D734-4E31-9ABF-15811A573F24}" id="{C0A0F51D-ECB5-41FD-986B-3C07E70A689C}">
    <text xml:space="preserve">Las prácticas sostenibles en cultivos tienen el potencial de reducir sus emisiones. Un ejemplo de práctica con este potencial es el cambio en el tipo y cantidad de fertilizantes. 
Al igual que en ganadería, las mejoras en el cambio del factor de emisión pueden modelarse como un cambio porcentual anual o una reducción al 2050 con respecto al año base, por ejemplo. 
En el caso de Costa Rica, utilizamos de referencia instrumentos de política ya diseñados, y estudios realizados en el país. Sin embargo, también podrían establecerse por criterio experto o a partir de fuentes internacionales. </text>
  </threadedComment>
  <threadedComment ref="C5" dT="2023-01-04T16:24:22.11" personId="{8FE929AC-D734-4E31-9ABF-15811A573F24}" id="{D85D87E8-65AF-40A1-9292-8C1D1E72B689}" parentId="{C0A0F51D-ECB5-41FD-986B-3C07E70A689C}">
    <text>Además, si el factor de reducción es distinto por cultivo, pueden agregarse diferentes filas acá</text>
  </threadedComment>
  <threadedComment ref="B6" dT="2023-01-04T16:26:59.02" personId="{8FE929AC-D734-4E31-9ABF-15811A573F24}" id="{5F60F204-3ED0-4C4E-99A2-450A9F00C10E}">
    <text>Algunos objetivos de políticas de descarbonización pueden estar relacionados con cambios en las demandas. Por ejemplo, un escenario de descarbonización puede incluir cambios en las dietas, que contempla más consumo de productos vegetales.</text>
  </threadedComment>
  <threadedComment ref="B6" dT="2023-01-04T16:27:16.22" personId="{8FE929AC-D734-4E31-9ABF-15811A573F24}" id="{216DF2B5-6FB1-4636-8BF2-8745C157F4DE}" parentId="{5F60F204-3ED0-4C4E-99A2-450A9F00C10E}">
    <text>Si habrán cambios diferentes por cultivos, puede agregarse una fila por producto</text>
  </threadedComment>
  <threadedComment ref="B22" dT="2023-01-04T16:26:59.02" personId="{8FE929AC-D734-4E31-9ABF-15811A573F24}" id="{5F60F204-3ED0-4C4D-99A2-450A9F00C10E}">
    <text>Algunos objetivos de políticas de descarbonización pueden estar relacionados con cambios en las demandas. Por ejemplo, un escenario de descarbonización puede incluir cambios en las dietas, que contempla más consumo de productos vegetales.</text>
  </threadedComment>
  <threadedComment ref="B22" dT="2023-01-04T16:27:16.22" personId="{8FE929AC-D734-4E31-9ABF-15811A573F24}" id="{216DF2B5-6FB1-4635-8BF2-8745C157F4DE}" parentId="{5F60F204-3ED0-4C4D-99A2-450A9F00C10E}">
    <text>Si habrán cambios diferentes por cultivos, puede agregarse una fila por producto</text>
  </threadedComment>
  <threadedComment ref="B38" dT="2023-01-04T16:26:59.02" personId="{8FE929AC-D734-4E31-9ABF-15811A573F24}" id="{5F60F204-3ED0-4C4F-99A2-450A9F00C10E}">
    <text>Algunos objetivos de políticas de descarbonización pueden estar relacionados con cambios en las demandas. Por ejemplo, un escenario de descarbonización puede incluir cambios en las dietas, que contempla más consumo de productos vegetales.</text>
  </threadedComment>
  <threadedComment ref="B38" dT="2023-01-04T16:27:16.22" personId="{8FE929AC-D734-4E31-9ABF-15811A573F24}" id="{216DF2B5-6FB1-4637-8BF2-8745C157F4DE}" parentId="{5F60F204-3ED0-4C4F-99A2-450A9F00C10E}">
    <text>Si habrán cambios diferentes por cultivos, puede agregarse una fila por producto</text>
  </threadedComment>
  <threadedComment ref="C54" dT="2023-01-04T16:34:12.36" personId="{8FE929AC-D734-4E31-9ABF-15811A573F24}" id="{010B5550-6D32-4B98-814B-50631DF03C29}">
    <text xml:space="preserve">La implementación de prácticas sostenibles puede implicar nuevos costos de inversión o cambios en los costos de operación en todos los subsectores. </text>
  </threadedComment>
  <threadedComment ref="C54" dT="2023-01-04T16:35:09.95" personId="{8FE929AC-D734-4E31-9ABF-15811A573F24}" id="{E7EFB453-3ECD-43FC-BA29-0E360BDDB45F}" parentId="{010B5550-6D32-4B98-814B-50631DF03C29}">
    <text>Si el cambio por tipo de cultivo es diferente, puede agregarse una fila por producto</text>
  </threadedComment>
  <threadedComment ref="C54" dT="2023-01-04T16:36:51.84" personId="{8FE929AC-D734-4E31-9ABF-15811A573F24}" id="{504CA452-8009-4A57-AEB9-5530A9CFFBEB}" parentId="{010B5550-6D32-4B98-814B-50631DF03C29}">
    <text xml:space="preserve">Los costos pueden desagregarse entre costos de inversión y costos de operación. Los costos de inversión pueden representar los costos de instalar un cultivo. En ese caso, es necesario saber la vida útil de los cultivos para saber cada cuanto se debe hacer esa inversión. </text>
  </threadedComment>
  <threadedComment ref="C56" dT="2023-01-04T16:22:22.82" personId="{8FE929AC-D734-4E31-9ABF-15811A573F24}" id="{4792D544-8866-452D-A318-0A418FB459F7}">
    <text xml:space="preserve">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ext>
  </threadedComment>
  <threadedComment ref="C60" dT="2023-01-04T16:25:11.87" personId="{8FE929AC-D734-4E31-9ABF-15811A573F24}" id="{F7C1044C-55CE-46D2-BDDD-1988D03FD827}">
    <text xml:space="preserve">La implementación de prácticas sostenibles puede inducir cambios en el rendimiento de la ganadería. Este cambio en el rendimiento puede estar relacionado con la cantidad de animales por unidad de suelo, o al tamaño de los animales (i.e., más carne por animal). Por ejemplo, en Costa Rica, de acuerdo con las metas del sector, se espera que la implementación de prácticas sostenibles reduzca el área que requiere cada animal y aumente la productividad de cada animal. </text>
  </threadedComment>
  <threadedComment ref="C63" dT="2023-01-04T16:26:59.02" personId="{8FE929AC-D734-4E31-9ABF-15811A573F24}" id="{4B27A0ED-DE8C-4887-9D14-62B5DE69F0B2}">
    <text xml:space="preserve">Algunos objetivos de políticas de descarbonización pueden estar relacionados con cambios en las demandas. Por ejemplo, un escenario de descarbonización puede incluir cambios en las dietas, que contempla menos consumo de carne o productos derivados de la ganadería. </text>
  </threadedComment>
  <threadedComment ref="C66" dT="2023-01-04T16:22:22.82" personId="{8FE929AC-D734-4E31-9ABF-15811A573F24}" id="{4696C98B-3C3C-46B1-83FA-E98C4D3832ED}">
    <text xml:space="preserve">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ext>
  </threadedComment>
  <threadedComment ref="C67" dT="2023-01-04T16:34:12.36" personId="{8FE929AC-D734-4E31-9ABF-15811A573F24}" id="{DC067922-3B45-49CD-9C71-168B59BBFEA2}">
    <text xml:space="preserve">La implementación de prácticas sostenibles puede implicar nuevos costos de inversión o cambios en los costos de operación en todos los subsectores. </text>
  </threadedComment>
  <threadedComment ref="C67" dT="2023-01-04T16:35:09.95" personId="{8FE929AC-D734-4E31-9ABF-15811A573F24}" id="{6E21450C-F9BF-49D8-AC85-D9999A04349D}" parentId="{DC067922-3B45-49CD-9C71-168B59BBFEA2}">
    <text>Si el cambio por tipo de cultivo es diferente, puede agregarse una fila por producto</text>
  </threadedComment>
  <threadedComment ref="C67" dT="2023-01-04T16:36:51.84" personId="{8FE929AC-D734-4E31-9ABF-15811A573F24}" id="{CB03F998-7A26-434D-B946-139DE9328657}" parentId="{DC067922-3B45-49CD-9C71-168B59BBFEA2}">
    <text xml:space="preserve">Los costos pueden desagregarse entre costos de inversión y costos de operación. Los costos de inversión pueden representar los costos de instalar un cultivo. En ese caso, es necesario saber la vida útil de los cultivos para saber cada cuanto se debe hacer esa inversión. </text>
  </threadedComment>
  <threadedComment ref="C69" dT="2023-01-04T16:22:22.82" personId="{8FE929AC-D734-4E31-9ABF-15811A573F24}" id="{4696C98B-3C3C-46B2-83FA-E98C4D3832ED}">
    <text xml:space="preserve">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ext>
  </threadedComment>
  <threadedComment ref="C70" dT="2023-01-04T16:34:12.36" personId="{8FE929AC-D734-4E31-9ABF-15811A573F24}" id="{DC067922-3B45-49CE-9C71-168B59BBFEA2}">
    <text xml:space="preserve">La implementación de prácticas sostenibles puede implicar nuevos costos de inversión o cambios en los costos de operación en todos los subsectores. </text>
  </threadedComment>
  <threadedComment ref="C70" dT="2023-01-04T16:35:09.95" personId="{8FE929AC-D734-4E31-9ABF-15811A573F24}" id="{6E21450C-F9BF-49D9-AC85-D9999A04349D}" parentId="{DC067922-3B45-49CE-9C71-168B59BBFEA2}">
    <text>Si el cambio por tipo de cultivo es diferente, puede agregarse una fila por producto</text>
  </threadedComment>
  <threadedComment ref="C70" dT="2023-01-04T16:36:51.84" personId="{8FE929AC-D734-4E31-9ABF-15811A573F24}" id="{6E21450C-F9BF-49DA-AC85-D9999A04349D}" parentId="{DC067922-3B45-49CE-9C71-168B59BBFEA2}">
    <text xml:space="preserve">Los costos pueden desagregarse entre costos de inversión y costos de operación. Los costos de inversión pueden representar los costos de instalar un cultivo. En ese caso, es necesario saber la vida útil de los cultivos para saber cada cuanto se debe hacer esa inversión.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3-01-04T16:39:34.41" personId="{8FE929AC-D734-4E31-9ABF-15811A573F24}" id="{37D4E11D-AE30-4EF3-B8C2-8D85F9A59E58}">
    <text xml:space="preserve">Esta tabla solo enumera los cambios más comunes que el modelo puede incorporar relacionados con la implementación de un escenario de descarbonización. Es decir, no es necesario incluir todos los cambios en esta tabla y no es necesario limitarse a lo descrito aquí. En caso de que existan otras diferencias entre escenarios que deseen incorporar en este escenario de descarbonización, podemos conversarlo para encontrar la mejor forma de incluirlo. 
Los cambios en una variable, cambiarán otras. Por ejemplo, mejores rendimientos aumentarán la producción y por tanto afectará la importación y exportación de productos. </text>
  </threadedComment>
  <threadedComment ref="B3" dT="2023-01-04T16:26:59.02" personId="{8FE929AC-D734-4E31-9ABF-15811A573F24}" id="{0E21EEEB-43A4-4B37-896C-0788D6A8D1EC}">
    <text>Algunos objetivos de políticas de descarbonización pueden estar relacionados con cambios en las demandas. Por ejemplo, un escenario de descarbonización puede incluir cambios en las dietas, que contempla más consumo de productos vegetales.</text>
  </threadedComment>
  <threadedComment ref="B3" dT="2023-01-04T16:27:16.22" personId="{8FE929AC-D734-4E31-9ABF-15811A573F24}" id="{69E0D8D3-C395-4A36-8041-FD3DB8261FB7}" parentId="{0E21EEEB-43A4-4B37-896C-0788D6A8D1EC}">
    <text>Si habrán cambios diferentes por cultivos, puede agregarse una fila por producto</text>
  </threadedComment>
  <threadedComment ref="B21" dT="2023-01-04T16:26:59.02" personId="{8FE929AC-D734-4E31-9ABF-15811A573F24}" id="{0E21EEEB-43A4-4B38-896C-0788D6A8D1EC}">
    <text>Algunos objetivos de políticas de descarbonización pueden estar relacionados con cambios en las demandas. Por ejemplo, un escenario de descarbonización puede incluir cambios en las dietas, que contempla más consumo de productos vegetales.</text>
  </threadedComment>
  <threadedComment ref="B21" dT="2023-01-04T16:27:16.22" personId="{8FE929AC-D734-4E31-9ABF-15811A573F24}" id="{69E0D8D3-C395-4A37-8041-FD3DB8261FB7}" parentId="{0E21EEEB-43A4-4B38-896C-0788D6A8D1EC}">
    <text>Si habrán cambios diferentes por cultivos, puede agregarse una fila por producto</text>
  </threadedComment>
  <threadedComment ref="B37" dT="2023-01-04T16:26:59.02" personId="{8FE929AC-D734-4E31-9ABF-15811A573F24}" id="{0E21EEEB-43A4-4B2F-896C-0788D6A8D1EC}">
    <text>Algunos objetivos de políticas de descarbonización pueden estar relacionados con cambios en las demandas. Por ejemplo, un escenario de descarbonización puede incluir cambios en las dietas, que contempla más consumo de productos vegetales.</text>
  </threadedComment>
  <threadedComment ref="B37" dT="2023-01-04T16:27:16.22" personId="{8FE929AC-D734-4E31-9ABF-15811A573F24}" id="{69E0D8D3-C395-4A2E-8041-FD3DB8261FB7}" parentId="{0E21EEEB-43A4-4B2F-896C-0788D6A8D1EC}">
    <text>Si habrán cambios diferentes por cultivos, puede agregarse una fila por producto</text>
  </threadedComment>
  <threadedComment ref="B53" dT="2023-01-04T16:26:59.02" personId="{8FE929AC-D734-4E31-9ABF-15811A573F24}" id="{0E21EEEB-43A4-4B30-896C-0788D6A8D1EC}">
    <text>Algunos objetivos de políticas de descarbonización pueden estar relacionados con cambios en las demandas. Por ejemplo, un escenario de descarbonización puede incluir cambios en las dietas, que contempla más consumo de productos vegetales.</text>
  </threadedComment>
  <threadedComment ref="B53" dT="2023-01-04T16:27:16.22" personId="{8FE929AC-D734-4E31-9ABF-15811A573F24}" id="{69E0D8D3-C395-4A2F-8041-FD3DB8261FB7}" parentId="{0E21EEEB-43A4-4B30-896C-0788D6A8D1EC}">
    <text>Si habrán cambios diferentes por cultivos, puede agregarse una fila por producto</text>
  </threadedComment>
  <threadedComment ref="B69" dT="2023-01-04T16:26:59.02" personId="{8FE929AC-D734-4E31-9ABF-15811A573F24}" id="{0E21EEEB-43A4-4B31-896C-0788D6A8D1EC}">
    <text>Algunos objetivos de políticas de descarbonización pueden estar relacionados con cambios en las demandas. Por ejemplo, un escenario de descarbonización puede incluir cambios en las dietas, que contempla más consumo de productos vegetales.</text>
  </threadedComment>
  <threadedComment ref="B69" dT="2023-01-04T16:27:16.22" personId="{8FE929AC-D734-4E31-9ABF-15811A573F24}" id="{69E0D8D3-C395-4A30-8041-FD3DB8261FB7}" parentId="{0E21EEEB-43A4-4B31-896C-0788D6A8D1EC}">
    <text>Si habrán cambios diferentes por cultivos, puede agregarse una fila por producto</text>
  </threadedComment>
  <threadedComment ref="C139" dT="2023-01-04T16:25:11.87" personId="{8FE929AC-D734-4E31-9ABF-15811A573F24}" id="{8CF15ADF-585B-4C2B-B748-BE188ECE2C66}">
    <text xml:space="preserve">La implementación de prácticas sostenibles puede inducir cambios en el rendimiento de la ganadería. Este cambio en el rendimiento puede estar relacionado con la cantidad de animales por unidad de suelo, o al tamaño de los animales (i.e., más carne por animal). Por ejemplo, en Costa Rica, de acuerdo con las metas del sector, se espera que la implementación de prácticas sostenibles reduzca el área que requiere cada animal y aumente la productividad de cada animal. </text>
  </threadedComment>
  <threadedComment ref="C140" dT="2023-01-04T16:25:11.87" personId="{8FE929AC-D734-4E31-9ABF-15811A573F24}" id="{8CF15ADF-585B-4C2C-B748-BE188ECE2C66}">
    <text xml:space="preserve">La implementación de prácticas sostenibles puede inducir cambios en el rendimiento de la ganadería. Este cambio en el rendimiento puede estar relacionado con la cantidad de animales por unidad de suelo, o al tamaño de los animales (i.e., más carne por animal). Por ejemplo, en Costa Rica, de acuerdo con las metas del sector, se espera que la implementación de prácticas sostenibles reduzca el área que requiere cada animal y aumente la productividad de cada animal. </text>
  </threadedComment>
  <threadedComment ref="C142" dT="2023-01-04T16:26:59.02" personId="{8FE929AC-D734-4E31-9ABF-15811A573F24}" id="{51B872A9-69FB-42DF-9D1D-728706ED710B}">
    <text xml:space="preserve">Algunos objetivos de políticas de descarbonización pueden estar relacionados con cambios en las demandas. Por ejemplo, un escenario de descarbonización puede incluir cambios en las dietas, que contempla menos consumo de carne o productos derivados de la ganadería. </text>
  </threadedComment>
  <threadedComment ref="C145" dT="2023-01-04T16:26:59.02" personId="{8FE929AC-D734-4E31-9ABF-15811A573F24}" id="{51B872A9-69FB-42D9-9D1D-728706ED710B}">
    <text xml:space="preserve">Algunos objetivos de políticas de descarbonización pueden estar relacionados con cambios en las demandas. Por ejemplo, un escenario de descarbonización puede incluir cambios en las dietas, que contempla menos consumo de carne o productos derivados de la ganadería. </text>
  </threadedComment>
  <threadedComment ref="C148" dT="2023-01-04T16:26:59.02" personId="{8FE929AC-D734-4E31-9ABF-15811A573F24}" id="{51B872A9-69FB-42DA-9D1D-728706ED710B}">
    <text xml:space="preserve">Algunos objetivos de políticas de descarbonización pueden estar relacionados con cambios en las demandas. Por ejemplo, un escenario de descarbonización puede incluir cambios en las dietas, que contempla menos consumo de carne o productos derivados de la ganadería. </text>
  </threadedComment>
  <threadedComment ref="C151" dT="2023-01-04T16:26:59.02" personId="{8FE929AC-D734-4E31-9ABF-15811A573F24}" id="{51B872A9-69FB-42DB-9D1D-728706ED710B}">
    <text xml:space="preserve">Algunos objetivos de políticas de descarbonización pueden estar relacionados con cambios en las demandas. Por ejemplo, un escenario de descarbonización puede incluir cambios en las dietas, que contempla menos consumo de carne o productos derivados de la ganadería. </text>
  </threadedComment>
  <threadedComment ref="C161" dT="2023-01-04T16:22:22.82" personId="{8FE929AC-D734-4E31-9ABF-15811A573F24}" id="{4696C98B-3C3C-46AE-83FA-E98C4D3832ED}">
    <text xml:space="preserve">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ext>
  </threadedComment>
  <threadedComment ref="C165" dT="2023-01-04T16:22:22.82" personId="{8FE929AC-D734-4E31-9ABF-15811A573F24}" id="{4696C98B-3C3C-46AF-83FA-E98C4D3832ED}">
    <text xml:space="preserve">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6AAAF-2ACE-46FF-8EB4-976D135B9BCE}">
  <dimension ref="B3:C14"/>
  <sheetViews>
    <sheetView workbookViewId="0">
      <selection activeCell="C17" sqref="C17"/>
    </sheetView>
  </sheetViews>
  <sheetFormatPr baseColWidth="10" defaultColWidth="9.109375" defaultRowHeight="14.4" x14ac:dyDescent="0.3"/>
  <cols>
    <col min="1" max="1" width="9.109375" style="1"/>
    <col min="2" max="2" width="3.33203125" style="1" bestFit="1" customWidth="1"/>
    <col min="3" max="3" width="163.109375" style="1" bestFit="1" customWidth="1"/>
    <col min="4" max="16384" width="9.109375" style="1"/>
  </cols>
  <sheetData>
    <row r="3" spans="2:3" x14ac:dyDescent="0.3">
      <c r="C3" s="2" t="s">
        <v>0</v>
      </c>
    </row>
    <row r="5" spans="2:3" x14ac:dyDescent="0.3">
      <c r="B5" s="3">
        <v>1</v>
      </c>
      <c r="C5" s="4" t="s">
        <v>1</v>
      </c>
    </row>
    <row r="6" spans="2:3" x14ac:dyDescent="0.3">
      <c r="B6" s="3">
        <v>2</v>
      </c>
      <c r="C6" s="4" t="s">
        <v>2</v>
      </c>
    </row>
    <row r="7" spans="2:3" x14ac:dyDescent="0.3">
      <c r="B7" s="3">
        <v>3</v>
      </c>
      <c r="C7" s="4" t="s">
        <v>3</v>
      </c>
    </row>
    <row r="8" spans="2:3" x14ac:dyDescent="0.3">
      <c r="B8" s="3">
        <v>4</v>
      </c>
      <c r="C8" s="4" t="s">
        <v>4</v>
      </c>
    </row>
    <row r="9" spans="2:3" x14ac:dyDescent="0.3">
      <c r="B9" s="3">
        <v>5</v>
      </c>
      <c r="C9" s="4" t="s">
        <v>5</v>
      </c>
    </row>
    <row r="10" spans="2:3" x14ac:dyDescent="0.3">
      <c r="B10" s="3">
        <v>6</v>
      </c>
      <c r="C10" s="4" t="s">
        <v>6</v>
      </c>
    </row>
    <row r="11" spans="2:3" x14ac:dyDescent="0.3">
      <c r="B11" s="3">
        <v>7</v>
      </c>
      <c r="C11" s="4" t="s">
        <v>7</v>
      </c>
    </row>
    <row r="12" spans="2:3" ht="28.8" x14ac:dyDescent="0.3">
      <c r="B12" s="5">
        <v>8</v>
      </c>
      <c r="C12" s="6" t="s">
        <v>8</v>
      </c>
    </row>
    <row r="13" spans="2:3" x14ac:dyDescent="0.3">
      <c r="B13" s="3">
        <v>9</v>
      </c>
      <c r="C13" s="4" t="s">
        <v>9</v>
      </c>
    </row>
    <row r="14" spans="2:3" ht="28.8" x14ac:dyDescent="0.3">
      <c r="B14" s="5">
        <v>10</v>
      </c>
      <c r="C14" s="6"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5A4B5-A225-4D47-A359-D54F80F123AC}">
  <sheetPr>
    <tabColor theme="9" tint="0.79998168889431442"/>
  </sheetPr>
  <dimension ref="A1:DL130"/>
  <sheetViews>
    <sheetView zoomScale="70" zoomScaleNormal="70" workbookViewId="0">
      <selection activeCell="F19" sqref="F19"/>
    </sheetView>
  </sheetViews>
  <sheetFormatPr baseColWidth="10" defaultColWidth="8.88671875" defaultRowHeight="15" customHeight="1" x14ac:dyDescent="0.3"/>
  <cols>
    <col min="1" max="1" width="18.33203125" style="9" bestFit="1" customWidth="1"/>
    <col min="2" max="2" width="18.33203125" style="9" hidden="1" customWidth="1"/>
    <col min="3" max="3" width="78.88671875" style="9" bestFit="1" customWidth="1"/>
    <col min="4" max="4" width="37.5546875" style="9" bestFit="1" customWidth="1"/>
    <col min="5" max="5" width="7.6640625" style="9" customWidth="1"/>
    <col min="6" max="18" width="10.6640625" style="9" customWidth="1"/>
    <col min="19" max="54" width="10.6640625" style="11" customWidth="1"/>
    <col min="55" max="55" width="5.88671875" style="9" customWidth="1"/>
    <col min="56" max="56" width="17.6640625" style="9" hidden="1" customWidth="1"/>
    <col min="57" max="57" width="35" style="9" customWidth="1"/>
    <col min="58" max="58" width="8.88671875" style="38"/>
    <col min="59" max="59" width="10.5546875" style="9" bestFit="1" customWidth="1"/>
    <col min="60" max="61" width="8.88671875" style="9"/>
    <col min="62" max="62" width="47.88671875" style="9" customWidth="1"/>
    <col min="63" max="63" width="8.88671875" style="9"/>
    <col min="64" max="64" width="9.33203125" style="9" bestFit="1" customWidth="1"/>
    <col min="65" max="115" width="8.88671875" style="9"/>
  </cols>
  <sheetData>
    <row r="1" spans="1:116" ht="14.4" x14ac:dyDescent="0.3">
      <c r="A1" s="9" t="s">
        <v>11</v>
      </c>
      <c r="G1" s="10"/>
    </row>
    <row r="2" spans="1:116" ht="14.4" x14ac:dyDescent="0.3">
      <c r="G2" s="11"/>
      <c r="BB2" s="12"/>
      <c r="BE2" s="13" t="s">
        <v>12</v>
      </c>
      <c r="BJ2" s="366" t="s">
        <v>13</v>
      </c>
      <c r="BK2" s="367"/>
      <c r="BL2" s="367"/>
      <c r="BM2" s="367"/>
    </row>
    <row r="3" spans="1:116" ht="14.4" x14ac:dyDescent="0.3">
      <c r="A3" s="14" t="s">
        <v>14</v>
      </c>
      <c r="B3" s="14"/>
      <c r="C3" s="14" t="s">
        <v>15</v>
      </c>
      <c r="D3" s="14" t="s">
        <v>16</v>
      </c>
      <c r="E3" s="14">
        <v>2021</v>
      </c>
      <c r="F3" s="14">
        <v>2022</v>
      </c>
      <c r="G3" s="14">
        <v>2023</v>
      </c>
      <c r="H3" s="14">
        <v>2024</v>
      </c>
      <c r="I3" s="14">
        <v>2025</v>
      </c>
      <c r="J3" s="14">
        <v>2026</v>
      </c>
      <c r="K3" s="14">
        <v>2027</v>
      </c>
      <c r="L3" s="14">
        <v>2028</v>
      </c>
      <c r="M3" s="14">
        <v>2029</v>
      </c>
      <c r="N3" s="14">
        <v>2030</v>
      </c>
      <c r="O3" s="14">
        <v>2031</v>
      </c>
      <c r="P3" s="14">
        <v>2032</v>
      </c>
      <c r="Q3" s="14">
        <v>2033</v>
      </c>
      <c r="R3" s="14">
        <v>2034</v>
      </c>
      <c r="S3" s="15">
        <v>2035</v>
      </c>
      <c r="T3" s="15">
        <v>2036</v>
      </c>
      <c r="U3" s="15">
        <v>2037</v>
      </c>
      <c r="V3" s="15">
        <v>2038</v>
      </c>
      <c r="W3" s="15">
        <v>2039</v>
      </c>
      <c r="X3" s="15">
        <v>2040</v>
      </c>
      <c r="Y3" s="15">
        <v>2041</v>
      </c>
      <c r="Z3" s="15">
        <v>2042</v>
      </c>
      <c r="AA3" s="15">
        <v>2043</v>
      </c>
      <c r="AB3" s="15">
        <v>2044</v>
      </c>
      <c r="AC3" s="15">
        <v>2045</v>
      </c>
      <c r="AD3" s="15">
        <v>2046</v>
      </c>
      <c r="AE3" s="15">
        <v>2047</v>
      </c>
      <c r="AF3" s="15">
        <v>2048</v>
      </c>
      <c r="AG3" s="15">
        <v>2049</v>
      </c>
      <c r="AH3" s="15">
        <v>2050</v>
      </c>
      <c r="AI3" s="15">
        <v>2051</v>
      </c>
      <c r="AJ3" s="15">
        <v>2052</v>
      </c>
      <c r="AK3" s="15">
        <v>2053</v>
      </c>
      <c r="AL3" s="15">
        <v>2054</v>
      </c>
      <c r="AM3" s="15">
        <v>2055</v>
      </c>
      <c r="AN3" s="15">
        <v>2056</v>
      </c>
      <c r="AO3" s="15">
        <v>2057</v>
      </c>
      <c r="AP3" s="15">
        <v>2058</v>
      </c>
      <c r="AQ3" s="15">
        <v>2059</v>
      </c>
      <c r="AR3" s="15">
        <v>2060</v>
      </c>
      <c r="AS3" s="15">
        <v>2061</v>
      </c>
      <c r="AT3" s="15">
        <v>2062</v>
      </c>
      <c r="AU3" s="15">
        <v>2063</v>
      </c>
      <c r="AV3" s="15">
        <v>2064</v>
      </c>
      <c r="AW3" s="15">
        <v>2065</v>
      </c>
      <c r="AX3" s="15">
        <v>2066</v>
      </c>
      <c r="AY3" s="15">
        <v>2067</v>
      </c>
      <c r="AZ3" s="15">
        <v>2068</v>
      </c>
      <c r="BA3" s="15">
        <v>2069</v>
      </c>
      <c r="BB3" s="15">
        <v>2070</v>
      </c>
      <c r="BC3" s="16"/>
      <c r="BE3" s="17"/>
      <c r="BF3" s="39"/>
      <c r="BG3" s="18"/>
      <c r="BH3" s="18"/>
      <c r="BI3" s="18"/>
      <c r="BJ3" s="76" t="s">
        <v>17</v>
      </c>
      <c r="BK3" s="77" t="s">
        <v>16</v>
      </c>
      <c r="BL3" s="77">
        <v>2022</v>
      </c>
      <c r="BM3" s="76">
        <v>2023</v>
      </c>
      <c r="BN3" s="76">
        <v>2024</v>
      </c>
      <c r="BO3" s="76">
        <v>2025</v>
      </c>
      <c r="BP3" s="76">
        <v>2026</v>
      </c>
      <c r="BQ3" s="76">
        <v>2027</v>
      </c>
      <c r="BR3" s="76">
        <v>2028</v>
      </c>
      <c r="BS3" s="76">
        <v>2029</v>
      </c>
      <c r="BT3" s="76">
        <v>2030</v>
      </c>
      <c r="BU3" s="76">
        <v>2031</v>
      </c>
      <c r="BV3" s="76">
        <v>2032</v>
      </c>
      <c r="BW3" s="76">
        <v>2033</v>
      </c>
      <c r="BX3" s="76">
        <v>2034</v>
      </c>
      <c r="BY3" s="76">
        <v>2035</v>
      </c>
      <c r="BZ3" s="76">
        <v>2036</v>
      </c>
      <c r="CA3" s="76">
        <v>2037</v>
      </c>
      <c r="CB3" s="76">
        <v>2038</v>
      </c>
      <c r="CC3" s="76">
        <v>2039</v>
      </c>
      <c r="CD3" s="76">
        <v>2040</v>
      </c>
      <c r="CE3" s="76">
        <v>2041</v>
      </c>
      <c r="CF3" s="76">
        <v>2042</v>
      </c>
      <c r="CG3" s="76">
        <v>2043</v>
      </c>
      <c r="CH3" s="76">
        <v>2044</v>
      </c>
      <c r="CI3" s="76">
        <v>2045</v>
      </c>
      <c r="CJ3" s="76">
        <v>2046</v>
      </c>
      <c r="CK3" s="76">
        <v>2047</v>
      </c>
      <c r="CL3" s="76">
        <v>2048</v>
      </c>
      <c r="CM3" s="76">
        <v>2049</v>
      </c>
      <c r="CN3" s="76">
        <v>2050</v>
      </c>
      <c r="CO3" s="76">
        <v>2051</v>
      </c>
      <c r="CP3" s="76">
        <v>2052</v>
      </c>
      <c r="CQ3" s="76">
        <v>2053</v>
      </c>
      <c r="CR3" s="76">
        <v>2054</v>
      </c>
      <c r="CS3" s="76">
        <v>2055</v>
      </c>
      <c r="CT3" s="76">
        <v>2056</v>
      </c>
      <c r="CU3" s="76">
        <v>2057</v>
      </c>
      <c r="CV3" s="76">
        <v>2058</v>
      </c>
      <c r="CW3" s="76">
        <v>2059</v>
      </c>
      <c r="CX3" s="76">
        <v>2060</v>
      </c>
      <c r="CY3" s="76">
        <v>2061</v>
      </c>
      <c r="CZ3" s="76">
        <v>2062</v>
      </c>
      <c r="DA3" s="76">
        <v>2063</v>
      </c>
      <c r="DB3" s="76">
        <v>2064</v>
      </c>
      <c r="DC3" s="76">
        <v>2065</v>
      </c>
      <c r="DD3" s="76">
        <v>2066</v>
      </c>
      <c r="DE3" s="76">
        <v>2067</v>
      </c>
      <c r="DF3" s="76">
        <v>2068</v>
      </c>
      <c r="DG3" s="76">
        <v>2069</v>
      </c>
      <c r="DH3" s="76">
        <v>2070</v>
      </c>
    </row>
    <row r="4" spans="1:116" ht="14.4" x14ac:dyDescent="0.3">
      <c r="A4" s="16" t="s">
        <v>18</v>
      </c>
      <c r="B4" s="16"/>
      <c r="C4" s="58" t="s">
        <v>19</v>
      </c>
      <c r="D4" s="351" t="s">
        <v>20</v>
      </c>
      <c r="E4" s="351"/>
      <c r="F4" s="61">
        <f>F13-F5</f>
        <v>12.253199032794521</v>
      </c>
      <c r="G4" s="61">
        <f>G13-G5</f>
        <v>12.200594748824376</v>
      </c>
      <c r="H4" s="61">
        <f t="shared" ref="H4:AK4" si="0">H13-H5</f>
        <v>12.14865680130111</v>
      </c>
      <c r="I4" s="61">
        <f t="shared" si="0"/>
        <v>12.097378577875427</v>
      </c>
      <c r="J4" s="61">
        <f t="shared" si="0"/>
        <v>12.046753565922012</v>
      </c>
      <c r="K4" s="61">
        <f t="shared" si="0"/>
        <v>11.996775351173019</v>
      </c>
      <c r="L4" s="61">
        <f t="shared" si="0"/>
        <v>11.947437616375096</v>
      </c>
      <c r="M4" s="61">
        <f t="shared" si="0"/>
        <v>11.898734139969633</v>
      </c>
      <c r="N4" s="61">
        <f t="shared" si="0"/>
        <v>11.850658794795789</v>
      </c>
      <c r="O4" s="61">
        <f t="shared" si="0"/>
        <v>11.803205546815946</v>
      </c>
      <c r="P4" s="61">
        <f t="shared" si="0"/>
        <v>11.756368453863216</v>
      </c>
      <c r="Q4" s="61">
        <f t="shared" si="0"/>
        <v>11.710141664410649</v>
      </c>
      <c r="R4" s="61">
        <f t="shared" si="0"/>
        <v>11.664519416361767</v>
      </c>
      <c r="S4" s="61">
        <f t="shared" si="0"/>
        <v>11.619496035862092</v>
      </c>
      <c r="T4" s="61">
        <f t="shared" si="0"/>
        <v>11.57506593613132</v>
      </c>
      <c r="U4" s="61">
        <f t="shared" si="0"/>
        <v>11.53122361631581</v>
      </c>
      <c r="V4" s="61">
        <f t="shared" si="0"/>
        <v>11.487963660361057</v>
      </c>
      <c r="W4" s="61">
        <f t="shared" si="0"/>
        <v>11.445280735903818</v>
      </c>
      <c r="X4" s="61">
        <f t="shared" si="0"/>
        <v>11.403169593183597</v>
      </c>
      <c r="Y4" s="61">
        <f t="shared" si="0"/>
        <v>11.361625063973152</v>
      </c>
      <c r="Z4" s="61">
        <f t="shared" si="0"/>
        <v>11.320642060527751</v>
      </c>
      <c r="AA4" s="61">
        <f t="shared" si="0"/>
        <v>11.280215574552841</v>
      </c>
      <c r="AB4" s="61">
        <f t="shared" si="0"/>
        <v>11.240340676189881</v>
      </c>
      <c r="AC4" s="61">
        <f t="shared" si="0"/>
        <v>11.201012513020009</v>
      </c>
      <c r="AD4" s="61">
        <f t="shared" si="0"/>
        <v>11.162226309085298</v>
      </c>
      <c r="AE4" s="61">
        <f t="shared" si="0"/>
        <v>11.123977363927306</v>
      </c>
      <c r="AF4" s="61">
        <f t="shared" si="0"/>
        <v>11.08626105164266</v>
      </c>
      <c r="AG4" s="61">
        <f t="shared" si="0"/>
        <v>11.04907281995539</v>
      </c>
      <c r="AH4" s="61">
        <f t="shared" si="0"/>
        <v>11.012408189305777</v>
      </c>
      <c r="AI4" s="61">
        <f t="shared" si="0"/>
        <v>10.976262751955456</v>
      </c>
      <c r="AJ4" s="61">
        <f t="shared" si="0"/>
        <v>10.940632171108509</v>
      </c>
      <c r="AK4" s="61">
        <f t="shared" si="0"/>
        <v>10.905512180048314</v>
      </c>
      <c r="AL4" s="61">
        <f t="shared" ref="AL4:BB4" si="1">AL13-AL5</f>
        <v>10.870898581289911</v>
      </c>
      <c r="AM4" s="61">
        <f t="shared" si="1"/>
        <v>10.836787245747653</v>
      </c>
      <c r="AN4" s="61">
        <f t="shared" si="1"/>
        <v>10.803174111917903</v>
      </c>
      <c r="AO4" s="61">
        <f t="shared" si="1"/>
        <v>10.770055185076544</v>
      </c>
      <c r="AP4" s="61">
        <f t="shared" si="1"/>
        <v>10.737426536491109</v>
      </c>
      <c r="AQ4" s="61">
        <f t="shared" si="1"/>
        <v>10.705284302647287</v>
      </c>
      <c r="AR4" s="61">
        <f t="shared" si="1"/>
        <v>10.673624684489594</v>
      </c>
      <c r="AS4" s="61">
        <f t="shared" si="1"/>
        <v>10.642443946676021</v>
      </c>
      <c r="AT4" s="61">
        <f t="shared" si="1"/>
        <v>10.611738416846432</v>
      </c>
      <c r="AU4" s="61">
        <f t="shared" si="1"/>
        <v>10.581504484904524</v>
      </c>
      <c r="AV4" s="61">
        <f t="shared" si="1"/>
        <v>10.551738602313145</v>
      </c>
      <c r="AW4" s="61">
        <f t="shared" si="1"/>
        <v>10.522437281402798</v>
      </c>
      <c r="AX4" s="61">
        <f t="shared" si="1"/>
        <v>10.493597094693097</v>
      </c>
      <c r="AY4" s="61">
        <f t="shared" si="1"/>
        <v>10.465214674227051</v>
      </c>
      <c r="AZ4" s="61">
        <f t="shared" si="1"/>
        <v>10.437286710917943</v>
      </c>
      <c r="BA4" s="61">
        <f t="shared" si="1"/>
        <v>10.40980995390867</v>
      </c>
      <c r="BB4" s="61">
        <f t="shared" si="1"/>
        <v>10.382781209943323</v>
      </c>
      <c r="BC4" s="354"/>
      <c r="BE4" s="19" t="s">
        <v>21</v>
      </c>
      <c r="BF4" s="40">
        <f>62500/1000000</f>
        <v>6.25E-2</v>
      </c>
      <c r="BG4" s="20"/>
      <c r="BH4" s="20"/>
      <c r="BI4" s="20"/>
      <c r="BJ4" s="17" t="s">
        <v>22</v>
      </c>
      <c r="BK4" s="17" t="s">
        <v>20</v>
      </c>
      <c r="BL4" s="74">
        <v>12.285659636415</v>
      </c>
      <c r="BM4" s="74">
        <v>12.229145602087447</v>
      </c>
      <c r="BN4" s="74">
        <v>12.172891532317845</v>
      </c>
      <c r="BO4" s="74">
        <v>12.116896231269182</v>
      </c>
      <c r="BP4" s="74">
        <v>12.061158508605343</v>
      </c>
      <c r="BQ4" s="74">
        <v>12.005677179465758</v>
      </c>
      <c r="BR4" s="74">
        <v>11.950451064440216</v>
      </c>
      <c r="BS4" s="74">
        <v>11.89547898954379</v>
      </c>
      <c r="BT4" s="74">
        <v>11.840759786191887</v>
      </c>
      <c r="BU4" s="74">
        <v>11.786292291175403</v>
      </c>
      <c r="BV4" s="74">
        <v>11.732075346635996</v>
      </c>
      <c r="BW4" s="74">
        <v>11.67810780004147</v>
      </c>
      <c r="BX4" s="74">
        <v>11.62438850416128</v>
      </c>
      <c r="BY4" s="74">
        <v>11.570916317042137</v>
      </c>
      <c r="BZ4" s="74">
        <v>11.517690101983742</v>
      </c>
      <c r="CA4" s="74">
        <v>11.464708727514617</v>
      </c>
      <c r="CB4" s="74">
        <v>11.41197106736805</v>
      </c>
      <c r="CC4" s="74">
        <v>11.359476000458157</v>
      </c>
      <c r="CD4" s="74">
        <v>11.307222410856049</v>
      </c>
      <c r="CE4" s="74">
        <v>11.255209187766111</v>
      </c>
      <c r="CF4" s="74">
        <v>11.203435225502385</v>
      </c>
      <c r="CG4" s="74">
        <v>11.151899423465075</v>
      </c>
      <c r="CH4" s="74">
        <v>11.100600686117135</v>
      </c>
      <c r="CI4" s="74">
        <v>11.049537922960996</v>
      </c>
      <c r="CJ4" s="74">
        <v>10.998710048515374</v>
      </c>
      <c r="CK4" s="74">
        <v>10.948115982292203</v>
      </c>
      <c r="CL4" s="74">
        <v>10.897754648773658</v>
      </c>
      <c r="CM4" s="74">
        <v>10.847624977389298</v>
      </c>
      <c r="CN4" s="74">
        <v>10.797725902493307</v>
      </c>
      <c r="CO4" s="74">
        <v>10.748056363341837</v>
      </c>
      <c r="CP4" s="74">
        <v>10.698615304070463</v>
      </c>
      <c r="CQ4" s="74">
        <v>10.649401673671738</v>
      </c>
      <c r="CR4" s="74">
        <v>10.600414425972847</v>
      </c>
      <c r="CS4" s="74">
        <v>10.551652519613372</v>
      </c>
      <c r="CT4" s="74">
        <v>10.503114918023149</v>
      </c>
      <c r="CU4" s="74">
        <v>10.454800589400243</v>
      </c>
      <c r="CV4" s="74">
        <v>10.406708506689002</v>
      </c>
      <c r="CW4" s="74">
        <v>10.358837647558232</v>
      </c>
      <c r="CX4" s="74">
        <v>10.311186994379463</v>
      </c>
      <c r="CY4" s="74">
        <v>10.263755534205318</v>
      </c>
      <c r="CZ4" s="74">
        <v>10.216542258747973</v>
      </c>
      <c r="DA4" s="74">
        <v>10.169546164357731</v>
      </c>
      <c r="DB4" s="74">
        <v>10.122766252001686</v>
      </c>
      <c r="DC4" s="74">
        <v>10.076201527242478</v>
      </c>
      <c r="DD4" s="74">
        <v>10.029851000217162</v>
      </c>
      <c r="DE4" s="74">
        <v>9.9837136856161628</v>
      </c>
      <c r="DF4" s="74">
        <v>9.9377886026623283</v>
      </c>
      <c r="DG4" s="74">
        <v>9.8920747750900819</v>
      </c>
      <c r="DH4" s="74">
        <v>9.8465712311246669</v>
      </c>
    </row>
    <row r="5" spans="1:116" ht="14.4" x14ac:dyDescent="0.3">
      <c r="A5" s="16"/>
      <c r="B5" s="16"/>
      <c r="C5" s="58" t="s">
        <v>23</v>
      </c>
      <c r="D5" s="351" t="s">
        <v>20</v>
      </c>
      <c r="E5" s="351"/>
      <c r="F5" s="61">
        <v>3.57930610263235E-2</v>
      </c>
      <c r="G5" s="61">
        <v>3.562841294560215E-2</v>
      </c>
      <c r="H5" s="61">
        <v>3.5464522246051899E-2</v>
      </c>
      <c r="I5" s="61">
        <v>3.5301385443720079E-2</v>
      </c>
      <c r="J5" s="61">
        <v>3.5138999070680299E-2</v>
      </c>
      <c r="K5" s="61">
        <v>3.49773596749543E-2</v>
      </c>
      <c r="L5" s="61">
        <v>3.4816463820449783E-2</v>
      </c>
      <c r="M5" s="61">
        <v>3.4656308086875143E-2</v>
      </c>
      <c r="N5" s="61">
        <v>3.4496889069675518E-2</v>
      </c>
      <c r="O5" s="61">
        <v>3.4338203379954635E-2</v>
      </c>
      <c r="P5" s="61">
        <v>3.4180247644407302E-2</v>
      </c>
      <c r="Q5" s="61">
        <v>3.402301850524303E-2</v>
      </c>
      <c r="R5" s="61">
        <v>3.3866512620120304E-2</v>
      </c>
      <c r="S5" s="61">
        <v>3.3710726662066648E-2</v>
      </c>
      <c r="T5" s="61">
        <v>3.3555657319420007E-2</v>
      </c>
      <c r="U5" s="61">
        <v>3.3401301295752361E-2</v>
      </c>
      <c r="V5" s="61">
        <v>3.3247655309791568E-2</v>
      </c>
      <c r="W5" s="61">
        <v>3.3094716095366294E-2</v>
      </c>
      <c r="X5" s="61">
        <v>3.2942480401327856E-2</v>
      </c>
      <c r="Y5" s="61">
        <v>3.2790944991480941E-2</v>
      </c>
      <c r="Z5" s="61">
        <v>3.2640106644519662E-2</v>
      </c>
      <c r="AA5" s="61">
        <v>3.2489962153956498E-2</v>
      </c>
      <c r="AB5" s="61">
        <v>3.234050832804769E-2</v>
      </c>
      <c r="AC5" s="61">
        <v>3.2191741989738176E-2</v>
      </c>
      <c r="AD5" s="61">
        <v>3.2043659976585204E-2</v>
      </c>
      <c r="AE5" s="61">
        <v>3.1896259140694383E-2</v>
      </c>
      <c r="AF5" s="61">
        <v>3.1749536348646856E-2</v>
      </c>
      <c r="AG5" s="61">
        <v>3.1603488481442454E-2</v>
      </c>
      <c r="AH5" s="61">
        <v>3.1458112434426866E-2</v>
      </c>
      <c r="AI5" s="61">
        <v>3.1313405117229465E-2</v>
      </c>
      <c r="AJ5" s="61">
        <v>3.116936345369048E-2</v>
      </c>
      <c r="AK5" s="61">
        <v>3.1025984381802374E-2</v>
      </c>
      <c r="AL5" s="61">
        <v>3.0883264853645898E-2</v>
      </c>
      <c r="AM5" s="61">
        <v>3.0741201835320808E-2</v>
      </c>
      <c r="AN5" s="61">
        <v>3.0599792306876594E-2</v>
      </c>
      <c r="AO5" s="61">
        <v>3.0459033262266288E-2</v>
      </c>
      <c r="AP5" s="61">
        <v>3.0318921709261204E-2</v>
      </c>
      <c r="AQ5" s="61">
        <v>3.0179454669397643E-2</v>
      </c>
      <c r="AR5" s="61">
        <v>3.0040629177918277E-2</v>
      </c>
      <c r="AS5" s="61">
        <v>2.9902442283699315E-2</v>
      </c>
      <c r="AT5" s="61">
        <v>2.9764891049193665E-2</v>
      </c>
      <c r="AU5" s="61">
        <v>2.9627972550366977E-2</v>
      </c>
      <c r="AV5" s="61">
        <v>2.9491683876637254E-2</v>
      </c>
      <c r="AW5" s="61">
        <v>2.935602213080557E-2</v>
      </c>
      <c r="AX5" s="61">
        <v>2.9220984429002783E-2</v>
      </c>
      <c r="AY5" s="61">
        <v>2.9086567900629134E-2</v>
      </c>
      <c r="AZ5" s="61">
        <v>2.895276968828675E-2</v>
      </c>
      <c r="BA5" s="61">
        <v>2.8819586947721021E-2</v>
      </c>
      <c r="BB5" s="61">
        <v>2.8687016847760205E-2</v>
      </c>
      <c r="BC5" s="354"/>
      <c r="BE5" s="19"/>
      <c r="BF5" s="40"/>
      <c r="BG5" s="20"/>
      <c r="BH5" s="20"/>
      <c r="BI5" s="20"/>
      <c r="BJ5" s="17"/>
      <c r="BK5" s="17"/>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c r="CW5" s="74"/>
      <c r="CX5" s="74"/>
      <c r="CY5" s="74"/>
      <c r="CZ5" s="74"/>
      <c r="DA5" s="74"/>
      <c r="DB5" s="74"/>
      <c r="DC5" s="74"/>
      <c r="DD5" s="74"/>
      <c r="DE5" s="74"/>
      <c r="DF5" s="74"/>
      <c r="DG5" s="74"/>
      <c r="DH5" s="74"/>
    </row>
    <row r="6" spans="1:116" ht="14.4" x14ac:dyDescent="0.3">
      <c r="A6" s="16"/>
      <c r="B6" s="16"/>
      <c r="C6" s="55" t="s">
        <v>24</v>
      </c>
      <c r="D6" s="351" t="s">
        <v>20</v>
      </c>
      <c r="E6" s="351"/>
      <c r="F6" s="67">
        <v>6.25E-2</v>
      </c>
      <c r="G6" s="67">
        <v>6.25E-2</v>
      </c>
      <c r="H6" s="67">
        <v>6.25E-2</v>
      </c>
      <c r="I6" s="67">
        <v>6.25E-2</v>
      </c>
      <c r="J6" s="69">
        <v>9.9970000000000003E-2</v>
      </c>
      <c r="K6" s="69">
        <v>9.9970000000000003E-2</v>
      </c>
      <c r="L6" s="69">
        <v>9.9970000000000003E-2</v>
      </c>
      <c r="M6" s="69">
        <v>9.9970000000000003E-2</v>
      </c>
      <c r="N6" s="69">
        <v>9.9970000000000003E-2</v>
      </c>
      <c r="O6" s="69">
        <v>9.9970000000000003E-2</v>
      </c>
      <c r="P6" s="69">
        <v>9.9970000000000003E-2</v>
      </c>
      <c r="Q6" s="69">
        <v>9.9970000000000003E-2</v>
      </c>
      <c r="R6" s="69">
        <v>9.9970000000000003E-2</v>
      </c>
      <c r="S6" s="69">
        <v>9.9970000000000003E-2</v>
      </c>
      <c r="T6" s="69">
        <v>9.9970000000000003E-2</v>
      </c>
      <c r="U6" s="69">
        <v>9.9970000000000003E-2</v>
      </c>
      <c r="V6" s="69">
        <v>9.9970000000000003E-2</v>
      </c>
      <c r="W6" s="69">
        <v>9.9970000000000003E-2</v>
      </c>
      <c r="X6" s="69">
        <v>9.9970000000000003E-2</v>
      </c>
      <c r="Y6" s="69">
        <v>9.9970000000000003E-2</v>
      </c>
      <c r="Z6" s="69">
        <v>9.9970000000000003E-2</v>
      </c>
      <c r="AA6" s="69">
        <v>9.9970000000000003E-2</v>
      </c>
      <c r="AB6" s="69">
        <v>9.9970000000000003E-2</v>
      </c>
      <c r="AC6" s="69">
        <v>9.9970000000000003E-2</v>
      </c>
      <c r="AD6" s="69">
        <v>9.9970000000000003E-2</v>
      </c>
      <c r="AE6" s="67"/>
      <c r="AF6" s="67"/>
      <c r="AG6" s="67"/>
      <c r="AH6" s="67"/>
      <c r="AI6" s="67"/>
      <c r="AJ6" s="67"/>
      <c r="AK6" s="67"/>
      <c r="AL6" s="67"/>
      <c r="AM6" s="67"/>
      <c r="AN6" s="67"/>
      <c r="AO6" s="67"/>
      <c r="AP6" s="67"/>
      <c r="AQ6" s="67"/>
      <c r="AR6" s="67"/>
      <c r="AS6" s="67"/>
      <c r="AT6" s="67"/>
      <c r="AU6" s="67"/>
      <c r="AV6" s="67"/>
      <c r="AW6" s="67"/>
      <c r="AX6" s="67"/>
      <c r="AY6" s="67"/>
      <c r="AZ6" s="67"/>
      <c r="BA6" s="67"/>
      <c r="BB6" s="67"/>
      <c r="BC6" s="354"/>
      <c r="BE6" s="19"/>
      <c r="BF6" s="40"/>
      <c r="BG6" s="20"/>
      <c r="BH6" s="20"/>
      <c r="BI6" s="20"/>
      <c r="BJ6" s="17"/>
      <c r="BK6" s="17"/>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c r="DA6" s="74"/>
      <c r="DB6" s="74"/>
      <c r="DC6" s="74"/>
      <c r="DD6" s="74"/>
      <c r="DE6" s="74"/>
      <c r="DF6" s="74"/>
      <c r="DG6" s="74"/>
      <c r="DH6" s="74"/>
    </row>
    <row r="7" spans="1:116" ht="14.4" x14ac:dyDescent="0.3">
      <c r="A7" s="16"/>
      <c r="B7" s="16"/>
      <c r="C7" s="55" t="s">
        <v>25</v>
      </c>
      <c r="D7" s="351" t="s">
        <v>20</v>
      </c>
      <c r="E7" s="20">
        <v>1.6506510000000001</v>
      </c>
      <c r="F7" s="61">
        <f>E7+F6</f>
        <v>1.7131510000000001</v>
      </c>
      <c r="G7" s="61">
        <f>F7+G6</f>
        <v>1.7756510000000001</v>
      </c>
      <c r="H7" s="61">
        <f>G7+H6</f>
        <v>1.8381510000000001</v>
      </c>
      <c r="I7" s="61">
        <f t="shared" ref="I7" si="2">H7+I6</f>
        <v>1.9006510000000001</v>
      </c>
      <c r="J7" s="61">
        <f t="shared" ref="J7" si="3">I7+J6</f>
        <v>2.0006210000000002</v>
      </c>
      <c r="K7" s="61">
        <f t="shared" ref="K7" si="4">J7+K6</f>
        <v>2.1005910000000001</v>
      </c>
      <c r="L7" s="61">
        <f t="shared" ref="L7" si="5">K7+L6</f>
        <v>2.200561</v>
      </c>
      <c r="M7" s="61">
        <f t="shared" ref="M7" si="6">L7+M6</f>
        <v>2.3005309999999999</v>
      </c>
      <c r="N7" s="61">
        <f t="shared" ref="N7" si="7">M7+N6</f>
        <v>2.4005009999999998</v>
      </c>
      <c r="O7" s="61">
        <f t="shared" ref="O7" si="8">N7+O6</f>
        <v>2.5004709999999997</v>
      </c>
      <c r="P7" s="61">
        <f t="shared" ref="P7" si="9">O7+P6</f>
        <v>2.6004409999999996</v>
      </c>
      <c r="Q7" s="61">
        <f t="shared" ref="Q7" si="10">P7+Q6</f>
        <v>2.7004109999999995</v>
      </c>
      <c r="R7" s="61">
        <f t="shared" ref="R7" si="11">Q7+R6</f>
        <v>2.8003809999999993</v>
      </c>
      <c r="S7" s="61">
        <f t="shared" ref="S7" si="12">R7+S6</f>
        <v>2.9003509999999992</v>
      </c>
      <c r="T7" s="61">
        <f t="shared" ref="T7" si="13">S7+T6</f>
        <v>3.0003209999999991</v>
      </c>
      <c r="U7" s="61">
        <f t="shared" ref="U7" si="14">T7+U6</f>
        <v>3.100290999999999</v>
      </c>
      <c r="V7" s="61">
        <f t="shared" ref="V7" si="15">U7+V6</f>
        <v>3.2002609999999989</v>
      </c>
      <c r="W7" s="61">
        <f t="shared" ref="W7" si="16">V7+W6</f>
        <v>3.3002309999999988</v>
      </c>
      <c r="X7" s="61">
        <f t="shared" ref="X7" si="17">W7+X6</f>
        <v>3.4002009999999987</v>
      </c>
      <c r="Y7" s="61">
        <f t="shared" ref="Y7" si="18">X7+Y6</f>
        <v>3.5001709999999986</v>
      </c>
      <c r="Z7" s="61">
        <f t="shared" ref="Z7" si="19">Y7+Z6</f>
        <v>3.6001409999999985</v>
      </c>
      <c r="AA7" s="61">
        <f t="shared" ref="AA7" si="20">Z7+AA6</f>
        <v>3.7001109999999984</v>
      </c>
      <c r="AB7" s="61">
        <f>AA7+AB6</f>
        <v>3.8000809999999983</v>
      </c>
      <c r="AC7" s="61">
        <f t="shared" ref="AC7" si="21">AB7+AC6</f>
        <v>3.9000509999999982</v>
      </c>
      <c r="AD7" s="61">
        <f t="shared" ref="AD7" si="22">AC7+AD6</f>
        <v>4.0000209999999985</v>
      </c>
      <c r="AE7" s="61">
        <f t="shared" ref="AE7" si="23">AD7+AE6</f>
        <v>4.0000209999999985</v>
      </c>
      <c r="AF7" s="61">
        <f t="shared" ref="AF7" si="24">AE7+AF6</f>
        <v>4.0000209999999985</v>
      </c>
      <c r="AG7" s="61">
        <f t="shared" ref="AG7" si="25">AF7+AG6</f>
        <v>4.0000209999999985</v>
      </c>
      <c r="AH7" s="61">
        <f t="shared" ref="AH7" si="26">AG7+AH6</f>
        <v>4.0000209999999985</v>
      </c>
      <c r="AI7" s="61">
        <f t="shared" ref="AI7" si="27">AH7+AI6</f>
        <v>4.0000209999999985</v>
      </c>
      <c r="AJ7" s="61">
        <f t="shared" ref="AJ7" si="28">AI7+AJ6</f>
        <v>4.0000209999999985</v>
      </c>
      <c r="AK7" s="61">
        <f t="shared" ref="AK7" si="29">AJ7+AK6</f>
        <v>4.0000209999999985</v>
      </c>
      <c r="AL7" s="61">
        <f t="shared" ref="AL7" si="30">AK7+AL6</f>
        <v>4.0000209999999985</v>
      </c>
      <c r="AM7" s="61">
        <f t="shared" ref="AM7" si="31">AL7+AM6</f>
        <v>4.0000209999999985</v>
      </c>
      <c r="AN7" s="61">
        <f t="shared" ref="AN7" si="32">AM7+AN6</f>
        <v>4.0000209999999985</v>
      </c>
      <c r="AO7" s="61">
        <f t="shared" ref="AO7" si="33">AN7+AO6</f>
        <v>4.0000209999999985</v>
      </c>
      <c r="AP7" s="61">
        <f t="shared" ref="AP7" si="34">AO7+AP6</f>
        <v>4.0000209999999985</v>
      </c>
      <c r="AQ7" s="61">
        <f t="shared" ref="AQ7" si="35">AP7+AQ6</f>
        <v>4.0000209999999985</v>
      </c>
      <c r="AR7" s="61">
        <f t="shared" ref="AR7" si="36">AQ7+AR6</f>
        <v>4.0000209999999985</v>
      </c>
      <c r="AS7" s="61">
        <f t="shared" ref="AS7" si="37">AR7+AS6</f>
        <v>4.0000209999999985</v>
      </c>
      <c r="AT7" s="61">
        <f t="shared" ref="AT7" si="38">AS7+AT6</f>
        <v>4.0000209999999985</v>
      </c>
      <c r="AU7" s="61">
        <f t="shared" ref="AU7" si="39">AT7+AU6</f>
        <v>4.0000209999999985</v>
      </c>
      <c r="AV7" s="61">
        <f t="shared" ref="AV7" si="40">AU7+AV6</f>
        <v>4.0000209999999985</v>
      </c>
      <c r="AW7" s="61">
        <f t="shared" ref="AW7" si="41">AV7+AW6</f>
        <v>4.0000209999999985</v>
      </c>
      <c r="AX7" s="61">
        <f t="shared" ref="AX7" si="42">AW7+AX6</f>
        <v>4.0000209999999985</v>
      </c>
      <c r="AY7" s="61">
        <f t="shared" ref="AY7" si="43">AX7+AY6</f>
        <v>4.0000209999999985</v>
      </c>
      <c r="AZ7" s="61">
        <f t="shared" ref="AZ7" si="44">AY7+AZ6</f>
        <v>4.0000209999999985</v>
      </c>
      <c r="BA7" s="61">
        <f t="shared" ref="BA7" si="45">AZ7+BA6</f>
        <v>4.0000209999999985</v>
      </c>
      <c r="BB7" s="61">
        <f t="shared" ref="BB7" si="46">BA7+BB6</f>
        <v>4.0000209999999985</v>
      </c>
      <c r="BC7" s="354"/>
      <c r="BE7" s="19"/>
      <c r="BF7" s="40"/>
      <c r="BG7" s="20"/>
      <c r="BH7" s="20"/>
      <c r="BI7" s="20"/>
      <c r="BJ7" s="17"/>
      <c r="BK7" s="17"/>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c r="CL7" s="74"/>
      <c r="CM7" s="74"/>
      <c r="CN7" s="74"/>
      <c r="CO7" s="74"/>
      <c r="CP7" s="74"/>
      <c r="CQ7" s="74"/>
      <c r="CR7" s="74"/>
      <c r="CS7" s="74"/>
      <c r="CT7" s="74"/>
      <c r="CU7" s="74"/>
      <c r="CV7" s="74"/>
      <c r="CW7" s="74"/>
      <c r="CX7" s="74"/>
      <c r="CY7" s="74"/>
      <c r="CZ7" s="74"/>
      <c r="DA7" s="74"/>
      <c r="DB7" s="74"/>
      <c r="DC7" s="74"/>
      <c r="DD7" s="74"/>
      <c r="DE7" s="74"/>
      <c r="DF7" s="74"/>
      <c r="DG7" s="74"/>
      <c r="DH7" s="74"/>
    </row>
    <row r="8" spans="1:116" ht="14.4" x14ac:dyDescent="0.3">
      <c r="A8" s="16"/>
      <c r="B8" s="16"/>
      <c r="C8" s="55" t="s">
        <v>26</v>
      </c>
      <c r="D8" s="351" t="s">
        <v>20</v>
      </c>
      <c r="E8" s="70">
        <v>5.9598926199999998</v>
      </c>
      <c r="F8" s="60">
        <f>E8-$E$7</f>
        <v>4.3092416199999999</v>
      </c>
      <c r="G8" s="60">
        <v>4.3092416199999999</v>
      </c>
      <c r="H8" s="60">
        <v>4.3092416199999999</v>
      </c>
      <c r="I8" s="60">
        <v>4.3092416199999999</v>
      </c>
      <c r="J8" s="60">
        <v>4.3092416199999999</v>
      </c>
      <c r="K8" s="60">
        <v>4.3092416199999999</v>
      </c>
      <c r="L8" s="60">
        <v>4.3092416199999999</v>
      </c>
      <c r="M8" s="60">
        <v>4.3092416199999999</v>
      </c>
      <c r="N8" s="60">
        <v>4.3092416199999999</v>
      </c>
      <c r="O8" s="60">
        <v>4.3092416199999999</v>
      </c>
      <c r="P8" s="60">
        <v>4.3092416199999999</v>
      </c>
      <c r="Q8" s="60">
        <v>4.3092416199999999</v>
      </c>
      <c r="R8" s="60">
        <v>4.3092416199999999</v>
      </c>
      <c r="S8" s="60">
        <v>4.3092416199999999</v>
      </c>
      <c r="T8" s="60">
        <v>4.3092416199999999</v>
      </c>
      <c r="U8" s="60">
        <v>4.3092416199999999</v>
      </c>
      <c r="V8" s="60">
        <v>4.3092416199999999</v>
      </c>
      <c r="W8" s="60">
        <v>4.3092416199999999</v>
      </c>
      <c r="X8" s="60">
        <v>4.3092416199999999</v>
      </c>
      <c r="Y8" s="60">
        <v>4.3092416199999999</v>
      </c>
      <c r="Z8" s="60">
        <v>4.3092416199999999</v>
      </c>
      <c r="AA8" s="60">
        <v>4.3092416199999999</v>
      </c>
      <c r="AB8" s="60">
        <v>4.3092416199999999</v>
      </c>
      <c r="AC8" s="60">
        <v>4.3092416199999999</v>
      </c>
      <c r="AD8" s="60">
        <v>4.3092416199999999</v>
      </c>
      <c r="AE8" s="60">
        <v>4.3092416199999999</v>
      </c>
      <c r="AF8" s="60">
        <v>4.3092416199999999</v>
      </c>
      <c r="AG8" s="60">
        <v>4.3092416199999999</v>
      </c>
      <c r="AH8" s="60">
        <v>4.3092416199999999</v>
      </c>
      <c r="AI8" s="60">
        <v>4.3092416199999999</v>
      </c>
      <c r="AJ8" s="60">
        <v>4.3092416199999999</v>
      </c>
      <c r="AK8" s="60">
        <v>4.3092416199999999</v>
      </c>
      <c r="AL8" s="60">
        <v>4.3092416199999999</v>
      </c>
      <c r="AM8" s="60">
        <v>4.3092416199999999</v>
      </c>
      <c r="AN8" s="60">
        <v>4.3092416199999999</v>
      </c>
      <c r="AO8" s="60">
        <v>4.3092416199999999</v>
      </c>
      <c r="AP8" s="60">
        <v>4.3092416199999999</v>
      </c>
      <c r="AQ8" s="60">
        <v>4.3092416199999999</v>
      </c>
      <c r="AR8" s="60">
        <v>4.3092416199999999</v>
      </c>
      <c r="AS8" s="60">
        <v>4.3092416199999999</v>
      </c>
      <c r="AT8" s="60">
        <v>4.3092416199999999</v>
      </c>
      <c r="AU8" s="60">
        <v>4.3092416199999999</v>
      </c>
      <c r="AV8" s="60">
        <v>4.3092416199999999</v>
      </c>
      <c r="AW8" s="60">
        <v>4.3092416199999999</v>
      </c>
      <c r="AX8" s="60">
        <v>4.3092416199999999</v>
      </c>
      <c r="AY8" s="60">
        <v>4.3092416199999999</v>
      </c>
      <c r="AZ8" s="60">
        <v>4.3092416199999999</v>
      </c>
      <c r="BA8" s="60">
        <v>4.3092416199999999</v>
      </c>
      <c r="BB8" s="60">
        <v>4.3092416199999999</v>
      </c>
      <c r="BC8" s="354"/>
      <c r="BE8" s="19"/>
      <c r="BF8" s="40"/>
      <c r="BG8" s="20"/>
      <c r="BH8" s="20"/>
      <c r="BI8" s="20"/>
      <c r="BJ8" s="17"/>
      <c r="BK8" s="17"/>
      <c r="BL8" s="74"/>
      <c r="BM8" s="74"/>
      <c r="BN8" s="74"/>
      <c r="BO8" s="74"/>
      <c r="BP8" s="74"/>
      <c r="BQ8" s="74"/>
      <c r="BR8" s="74"/>
      <c r="BS8" s="74"/>
      <c r="BT8" s="74"/>
      <c r="BU8" s="74"/>
      <c r="BV8" s="74"/>
      <c r="BW8" s="74"/>
      <c r="BX8" s="74"/>
      <c r="BY8" s="74"/>
      <c r="BZ8" s="74"/>
      <c r="CA8" s="74"/>
      <c r="CB8" s="74"/>
      <c r="CC8" s="74"/>
      <c r="CD8" s="74"/>
      <c r="CE8" s="74"/>
      <c r="CF8" s="74"/>
      <c r="CG8" s="74"/>
      <c r="CH8" s="74"/>
      <c r="CI8" s="74"/>
      <c r="CJ8" s="74"/>
      <c r="CK8" s="74"/>
      <c r="CL8" s="74"/>
      <c r="CM8" s="74"/>
      <c r="CN8" s="74"/>
      <c r="CO8" s="74"/>
      <c r="CP8" s="74"/>
      <c r="CQ8" s="74"/>
      <c r="CR8" s="74"/>
      <c r="CS8" s="74"/>
      <c r="CT8" s="74"/>
      <c r="CU8" s="74"/>
      <c r="CV8" s="74"/>
      <c r="CW8" s="74"/>
      <c r="CX8" s="74"/>
      <c r="CY8" s="74"/>
      <c r="CZ8" s="74"/>
      <c r="DA8" s="74"/>
      <c r="DB8" s="74"/>
      <c r="DC8" s="74"/>
      <c r="DD8" s="74"/>
      <c r="DE8" s="74"/>
      <c r="DF8" s="74"/>
      <c r="DG8" s="74"/>
      <c r="DH8" s="74"/>
    </row>
    <row r="9" spans="1:116" ht="14.4" x14ac:dyDescent="0.3">
      <c r="A9" s="16"/>
      <c r="B9" s="16"/>
      <c r="C9" s="56" t="s">
        <v>27</v>
      </c>
      <c r="D9" s="351" t="s">
        <v>20</v>
      </c>
      <c r="E9" s="70">
        <f>E8</f>
        <v>5.9598926199999998</v>
      </c>
      <c r="F9" s="71">
        <f>F8+F7</f>
        <v>6.0223926199999998</v>
      </c>
      <c r="G9" s="71">
        <f t="shared" ref="G9:BB9" si="47">G8+G7</f>
        <v>6.0848926199999998</v>
      </c>
      <c r="H9" s="71">
        <f t="shared" si="47"/>
        <v>6.1473926199999998</v>
      </c>
      <c r="I9" s="71">
        <f>I8+I7</f>
        <v>6.2098926199999998</v>
      </c>
      <c r="J9" s="71">
        <f t="shared" si="47"/>
        <v>6.3098626200000005</v>
      </c>
      <c r="K9" s="71">
        <f t="shared" si="47"/>
        <v>6.4098326199999995</v>
      </c>
      <c r="L9" s="71">
        <f t="shared" si="47"/>
        <v>6.5098026200000003</v>
      </c>
      <c r="M9" s="71">
        <f t="shared" si="47"/>
        <v>6.6097726199999993</v>
      </c>
      <c r="N9" s="71">
        <f t="shared" si="47"/>
        <v>6.7097426200000001</v>
      </c>
      <c r="O9" s="71">
        <f t="shared" si="47"/>
        <v>6.8097126199999991</v>
      </c>
      <c r="P9" s="71">
        <f t="shared" si="47"/>
        <v>6.9096826199999999</v>
      </c>
      <c r="Q9" s="71">
        <f t="shared" si="47"/>
        <v>7.0096526199999989</v>
      </c>
      <c r="R9" s="71">
        <f t="shared" si="47"/>
        <v>7.1096226199999997</v>
      </c>
      <c r="S9" s="71">
        <f t="shared" si="47"/>
        <v>7.2095926199999987</v>
      </c>
      <c r="T9" s="71">
        <f t="shared" si="47"/>
        <v>7.3095626199999995</v>
      </c>
      <c r="U9" s="71">
        <f t="shared" si="47"/>
        <v>7.4095326199999985</v>
      </c>
      <c r="V9" s="71">
        <f t="shared" si="47"/>
        <v>7.5095026199999992</v>
      </c>
      <c r="W9" s="71">
        <f t="shared" si="47"/>
        <v>7.6094726199999982</v>
      </c>
      <c r="X9" s="71">
        <f t="shared" si="47"/>
        <v>7.709442619999999</v>
      </c>
      <c r="Y9" s="71">
        <f t="shared" si="47"/>
        <v>7.809412619999998</v>
      </c>
      <c r="Z9" s="71">
        <f t="shared" si="47"/>
        <v>7.9093826199999988</v>
      </c>
      <c r="AA9" s="71">
        <f t="shared" si="47"/>
        <v>8.0093526199999978</v>
      </c>
      <c r="AB9" s="71">
        <f t="shared" si="47"/>
        <v>8.1093226199999986</v>
      </c>
      <c r="AC9" s="71">
        <f t="shared" si="47"/>
        <v>8.2092926199999976</v>
      </c>
      <c r="AD9" s="71">
        <f t="shared" si="47"/>
        <v>8.3092626199999984</v>
      </c>
      <c r="AE9" s="71">
        <f t="shared" si="47"/>
        <v>8.3092626199999984</v>
      </c>
      <c r="AF9" s="71">
        <f t="shared" si="47"/>
        <v>8.3092626199999984</v>
      </c>
      <c r="AG9" s="71">
        <f t="shared" si="47"/>
        <v>8.3092626199999984</v>
      </c>
      <c r="AH9" s="71">
        <f t="shared" si="47"/>
        <v>8.3092626199999984</v>
      </c>
      <c r="AI9" s="71">
        <f t="shared" si="47"/>
        <v>8.3092626199999984</v>
      </c>
      <c r="AJ9" s="71">
        <f t="shared" si="47"/>
        <v>8.3092626199999984</v>
      </c>
      <c r="AK9" s="71">
        <f t="shared" si="47"/>
        <v>8.3092626199999984</v>
      </c>
      <c r="AL9" s="71">
        <f t="shared" si="47"/>
        <v>8.3092626199999984</v>
      </c>
      <c r="AM9" s="71">
        <f t="shared" si="47"/>
        <v>8.3092626199999984</v>
      </c>
      <c r="AN9" s="71">
        <f t="shared" si="47"/>
        <v>8.3092626199999984</v>
      </c>
      <c r="AO9" s="71">
        <f t="shared" si="47"/>
        <v>8.3092626199999984</v>
      </c>
      <c r="AP9" s="71">
        <f t="shared" si="47"/>
        <v>8.3092626199999984</v>
      </c>
      <c r="AQ9" s="71">
        <f t="shared" si="47"/>
        <v>8.3092626199999984</v>
      </c>
      <c r="AR9" s="71">
        <f t="shared" si="47"/>
        <v>8.3092626199999984</v>
      </c>
      <c r="AS9" s="71">
        <f t="shared" si="47"/>
        <v>8.3092626199999984</v>
      </c>
      <c r="AT9" s="71">
        <f t="shared" si="47"/>
        <v>8.3092626199999984</v>
      </c>
      <c r="AU9" s="71">
        <f t="shared" si="47"/>
        <v>8.3092626199999984</v>
      </c>
      <c r="AV9" s="71">
        <f t="shared" si="47"/>
        <v>8.3092626199999984</v>
      </c>
      <c r="AW9" s="71">
        <f t="shared" si="47"/>
        <v>8.3092626199999984</v>
      </c>
      <c r="AX9" s="71">
        <f t="shared" si="47"/>
        <v>8.3092626199999984</v>
      </c>
      <c r="AY9" s="71">
        <f t="shared" si="47"/>
        <v>8.3092626199999984</v>
      </c>
      <c r="AZ9" s="71">
        <f t="shared" si="47"/>
        <v>8.3092626199999984</v>
      </c>
      <c r="BA9" s="71">
        <f t="shared" si="47"/>
        <v>8.3092626199999984</v>
      </c>
      <c r="BB9" s="71">
        <f t="shared" si="47"/>
        <v>8.3092626199999984</v>
      </c>
      <c r="BC9" s="354"/>
      <c r="BE9" s="19"/>
      <c r="BF9" s="40"/>
      <c r="BG9" s="20"/>
      <c r="BH9" s="20"/>
      <c r="BI9" s="20"/>
      <c r="BJ9" s="17"/>
      <c r="BK9" s="17"/>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4"/>
      <c r="CZ9" s="74"/>
      <c r="DA9" s="74"/>
      <c r="DB9" s="74"/>
      <c r="DC9" s="74"/>
      <c r="DD9" s="74"/>
      <c r="DE9" s="74"/>
      <c r="DF9" s="74"/>
      <c r="DG9" s="74"/>
      <c r="DH9" s="74"/>
    </row>
    <row r="10" spans="1:116" ht="14.4" x14ac:dyDescent="0.3">
      <c r="A10" s="16"/>
      <c r="B10" s="16"/>
      <c r="C10" s="57" t="s">
        <v>28</v>
      </c>
      <c r="D10" s="351" t="s">
        <v>20</v>
      </c>
      <c r="E10" s="70"/>
      <c r="F10" s="60">
        <f>F13-F9</f>
        <v>6.266599473820845</v>
      </c>
      <c r="G10" s="60">
        <f t="shared" ref="G10:BB10" si="48">G13-G9</f>
        <v>6.151330541769978</v>
      </c>
      <c r="H10" s="60">
        <f t="shared" si="48"/>
        <v>6.036728703547162</v>
      </c>
      <c r="I10" s="60">
        <f t="shared" si="48"/>
        <v>5.9227873433191469</v>
      </c>
      <c r="J10" s="60">
        <f t="shared" si="48"/>
        <v>5.772029944992692</v>
      </c>
      <c r="K10" s="60">
        <f t="shared" si="48"/>
        <v>5.6219200908479738</v>
      </c>
      <c r="L10" s="60">
        <f t="shared" si="48"/>
        <v>5.4724514601955452</v>
      </c>
      <c r="M10" s="60">
        <f t="shared" si="48"/>
        <v>5.3236178280565092</v>
      </c>
      <c r="N10" s="60">
        <f t="shared" si="48"/>
        <v>5.1754130638654647</v>
      </c>
      <c r="O10" s="60">
        <f t="shared" si="48"/>
        <v>5.0278311301959011</v>
      </c>
      <c r="P10" s="60">
        <f t="shared" si="48"/>
        <v>4.880866081507623</v>
      </c>
      <c r="Q10" s="60">
        <f t="shared" si="48"/>
        <v>4.7345120629158934</v>
      </c>
      <c r="R10" s="60">
        <f t="shared" si="48"/>
        <v>4.5887633089818873</v>
      </c>
      <c r="S10" s="60">
        <f t="shared" si="48"/>
        <v>4.4436141425241598</v>
      </c>
      <c r="T10" s="60">
        <f t="shared" si="48"/>
        <v>4.299058973450741</v>
      </c>
      <c r="U10" s="60">
        <f t="shared" si="48"/>
        <v>4.1550922976115636</v>
      </c>
      <c r="V10" s="60">
        <f t="shared" si="48"/>
        <v>4.0117086956708494</v>
      </c>
      <c r="W10" s="60">
        <f t="shared" si="48"/>
        <v>3.8689028319991863</v>
      </c>
      <c r="X10" s="60">
        <f t="shared" si="48"/>
        <v>3.7266694535849254</v>
      </c>
      <c r="Y10" s="60">
        <f t="shared" si="48"/>
        <v>3.5850033889646351</v>
      </c>
      <c r="Z10" s="60">
        <f t="shared" si="48"/>
        <v>3.443899547172272</v>
      </c>
      <c r="AA10" s="60">
        <f t="shared" si="48"/>
        <v>3.3033529167067996</v>
      </c>
      <c r="AB10" s="60">
        <f t="shared" si="48"/>
        <v>3.1633585645179298</v>
      </c>
      <c r="AC10" s="60">
        <f t="shared" si="48"/>
        <v>3.0239116350097497</v>
      </c>
      <c r="AD10" s="60">
        <f t="shared" si="48"/>
        <v>2.8850073490618851</v>
      </c>
      <c r="AE10" s="60">
        <f t="shared" si="48"/>
        <v>2.8466110030680021</v>
      </c>
      <c r="AF10" s="60">
        <f t="shared" si="48"/>
        <v>2.8087479679913088</v>
      </c>
      <c r="AG10" s="60">
        <f t="shared" si="48"/>
        <v>2.7714136884368337</v>
      </c>
      <c r="AH10" s="60">
        <f t="shared" si="48"/>
        <v>2.7346036817402055</v>
      </c>
      <c r="AI10" s="60">
        <f t="shared" si="48"/>
        <v>2.6983135370726874</v>
      </c>
      <c r="AJ10" s="60">
        <f t="shared" si="48"/>
        <v>2.6625389145622016</v>
      </c>
      <c r="AK10" s="60">
        <f t="shared" si="48"/>
        <v>2.6272755444301179</v>
      </c>
      <c r="AL10" s="60">
        <f t="shared" si="48"/>
        <v>2.5925192261435583</v>
      </c>
      <c r="AM10" s="60">
        <f t="shared" si="48"/>
        <v>2.558265827582975</v>
      </c>
      <c r="AN10" s="60">
        <f t="shared" si="48"/>
        <v>2.524511284224781</v>
      </c>
      <c r="AO10" s="60">
        <f t="shared" si="48"/>
        <v>2.4912515983388115</v>
      </c>
      <c r="AP10" s="60">
        <f t="shared" si="48"/>
        <v>2.4584828382003714</v>
      </c>
      <c r="AQ10" s="60">
        <f t="shared" si="48"/>
        <v>2.4262011373166867</v>
      </c>
      <c r="AR10" s="60">
        <f t="shared" si="48"/>
        <v>2.394402693667514</v>
      </c>
      <c r="AS10" s="60">
        <f t="shared" si="48"/>
        <v>2.3630837689597222</v>
      </c>
      <c r="AT10" s="60">
        <f t="shared" si="48"/>
        <v>2.3322406878956272</v>
      </c>
      <c r="AU10" s="60">
        <f t="shared" si="48"/>
        <v>2.3018698374548929</v>
      </c>
      <c r="AV10" s="60">
        <f t="shared" si="48"/>
        <v>2.2719676661897843</v>
      </c>
      <c r="AW10" s="60">
        <f t="shared" si="48"/>
        <v>2.2425306835336052</v>
      </c>
      <c r="AX10" s="60">
        <f t="shared" si="48"/>
        <v>2.2135554591221016</v>
      </c>
      <c r="AY10" s="60">
        <f t="shared" si="48"/>
        <v>2.1850386221276814</v>
      </c>
      <c r="AZ10" s="60">
        <f t="shared" si="48"/>
        <v>2.1569768606062318</v>
      </c>
      <c r="BA10" s="60">
        <f t="shared" si="48"/>
        <v>2.129366920856393</v>
      </c>
      <c r="BB10" s="60">
        <f t="shared" si="48"/>
        <v>2.1022056067910846</v>
      </c>
      <c r="BC10" s="354"/>
      <c r="BE10" s="19"/>
      <c r="BF10" s="40"/>
      <c r="BG10" s="20"/>
      <c r="BH10" s="20"/>
      <c r="BI10" s="20"/>
      <c r="BJ10" s="17"/>
      <c r="BK10" s="17"/>
      <c r="BL10" s="74"/>
      <c r="BM10" s="74"/>
      <c r="BN10" s="74"/>
      <c r="BO10" s="74"/>
      <c r="BP10" s="74"/>
      <c r="BQ10" s="74"/>
      <c r="BR10" s="74"/>
      <c r="BS10" s="74"/>
      <c r="BT10" s="74"/>
      <c r="BU10" s="74"/>
      <c r="BV10" s="74"/>
      <c r="BW10" s="74"/>
      <c r="BX10" s="74"/>
      <c r="BY10" s="74"/>
      <c r="BZ10" s="74"/>
      <c r="CA10" s="74"/>
      <c r="CB10" s="74"/>
      <c r="CC10" s="74"/>
      <c r="CD10" s="74"/>
      <c r="CE10" s="74"/>
      <c r="CF10" s="74"/>
      <c r="CG10" s="74"/>
      <c r="CH10" s="74"/>
      <c r="CI10" s="74"/>
      <c r="CJ10" s="74"/>
      <c r="CK10" s="74"/>
      <c r="CL10" s="74"/>
      <c r="CM10" s="74"/>
      <c r="CN10" s="74"/>
      <c r="CO10" s="74"/>
      <c r="CP10" s="74"/>
      <c r="CQ10" s="74"/>
      <c r="CR10" s="74"/>
      <c r="CS10" s="74"/>
      <c r="CT10" s="74"/>
      <c r="CU10" s="74"/>
      <c r="CV10" s="74"/>
      <c r="CW10" s="74"/>
      <c r="CX10" s="74"/>
      <c r="CY10" s="74"/>
      <c r="CZ10" s="74"/>
      <c r="DA10" s="74"/>
      <c r="DB10" s="74"/>
      <c r="DC10" s="74"/>
      <c r="DD10" s="74"/>
      <c r="DE10" s="74"/>
      <c r="DF10" s="74"/>
      <c r="DG10" s="74"/>
      <c r="DH10" s="74"/>
    </row>
    <row r="11" spans="1:116" ht="14.4" x14ac:dyDescent="0.3">
      <c r="A11" s="16"/>
      <c r="B11" s="16"/>
      <c r="C11" s="56" t="s">
        <v>29</v>
      </c>
      <c r="D11" s="351" t="s">
        <v>20</v>
      </c>
      <c r="E11" s="351"/>
      <c r="F11" s="72">
        <v>0.01</v>
      </c>
      <c r="G11" s="72">
        <v>0.01</v>
      </c>
      <c r="H11" s="72">
        <v>0.01</v>
      </c>
      <c r="I11" s="72">
        <v>0.01</v>
      </c>
      <c r="J11" s="72">
        <v>0.01</v>
      </c>
      <c r="K11" s="72">
        <v>0.01</v>
      </c>
      <c r="L11" s="72">
        <v>0.01</v>
      </c>
      <c r="M11" s="72">
        <v>0.01</v>
      </c>
      <c r="N11" s="72">
        <v>0.01</v>
      </c>
      <c r="O11" s="72">
        <v>0.01</v>
      </c>
      <c r="P11" s="72">
        <v>0.01</v>
      </c>
      <c r="Q11" s="72">
        <v>0.01</v>
      </c>
      <c r="R11" s="72">
        <v>0.01</v>
      </c>
      <c r="S11" s="72">
        <v>0.01</v>
      </c>
      <c r="T11" s="72">
        <v>0.01</v>
      </c>
      <c r="U11" s="72">
        <v>0.01</v>
      </c>
      <c r="V11" s="72">
        <v>0.01</v>
      </c>
      <c r="W11" s="72">
        <v>0.01</v>
      </c>
      <c r="X11" s="72">
        <v>0.01</v>
      </c>
      <c r="Y11" s="72">
        <v>0.01</v>
      </c>
      <c r="Z11" s="72">
        <v>0.01</v>
      </c>
      <c r="AA11" s="72">
        <v>0.01</v>
      </c>
      <c r="AB11" s="72">
        <v>0.01</v>
      </c>
      <c r="AC11" s="72">
        <v>0.01</v>
      </c>
      <c r="AD11" s="72">
        <v>0.01</v>
      </c>
      <c r="AE11" s="72">
        <v>0.01</v>
      </c>
      <c r="AF11" s="72">
        <v>0.01</v>
      </c>
      <c r="AG11" s="72">
        <v>0.01</v>
      </c>
      <c r="AH11" s="72">
        <v>0.01</v>
      </c>
      <c r="AI11" s="72">
        <v>0.01</v>
      </c>
      <c r="AJ11" s="72">
        <v>0.01</v>
      </c>
      <c r="AK11" s="72">
        <v>0.01</v>
      </c>
      <c r="AL11" s="72">
        <v>0.01</v>
      </c>
      <c r="AM11" s="72">
        <v>0.01</v>
      </c>
      <c r="AN11" s="72">
        <v>0.01</v>
      </c>
      <c r="AO11" s="72">
        <v>0.01</v>
      </c>
      <c r="AP11" s="72">
        <v>0.01</v>
      </c>
      <c r="AQ11" s="72">
        <v>0.01</v>
      </c>
      <c r="AR11" s="72">
        <v>0.01</v>
      </c>
      <c r="AS11" s="72">
        <v>0.01</v>
      </c>
      <c r="AT11" s="72">
        <v>0.01</v>
      </c>
      <c r="AU11" s="72">
        <v>0.01</v>
      </c>
      <c r="AV11" s="72">
        <v>0.01</v>
      </c>
      <c r="AW11" s="72">
        <v>0.01</v>
      </c>
      <c r="AX11" s="72">
        <v>0.01</v>
      </c>
      <c r="AY11" s="72">
        <v>0.01</v>
      </c>
      <c r="AZ11" s="72">
        <v>0.01</v>
      </c>
      <c r="BA11" s="72">
        <v>0.01</v>
      </c>
      <c r="BB11" s="72">
        <v>0.01</v>
      </c>
      <c r="BC11" s="21"/>
      <c r="BE11" s="19" t="s">
        <v>30</v>
      </c>
      <c r="BF11" s="41">
        <f>10000/1000000</f>
        <v>0.01</v>
      </c>
      <c r="BG11" s="20"/>
      <c r="BH11" s="20"/>
      <c r="BI11" s="20"/>
      <c r="BJ11" s="17" t="s">
        <v>31</v>
      </c>
      <c r="BK11" s="17"/>
      <c r="BL11" s="51">
        <f>(-0.0036*BL3)+7.7122</f>
        <v>0.43300000000000072</v>
      </c>
      <c r="BM11" s="51">
        <f>(-0.0036*BM3)+7.7122</f>
        <v>0.42940000000000023</v>
      </c>
      <c r="BN11" s="51">
        <f>(-0.0036*BN3)+7.7122</f>
        <v>0.42580000000000062</v>
      </c>
      <c r="BO11" s="51">
        <f t="shared" ref="BO11:DH11" si="49">(-0.0036*BO3)+7.7122</f>
        <v>0.42220000000000013</v>
      </c>
      <c r="BP11" s="51">
        <f t="shared" si="49"/>
        <v>0.41860000000000053</v>
      </c>
      <c r="BQ11" s="51">
        <f t="shared" si="49"/>
        <v>0.41500000000000004</v>
      </c>
      <c r="BR11" s="51">
        <f t="shared" si="49"/>
        <v>0.41140000000000043</v>
      </c>
      <c r="BS11" s="51">
        <f t="shared" si="49"/>
        <v>0.40779999999999994</v>
      </c>
      <c r="BT11" s="51">
        <f t="shared" si="49"/>
        <v>0.40420000000000034</v>
      </c>
      <c r="BU11" s="51">
        <f t="shared" si="49"/>
        <v>0.40060000000000073</v>
      </c>
      <c r="BV11" s="51">
        <f t="shared" si="49"/>
        <v>0.39700000000000024</v>
      </c>
      <c r="BW11" s="51">
        <f t="shared" si="49"/>
        <v>0.39340000000000064</v>
      </c>
      <c r="BX11" s="51">
        <f t="shared" si="49"/>
        <v>0.38980000000000015</v>
      </c>
      <c r="BY11" s="51">
        <f t="shared" si="49"/>
        <v>0.38620000000000054</v>
      </c>
      <c r="BZ11" s="51">
        <f t="shared" si="49"/>
        <v>0.38260000000000005</v>
      </c>
      <c r="CA11" s="51">
        <f t="shared" si="49"/>
        <v>0.37900000000000045</v>
      </c>
      <c r="CB11" s="51">
        <f t="shared" si="49"/>
        <v>0.37539999999999996</v>
      </c>
      <c r="CC11" s="51">
        <f t="shared" si="49"/>
        <v>0.37180000000000035</v>
      </c>
      <c r="CD11" s="51">
        <f t="shared" si="49"/>
        <v>0.36820000000000075</v>
      </c>
      <c r="CE11" s="51">
        <f t="shared" si="49"/>
        <v>0.36460000000000026</v>
      </c>
      <c r="CF11" s="51">
        <f t="shared" si="49"/>
        <v>0.36100000000000065</v>
      </c>
      <c r="CG11" s="51">
        <f t="shared" si="49"/>
        <v>0.35740000000000016</v>
      </c>
      <c r="CH11" s="51">
        <f t="shared" si="49"/>
        <v>0.35380000000000056</v>
      </c>
      <c r="CI11" s="51">
        <f t="shared" si="49"/>
        <v>0.35020000000000007</v>
      </c>
      <c r="CJ11" s="51">
        <f t="shared" si="49"/>
        <v>0.34660000000000046</v>
      </c>
      <c r="CK11" s="51">
        <f t="shared" si="49"/>
        <v>0.34299999999999997</v>
      </c>
      <c r="CL11" s="51">
        <f t="shared" si="49"/>
        <v>0.33940000000000037</v>
      </c>
      <c r="CM11" s="51">
        <f t="shared" si="49"/>
        <v>0.33580000000000076</v>
      </c>
      <c r="CN11" s="51">
        <f t="shared" si="49"/>
        <v>0.33220000000000027</v>
      </c>
      <c r="CO11" s="51">
        <f t="shared" si="49"/>
        <v>0.32860000000000067</v>
      </c>
      <c r="CP11" s="51">
        <f t="shared" si="49"/>
        <v>0.32500000000000018</v>
      </c>
      <c r="CQ11" s="51">
        <f t="shared" si="49"/>
        <v>0.32140000000000057</v>
      </c>
      <c r="CR11" s="51">
        <f t="shared" si="49"/>
        <v>0.31780000000000008</v>
      </c>
      <c r="CS11" s="51">
        <f t="shared" si="49"/>
        <v>0.31420000000000048</v>
      </c>
      <c r="CT11" s="51">
        <f t="shared" si="49"/>
        <v>0.31059999999999999</v>
      </c>
      <c r="CU11" s="51">
        <f t="shared" si="49"/>
        <v>0.30700000000000038</v>
      </c>
      <c r="CV11" s="51">
        <f t="shared" si="49"/>
        <v>0.30340000000000078</v>
      </c>
      <c r="CW11" s="51">
        <f t="shared" si="49"/>
        <v>0.29980000000000029</v>
      </c>
      <c r="CX11" s="51">
        <f t="shared" si="49"/>
        <v>0.29620000000000068</v>
      </c>
      <c r="CY11" s="51">
        <f t="shared" si="49"/>
        <v>0.29260000000000019</v>
      </c>
      <c r="CZ11" s="51">
        <f t="shared" si="49"/>
        <v>0.28900000000000059</v>
      </c>
      <c r="DA11" s="51">
        <f t="shared" si="49"/>
        <v>0.2854000000000001</v>
      </c>
      <c r="DB11" s="51">
        <f t="shared" si="49"/>
        <v>0.28180000000000049</v>
      </c>
      <c r="DC11" s="51">
        <f t="shared" si="49"/>
        <v>0.2782</v>
      </c>
      <c r="DD11" s="51">
        <f t="shared" si="49"/>
        <v>0.2746000000000004</v>
      </c>
      <c r="DE11" s="51">
        <f t="shared" si="49"/>
        <v>0.2710000000000008</v>
      </c>
      <c r="DF11" s="51">
        <f t="shared" si="49"/>
        <v>0.2674000000000003</v>
      </c>
      <c r="DG11" s="51">
        <f t="shared" si="49"/>
        <v>0.2638000000000007</v>
      </c>
      <c r="DH11" s="51">
        <f t="shared" si="49"/>
        <v>0.26020000000000021</v>
      </c>
    </row>
    <row r="12" spans="1:116" ht="14.4" x14ac:dyDescent="0.3">
      <c r="A12" s="16"/>
      <c r="B12" s="16"/>
      <c r="C12" s="58" t="s">
        <v>32</v>
      </c>
      <c r="D12" s="351" t="s">
        <v>20</v>
      </c>
      <c r="E12" s="351"/>
      <c r="F12" s="68">
        <f>E13-F4</f>
        <v>8.9235803869078367E-2</v>
      </c>
      <c r="G12" s="68">
        <f>F13-G4</f>
        <v>8.8397344996469229E-2</v>
      </c>
      <c r="H12" s="68">
        <f>G13-H4</f>
        <v>8.7566360468867899E-2</v>
      </c>
      <c r="I12" s="68">
        <f>H13-I4</f>
        <v>8.6742745671735122E-2</v>
      </c>
      <c r="J12" s="68">
        <f t="shared" ref="J12:BB12" si="50">I13-J4</f>
        <v>8.592639739713448E-2</v>
      </c>
      <c r="K12" s="68">
        <f t="shared" si="50"/>
        <v>8.511721381967341E-2</v>
      </c>
      <c r="L12" s="68">
        <f t="shared" si="50"/>
        <v>8.4315094472877661E-2</v>
      </c>
      <c r="M12" s="68">
        <f t="shared" si="50"/>
        <v>8.3519940225912137E-2</v>
      </c>
      <c r="N12" s="68">
        <f t="shared" si="50"/>
        <v>8.2731653260719185E-2</v>
      </c>
      <c r="O12" s="68">
        <f t="shared" si="50"/>
        <v>8.1950137049519256E-2</v>
      </c>
      <c r="P12" s="68">
        <f t="shared" si="50"/>
        <v>8.117529633268461E-2</v>
      </c>
      <c r="Q12" s="68">
        <f t="shared" si="50"/>
        <v>8.040703709697361E-2</v>
      </c>
      <c r="R12" s="68">
        <f t="shared" si="50"/>
        <v>7.9645266554125627E-2</v>
      </c>
      <c r="S12" s="68">
        <f t="shared" si="50"/>
        <v>7.8889893119795218E-2</v>
      </c>
      <c r="T12" s="68">
        <f t="shared" si="50"/>
        <v>7.8140826392838036E-2</v>
      </c>
      <c r="U12" s="68">
        <f t="shared" si="50"/>
        <v>7.7397977134930684E-2</v>
      </c>
      <c r="V12" s="68">
        <f t="shared" si="50"/>
        <v>7.6661257250504988E-2</v>
      </c>
      <c r="W12" s="68">
        <f t="shared" si="50"/>
        <v>7.5930579767030437E-2</v>
      </c>
      <c r="X12" s="68">
        <f t="shared" si="50"/>
        <v>7.5205858815587945E-2</v>
      </c>
      <c r="Y12" s="68">
        <f t="shared" si="50"/>
        <v>7.4487009611772237E-2</v>
      </c>
      <c r="Z12" s="68">
        <f t="shared" si="50"/>
        <v>7.3773948436882009E-2</v>
      </c>
      <c r="AA12" s="68">
        <f t="shared" si="50"/>
        <v>7.3066592619429827E-2</v>
      </c>
      <c r="AB12" s="68">
        <f t="shared" si="50"/>
        <v>7.2364860516916707E-2</v>
      </c>
      <c r="AC12" s="68">
        <f t="shared" si="50"/>
        <v>7.1668671497919334E-2</v>
      </c>
      <c r="AD12" s="68">
        <f t="shared" si="50"/>
        <v>7.097794592444906E-2</v>
      </c>
      <c r="AE12" s="68">
        <f t="shared" si="50"/>
        <v>7.0292605134577357E-2</v>
      </c>
      <c r="AF12" s="68">
        <f t="shared" si="50"/>
        <v>6.9612571425340164E-2</v>
      </c>
      <c r="AG12" s="68">
        <f t="shared" si="50"/>
        <v>6.8937768035917557E-2</v>
      </c>
      <c r="AH12" s="68">
        <f t="shared" si="50"/>
        <v>6.8268119131055016E-2</v>
      </c>
      <c r="AI12" s="68">
        <f t="shared" si="50"/>
        <v>6.7603549784747585E-2</v>
      </c>
      <c r="AJ12" s="68">
        <f t="shared" si="50"/>
        <v>6.6943985964176278E-2</v>
      </c>
      <c r="AK12" s="68">
        <f t="shared" si="50"/>
        <v>6.6289354513886067E-2</v>
      </c>
      <c r="AL12" s="68">
        <f t="shared" si="50"/>
        <v>6.563958314020546E-2</v>
      </c>
      <c r="AM12" s="68">
        <f t="shared" si="50"/>
        <v>6.4994600395904101E-2</v>
      </c>
      <c r="AN12" s="68">
        <f t="shared" si="50"/>
        <v>6.435433566507065E-2</v>
      </c>
      <c r="AO12" s="68">
        <f t="shared" si="50"/>
        <v>6.3718719148235792E-2</v>
      </c>
      <c r="AP12" s="68">
        <f t="shared" si="50"/>
        <v>6.3087681847701305E-2</v>
      </c>
      <c r="AQ12" s="68">
        <f t="shared" si="50"/>
        <v>6.2461155553082293E-2</v>
      </c>
      <c r="AR12" s="68">
        <f t="shared" si="50"/>
        <v>6.1839072827091002E-2</v>
      </c>
      <c r="AS12" s="68">
        <f t="shared" si="50"/>
        <v>6.1221366991491166E-2</v>
      </c>
      <c r="AT12" s="68">
        <f t="shared" si="50"/>
        <v>6.0607972113288611E-2</v>
      </c>
      <c r="AU12" s="68">
        <f t="shared" si="50"/>
        <v>5.9998822991101264E-2</v>
      </c>
      <c r="AV12" s="68">
        <f t="shared" si="50"/>
        <v>5.9393855141745888E-2</v>
      </c>
      <c r="AW12" s="68">
        <f t="shared" si="50"/>
        <v>5.8793004786984682E-2</v>
      </c>
      <c r="AX12" s="68">
        <f t="shared" si="50"/>
        <v>5.8196208840506358E-2</v>
      </c>
      <c r="AY12" s="68">
        <f t="shared" si="50"/>
        <v>5.7603404895049337E-2</v>
      </c>
      <c r="AZ12" s="68">
        <f t="shared" si="50"/>
        <v>5.7014531209736319E-2</v>
      </c>
      <c r="BA12" s="68">
        <f t="shared" si="50"/>
        <v>5.6429526697559851E-2</v>
      </c>
      <c r="BB12" s="68">
        <f t="shared" si="50"/>
        <v>5.5848330913068622E-2</v>
      </c>
      <c r="BC12" s="21"/>
      <c r="BE12" s="19"/>
      <c r="BF12" s="41"/>
      <c r="BG12" s="20"/>
      <c r="BH12" s="20"/>
      <c r="BI12" s="20"/>
      <c r="BJ12" s="17"/>
      <c r="BK12" s="17"/>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row>
    <row r="13" spans="1:116" ht="14.4" x14ac:dyDescent="0.3">
      <c r="A13" s="16"/>
      <c r="B13" s="16"/>
      <c r="C13" s="58" t="s">
        <v>33</v>
      </c>
      <c r="D13" s="351" t="s">
        <v>20</v>
      </c>
      <c r="E13" s="11">
        <v>12.3424348366636</v>
      </c>
      <c r="F13" s="68">
        <f>E13*(1-(BL11/100))</f>
        <v>12.288992093820845</v>
      </c>
      <c r="G13" s="68">
        <f>F13*(1-(BM11/100))</f>
        <v>12.236223161769978</v>
      </c>
      <c r="H13" s="68">
        <f>G13*(1-(BN11/100))</f>
        <v>12.184121323547162</v>
      </c>
      <c r="I13" s="68">
        <f t="shared" ref="I13:BB13" si="51">H13*(1-(BO11/100))</f>
        <v>12.132679963319147</v>
      </c>
      <c r="J13" s="68">
        <f t="shared" si="51"/>
        <v>12.081892564992692</v>
      </c>
      <c r="K13" s="68">
        <f t="shared" si="51"/>
        <v>12.031752710847973</v>
      </c>
      <c r="L13" s="68">
        <f t="shared" si="51"/>
        <v>11.982254080195545</v>
      </c>
      <c r="M13" s="68">
        <f t="shared" si="51"/>
        <v>11.933390448056509</v>
      </c>
      <c r="N13" s="68">
        <f t="shared" si="51"/>
        <v>11.885155683865465</v>
      </c>
      <c r="O13" s="68">
        <f t="shared" si="51"/>
        <v>11.8375437501959</v>
      </c>
      <c r="P13" s="68">
        <f t="shared" si="51"/>
        <v>11.790548701507623</v>
      </c>
      <c r="Q13" s="68">
        <f t="shared" si="51"/>
        <v>11.744164682915892</v>
      </c>
      <c r="R13" s="68">
        <f t="shared" si="51"/>
        <v>11.698385928981887</v>
      </c>
      <c r="S13" s="68">
        <f t="shared" si="51"/>
        <v>11.653206762524158</v>
      </c>
      <c r="T13" s="68">
        <f t="shared" si="51"/>
        <v>11.60862159345074</v>
      </c>
      <c r="U13" s="68">
        <f t="shared" si="51"/>
        <v>11.564624917611562</v>
      </c>
      <c r="V13" s="68">
        <f t="shared" si="51"/>
        <v>11.521211315670849</v>
      </c>
      <c r="W13" s="68">
        <f t="shared" si="51"/>
        <v>11.478375451999185</v>
      </c>
      <c r="X13" s="68">
        <f t="shared" si="51"/>
        <v>11.436112073584924</v>
      </c>
      <c r="Y13" s="68">
        <f t="shared" si="51"/>
        <v>11.394416008964633</v>
      </c>
      <c r="Z13" s="68">
        <f t="shared" si="51"/>
        <v>11.353282167172271</v>
      </c>
      <c r="AA13" s="68">
        <f t="shared" si="51"/>
        <v>11.312705536706797</v>
      </c>
      <c r="AB13" s="68">
        <f t="shared" si="51"/>
        <v>11.272681184517928</v>
      </c>
      <c r="AC13" s="68">
        <f t="shared" si="51"/>
        <v>11.233204255009747</v>
      </c>
      <c r="AD13" s="68">
        <f t="shared" si="51"/>
        <v>11.194269969061883</v>
      </c>
      <c r="AE13" s="68">
        <f t="shared" si="51"/>
        <v>11.155873623068</v>
      </c>
      <c r="AF13" s="68">
        <f t="shared" si="51"/>
        <v>11.118010587991307</v>
      </c>
      <c r="AG13" s="68">
        <f t="shared" si="51"/>
        <v>11.080676308436832</v>
      </c>
      <c r="AH13" s="68">
        <f t="shared" si="51"/>
        <v>11.043866301740204</v>
      </c>
      <c r="AI13" s="68">
        <f t="shared" si="51"/>
        <v>11.007576157072686</v>
      </c>
      <c r="AJ13" s="68">
        <f t="shared" si="51"/>
        <v>10.9718015345622</v>
      </c>
      <c r="AK13" s="68">
        <f t="shared" si="51"/>
        <v>10.936538164430116</v>
      </c>
      <c r="AL13" s="68">
        <f t="shared" si="51"/>
        <v>10.901781846143557</v>
      </c>
      <c r="AM13" s="68">
        <f t="shared" si="51"/>
        <v>10.867528447582973</v>
      </c>
      <c r="AN13" s="68">
        <f t="shared" si="51"/>
        <v>10.833773904224779</v>
      </c>
      <c r="AO13" s="68">
        <f t="shared" si="51"/>
        <v>10.80051421833881</v>
      </c>
      <c r="AP13" s="68">
        <f t="shared" si="51"/>
        <v>10.76774545820037</v>
      </c>
      <c r="AQ13" s="68">
        <f t="shared" si="51"/>
        <v>10.735463757316685</v>
      </c>
      <c r="AR13" s="68">
        <f t="shared" si="51"/>
        <v>10.703665313667512</v>
      </c>
      <c r="AS13" s="68">
        <f t="shared" si="51"/>
        <v>10.672346388959721</v>
      </c>
      <c r="AT13" s="68">
        <f t="shared" si="51"/>
        <v>10.641503307895626</v>
      </c>
      <c r="AU13" s="68">
        <f t="shared" si="51"/>
        <v>10.611132457454891</v>
      </c>
      <c r="AV13" s="68">
        <f t="shared" si="51"/>
        <v>10.581230286189783</v>
      </c>
      <c r="AW13" s="68">
        <f t="shared" si="51"/>
        <v>10.551793303533604</v>
      </c>
      <c r="AX13" s="68">
        <f t="shared" si="51"/>
        <v>10.5228180791221</v>
      </c>
      <c r="AY13" s="68">
        <f t="shared" si="51"/>
        <v>10.49430124212768</v>
      </c>
      <c r="AZ13" s="68">
        <f t="shared" si="51"/>
        <v>10.46623948060623</v>
      </c>
      <c r="BA13" s="68">
        <f t="shared" si="51"/>
        <v>10.438629540856391</v>
      </c>
      <c r="BB13" s="68">
        <f t="shared" si="51"/>
        <v>10.411468226791083</v>
      </c>
      <c r="BC13" s="354"/>
      <c r="BE13" s="19" t="s">
        <v>34</v>
      </c>
      <c r="BF13" s="41">
        <f>(7164/3)/1000000</f>
        <v>2.3879999999999999E-3</v>
      </c>
      <c r="BG13" s="20"/>
      <c r="BH13" s="20"/>
      <c r="BI13" s="20"/>
      <c r="BJ13" s="17"/>
      <c r="BK13" s="17"/>
      <c r="BL13" s="17"/>
      <c r="BM13" s="17"/>
      <c r="BN13" s="17"/>
      <c r="BO13" s="17"/>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17"/>
      <c r="CT13" s="17"/>
      <c r="CU13" s="17"/>
      <c r="CV13" s="17"/>
      <c r="CW13" s="17"/>
      <c r="CX13" s="17"/>
      <c r="CY13" s="17"/>
      <c r="CZ13" s="17"/>
      <c r="DA13" s="17"/>
      <c r="DB13" s="17"/>
      <c r="DC13" s="17"/>
      <c r="DD13" s="17"/>
      <c r="DE13" s="17"/>
      <c r="DF13" s="17"/>
      <c r="DG13" s="17"/>
      <c r="DH13" s="17"/>
    </row>
    <row r="14" spans="1:116" ht="14.4" x14ac:dyDescent="0.3">
      <c r="A14" s="16"/>
      <c r="B14" s="16"/>
      <c r="C14" s="9" t="s">
        <v>35</v>
      </c>
      <c r="D14" s="351" t="s">
        <v>20</v>
      </c>
      <c r="E14" s="351"/>
      <c r="F14" s="68">
        <v>0.132718</v>
      </c>
      <c r="G14" s="68">
        <f>F14+$BG$14</f>
        <v>0.14160600000000001</v>
      </c>
      <c r="H14" s="68">
        <f>G14+$BG$14</f>
        <v>0.15049400000000002</v>
      </c>
      <c r="I14" s="68">
        <f t="shared" ref="I14:BB14" si="52">H14+$BG$14</f>
        <v>0.15938200000000002</v>
      </c>
      <c r="J14" s="68">
        <f t="shared" si="52"/>
        <v>0.16827000000000003</v>
      </c>
      <c r="K14" s="68">
        <f t="shared" si="52"/>
        <v>0.17715800000000004</v>
      </c>
      <c r="L14" s="68">
        <f t="shared" si="52"/>
        <v>0.18604600000000004</v>
      </c>
      <c r="M14" s="68">
        <f t="shared" si="52"/>
        <v>0.19493400000000005</v>
      </c>
      <c r="N14" s="68">
        <f t="shared" si="52"/>
        <v>0.20382200000000006</v>
      </c>
      <c r="O14" s="68">
        <f t="shared" si="52"/>
        <v>0.21271000000000007</v>
      </c>
      <c r="P14" s="68">
        <f t="shared" si="52"/>
        <v>0.22159800000000007</v>
      </c>
      <c r="Q14" s="68">
        <f t="shared" si="52"/>
        <v>0.23048600000000008</v>
      </c>
      <c r="R14" s="68">
        <f t="shared" si="52"/>
        <v>0.23937400000000009</v>
      </c>
      <c r="S14" s="68">
        <f t="shared" si="52"/>
        <v>0.24826200000000009</v>
      </c>
      <c r="T14" s="68">
        <f t="shared" si="52"/>
        <v>0.2571500000000001</v>
      </c>
      <c r="U14" s="68">
        <f t="shared" si="52"/>
        <v>0.26603800000000011</v>
      </c>
      <c r="V14" s="68">
        <f t="shared" si="52"/>
        <v>0.27492600000000011</v>
      </c>
      <c r="W14" s="68">
        <f t="shared" si="52"/>
        <v>0.28381400000000012</v>
      </c>
      <c r="X14" s="68">
        <f t="shared" si="52"/>
        <v>0.29270200000000013</v>
      </c>
      <c r="Y14" s="68">
        <f t="shared" si="52"/>
        <v>0.30159000000000014</v>
      </c>
      <c r="Z14" s="68">
        <f t="shared" si="52"/>
        <v>0.31047800000000014</v>
      </c>
      <c r="AA14" s="68">
        <f t="shared" si="52"/>
        <v>0.31936600000000015</v>
      </c>
      <c r="AB14" s="68">
        <f t="shared" si="52"/>
        <v>0.32825400000000016</v>
      </c>
      <c r="AC14" s="68">
        <f t="shared" si="52"/>
        <v>0.33714200000000016</v>
      </c>
      <c r="AD14" s="68">
        <f t="shared" si="52"/>
        <v>0.34603000000000017</v>
      </c>
      <c r="AE14" s="68">
        <f t="shared" si="52"/>
        <v>0.35491800000000018</v>
      </c>
      <c r="AF14" s="68">
        <f t="shared" si="52"/>
        <v>0.36380600000000018</v>
      </c>
      <c r="AG14" s="68">
        <f t="shared" si="52"/>
        <v>0.37269400000000019</v>
      </c>
      <c r="AH14" s="68">
        <f t="shared" si="52"/>
        <v>0.3815820000000002</v>
      </c>
      <c r="AI14" s="68">
        <f t="shared" si="52"/>
        <v>0.39047000000000021</v>
      </c>
      <c r="AJ14" s="68">
        <f t="shared" si="52"/>
        <v>0.39935800000000021</v>
      </c>
      <c r="AK14" s="68">
        <f t="shared" si="52"/>
        <v>0.40824600000000022</v>
      </c>
      <c r="AL14" s="68">
        <f t="shared" si="52"/>
        <v>0.41713400000000023</v>
      </c>
      <c r="AM14" s="68">
        <f t="shared" si="52"/>
        <v>0.42602200000000023</v>
      </c>
      <c r="AN14" s="68">
        <f t="shared" si="52"/>
        <v>0.43491000000000024</v>
      </c>
      <c r="AO14" s="68">
        <f t="shared" si="52"/>
        <v>0.44379800000000025</v>
      </c>
      <c r="AP14" s="68">
        <f t="shared" si="52"/>
        <v>0.45268600000000025</v>
      </c>
      <c r="AQ14" s="68">
        <f t="shared" si="52"/>
        <v>0.46157400000000026</v>
      </c>
      <c r="AR14" s="68">
        <f t="shared" si="52"/>
        <v>0.47046200000000027</v>
      </c>
      <c r="AS14" s="68">
        <f t="shared" si="52"/>
        <v>0.47935000000000028</v>
      </c>
      <c r="AT14" s="68">
        <f t="shared" si="52"/>
        <v>0.48823800000000028</v>
      </c>
      <c r="AU14" s="68">
        <f t="shared" si="52"/>
        <v>0.49712600000000029</v>
      </c>
      <c r="AV14" s="68">
        <f t="shared" si="52"/>
        <v>0.5060140000000003</v>
      </c>
      <c r="AW14" s="68">
        <f t="shared" si="52"/>
        <v>0.5149020000000003</v>
      </c>
      <c r="AX14" s="68">
        <f t="shared" si="52"/>
        <v>0.52379000000000031</v>
      </c>
      <c r="AY14" s="68">
        <f t="shared" si="52"/>
        <v>0.53267800000000032</v>
      </c>
      <c r="AZ14" s="68">
        <f t="shared" si="52"/>
        <v>0.54156600000000032</v>
      </c>
      <c r="BA14" s="68">
        <f t="shared" si="52"/>
        <v>0.55045400000000033</v>
      </c>
      <c r="BB14" s="68">
        <f t="shared" si="52"/>
        <v>0.55934200000000034</v>
      </c>
      <c r="BC14" s="50"/>
      <c r="BE14" s="19" t="s">
        <v>36</v>
      </c>
      <c r="BF14" s="41">
        <f>(26000/4)/1000000</f>
        <v>6.4999999999999997E-3</v>
      </c>
      <c r="BG14" s="9">
        <f>BF13+BF14</f>
        <v>8.8880000000000001E-3</v>
      </c>
      <c r="BJ14" s="17"/>
      <c r="BK14" s="17"/>
      <c r="BL14" s="17"/>
      <c r="BM14" s="17"/>
      <c r="BN14" s="17"/>
      <c r="BO14" s="17"/>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c r="DI14" s="20"/>
      <c r="DJ14" s="20"/>
      <c r="DK14" s="20"/>
      <c r="DL14" s="7"/>
    </row>
    <row r="15" spans="1:116" ht="14.4" x14ac:dyDescent="0.3">
      <c r="A15" s="16"/>
      <c r="B15" s="16"/>
      <c r="C15" s="9" t="s">
        <v>37</v>
      </c>
      <c r="D15" s="351" t="s">
        <v>20</v>
      </c>
      <c r="E15" s="351"/>
      <c r="F15" s="63">
        <f>(0.02043*F3)-37.31151</f>
        <v>3.997950000000003</v>
      </c>
      <c r="G15" s="63">
        <f>(0.02043*G3)-37.31151</f>
        <v>4.0183800000000005</v>
      </c>
      <c r="H15" s="63">
        <f t="shared" ref="H15:BB15" si="53">(0.02043*H3)-37.31151</f>
        <v>4.0388100000000051</v>
      </c>
      <c r="I15" s="63">
        <f t="shared" si="53"/>
        <v>4.0592400000000026</v>
      </c>
      <c r="J15" s="63">
        <f t="shared" si="53"/>
        <v>4.0796700000000001</v>
      </c>
      <c r="K15" s="63">
        <f t="shared" si="53"/>
        <v>4.1001000000000047</v>
      </c>
      <c r="L15" s="63">
        <f t="shared" si="53"/>
        <v>4.1205300000000022</v>
      </c>
      <c r="M15" s="63">
        <f t="shared" si="53"/>
        <v>4.1409599999999998</v>
      </c>
      <c r="N15" s="63">
        <f t="shared" si="53"/>
        <v>4.1613900000000044</v>
      </c>
      <c r="O15" s="63">
        <f t="shared" si="53"/>
        <v>4.1818200000000019</v>
      </c>
      <c r="P15" s="63">
        <f t="shared" si="53"/>
        <v>4.2022499999999994</v>
      </c>
      <c r="Q15" s="63">
        <f t="shared" si="53"/>
        <v>4.222680000000004</v>
      </c>
      <c r="R15" s="63">
        <f t="shared" si="53"/>
        <v>4.2431100000000015</v>
      </c>
      <c r="S15" s="63">
        <f t="shared" si="53"/>
        <v>4.263539999999999</v>
      </c>
      <c r="T15" s="63">
        <f t="shared" si="53"/>
        <v>4.2839700000000036</v>
      </c>
      <c r="U15" s="63">
        <f t="shared" si="53"/>
        <v>4.3044000000000011</v>
      </c>
      <c r="V15" s="63">
        <f t="shared" si="53"/>
        <v>4.3248299999999986</v>
      </c>
      <c r="W15" s="63">
        <f t="shared" si="53"/>
        <v>4.3452600000000032</v>
      </c>
      <c r="X15" s="63">
        <f t="shared" si="53"/>
        <v>4.3656900000000007</v>
      </c>
      <c r="Y15" s="63">
        <f t="shared" si="53"/>
        <v>4.3861200000000053</v>
      </c>
      <c r="Z15" s="63">
        <f t="shared" si="53"/>
        <v>4.4065500000000029</v>
      </c>
      <c r="AA15" s="63">
        <f t="shared" si="53"/>
        <v>4.4269800000000004</v>
      </c>
      <c r="AB15" s="63">
        <f t="shared" si="53"/>
        <v>4.447410000000005</v>
      </c>
      <c r="AC15" s="63">
        <f t="shared" si="53"/>
        <v>4.4678400000000025</v>
      </c>
      <c r="AD15" s="63">
        <f t="shared" si="53"/>
        <v>4.48827</v>
      </c>
      <c r="AE15" s="63">
        <f t="shared" si="53"/>
        <v>4.5087000000000046</v>
      </c>
      <c r="AF15" s="63">
        <f t="shared" si="53"/>
        <v>4.5291300000000021</v>
      </c>
      <c r="AG15" s="63">
        <f t="shared" si="53"/>
        <v>4.5495599999999996</v>
      </c>
      <c r="AH15" s="63">
        <f t="shared" si="53"/>
        <v>4.5699900000000042</v>
      </c>
      <c r="AI15" s="63">
        <f t="shared" si="53"/>
        <v>4.5904200000000017</v>
      </c>
      <c r="AJ15" s="63">
        <f t="shared" si="53"/>
        <v>4.6108499999999992</v>
      </c>
      <c r="AK15" s="63">
        <f t="shared" si="53"/>
        <v>4.6312800000000038</v>
      </c>
      <c r="AL15" s="63">
        <f t="shared" si="53"/>
        <v>4.6517100000000013</v>
      </c>
      <c r="AM15" s="63">
        <f t="shared" si="53"/>
        <v>4.6721399999999988</v>
      </c>
      <c r="AN15" s="63">
        <f t="shared" si="53"/>
        <v>4.6925700000000035</v>
      </c>
      <c r="AO15" s="63">
        <f t="shared" si="53"/>
        <v>4.713000000000001</v>
      </c>
      <c r="AP15" s="63">
        <f t="shared" si="53"/>
        <v>4.7334300000000056</v>
      </c>
      <c r="AQ15" s="63">
        <f t="shared" si="53"/>
        <v>4.7538600000000031</v>
      </c>
      <c r="AR15" s="63">
        <f t="shared" si="53"/>
        <v>4.7742900000000006</v>
      </c>
      <c r="AS15" s="63">
        <f t="shared" si="53"/>
        <v>4.7947200000000052</v>
      </c>
      <c r="AT15" s="63">
        <f t="shared" si="53"/>
        <v>4.8151500000000027</v>
      </c>
      <c r="AU15" s="63">
        <f t="shared" si="53"/>
        <v>4.8355800000000002</v>
      </c>
      <c r="AV15" s="63">
        <f t="shared" si="53"/>
        <v>4.8560100000000048</v>
      </c>
      <c r="AW15" s="63">
        <f t="shared" si="53"/>
        <v>4.8764400000000023</v>
      </c>
      <c r="AX15" s="63">
        <f t="shared" si="53"/>
        <v>4.8968699999999998</v>
      </c>
      <c r="AY15" s="63">
        <f t="shared" si="53"/>
        <v>4.9173000000000044</v>
      </c>
      <c r="AZ15" s="63">
        <f t="shared" si="53"/>
        <v>4.937730000000002</v>
      </c>
      <c r="BA15" s="63">
        <f t="shared" si="53"/>
        <v>4.9581599999999995</v>
      </c>
      <c r="BB15" s="63">
        <f t="shared" si="53"/>
        <v>4.9785900000000041</v>
      </c>
      <c r="BC15" s="20"/>
      <c r="BE15" s="19" t="s">
        <v>38</v>
      </c>
      <c r="BF15" s="41"/>
      <c r="BJ15" s="17" t="s">
        <v>39</v>
      </c>
      <c r="BK15" s="17"/>
      <c r="BL15" s="17">
        <v>3.997942977882706</v>
      </c>
      <c r="BM15" s="17">
        <v>4.0379279180725449</v>
      </c>
      <c r="BN15" s="17">
        <v>4.0806905252637522</v>
      </c>
      <c r="BO15" s="17">
        <v>4.1134669490763196</v>
      </c>
      <c r="BP15" s="17">
        <v>4.1407382892015052</v>
      </c>
      <c r="BQ15" s="17">
        <v>4.1765105943737693</v>
      </c>
      <c r="BR15" s="17">
        <v>4.2070879077261329</v>
      </c>
      <c r="BS15" s="17">
        <v>4.2249668409769665</v>
      </c>
      <c r="BT15" s="17">
        <v>4.2458298841549222</v>
      </c>
      <c r="BU15" s="17">
        <v>4.2760125340181814</v>
      </c>
      <c r="BV15" s="17">
        <v>4.2956230310373718</v>
      </c>
      <c r="BW15" s="17">
        <v>4.3207400028850147</v>
      </c>
      <c r="BX15" s="17">
        <v>4.3383251897924939</v>
      </c>
      <c r="BY15" s="17">
        <v>4.3566466140845872</v>
      </c>
      <c r="BZ15" s="17">
        <v>4.3786447934366537</v>
      </c>
      <c r="CA15" s="17">
        <v>4.3983374209364339</v>
      </c>
      <c r="CB15" s="17">
        <v>4.4207652747331734</v>
      </c>
      <c r="CC15" s="17">
        <v>4.4484252824289294</v>
      </c>
      <c r="CD15" s="17">
        <v>4.4744432864224413</v>
      </c>
      <c r="CE15" s="17">
        <v>4.5034968525465002</v>
      </c>
      <c r="CF15" s="17">
        <v>4.5338486218058476</v>
      </c>
      <c r="CG15" s="17">
        <v>4.5595652353897282</v>
      </c>
      <c r="CH15" s="17">
        <v>4.5939071272333871</v>
      </c>
      <c r="CI15" s="17">
        <v>4.6253574230025114</v>
      </c>
      <c r="CJ15" s="17">
        <v>4.664858463980158</v>
      </c>
      <c r="CK15" s="17">
        <v>4.6990519005315123</v>
      </c>
      <c r="CL15" s="17">
        <v>4.7331692887346462</v>
      </c>
      <c r="CM15" s="17">
        <v>4.7687775035584927</v>
      </c>
      <c r="CN15" s="17">
        <v>4.8042268976384088</v>
      </c>
      <c r="CO15" s="17">
        <v>4.8349574297727758</v>
      </c>
      <c r="CP15" s="17">
        <v>4.8665413017743848</v>
      </c>
      <c r="CQ15" s="17">
        <v>4.8987825785305859</v>
      </c>
      <c r="CR15" s="17">
        <v>4.9318888922797992</v>
      </c>
      <c r="CS15" s="17">
        <v>4.9657302862438213</v>
      </c>
      <c r="CT15" s="17">
        <v>4.999991631445118</v>
      </c>
      <c r="CU15" s="17">
        <v>5.0348177223779178</v>
      </c>
      <c r="CV15" s="17">
        <v>5.0700349137480529</v>
      </c>
      <c r="CW15" s="17">
        <v>5.1055792846630856</v>
      </c>
      <c r="CX15" s="17">
        <v>5.1417999714103635</v>
      </c>
      <c r="CY15" s="17">
        <v>5.1781370236188096</v>
      </c>
      <c r="CZ15" s="17">
        <v>5.2148023607060709</v>
      </c>
      <c r="DA15" s="17">
        <v>5.2512516922199639</v>
      </c>
      <c r="DB15" s="17">
        <v>5.2878440643414688</v>
      </c>
      <c r="DC15" s="17">
        <v>5.3245948645713437</v>
      </c>
      <c r="DD15" s="17">
        <v>5.3614103747164075</v>
      </c>
      <c r="DE15" s="17">
        <v>5.3983063888604823</v>
      </c>
      <c r="DF15" s="17">
        <v>5.4356200209153167</v>
      </c>
      <c r="DG15" s="17">
        <v>5.4733205627515655</v>
      </c>
      <c r="DH15" s="17">
        <v>5.5113888880572297</v>
      </c>
    </row>
    <row r="16" spans="1:116" ht="14.4" x14ac:dyDescent="0.3">
      <c r="A16" s="16"/>
      <c r="B16" s="16"/>
      <c r="C16" s="9" t="s">
        <v>40</v>
      </c>
      <c r="D16" s="351" t="s">
        <v>20</v>
      </c>
      <c r="E16" s="351"/>
      <c r="F16" s="68">
        <f>F22-(F13+F14+F15+F17+F18+F20+F19)</f>
        <v>5.2531108585651474</v>
      </c>
      <c r="G16" s="68">
        <f>G22-(G13+G14+G15+G17+G18+G20+G19)</f>
        <v>5.2794650879060256</v>
      </c>
      <c r="H16" s="68">
        <f t="shared" ref="H16:BB16" si="54">H22-(H13+H14+H15+H17+H18+H20+H19)</f>
        <v>5.3051680687821658</v>
      </c>
      <c r="I16" s="68">
        <f t="shared" si="54"/>
        <v>5.3302268815696472</v>
      </c>
      <c r="J16" s="68">
        <f t="shared" si="54"/>
        <v>5.3546517693238975</v>
      </c>
      <c r="K16" s="68">
        <f t="shared" si="54"/>
        <v>5.3784502591834205</v>
      </c>
      <c r="L16" s="68">
        <f t="shared" si="54"/>
        <v>5.401630927441424</v>
      </c>
      <c r="M16" s="68">
        <f t="shared" si="54"/>
        <v>5.424200271923727</v>
      </c>
      <c r="N16" s="68">
        <f t="shared" si="54"/>
        <v>5.4461679734484818</v>
      </c>
      <c r="O16" s="68">
        <f t="shared" si="54"/>
        <v>5.4675416217565385</v>
      </c>
      <c r="P16" s="68">
        <f t="shared" si="54"/>
        <v>5.4883292259039678</v>
      </c>
      <c r="Q16" s="68">
        <f t="shared" si="54"/>
        <v>5.5085390643038252</v>
      </c>
      <c r="R16" s="68">
        <f t="shared" si="54"/>
        <v>5.528177977849154</v>
      </c>
      <c r="S16" s="68">
        <f t="shared" si="54"/>
        <v>5.5472536837386741</v>
      </c>
      <c r="T16" s="68">
        <f t="shared" si="54"/>
        <v>5.5657728720557706</v>
      </c>
      <c r="U16" s="68">
        <f t="shared" si="54"/>
        <v>5.583743368397343</v>
      </c>
      <c r="V16" s="68">
        <f t="shared" si="54"/>
        <v>5.601171368827746</v>
      </c>
      <c r="W16" s="68">
        <f t="shared" si="54"/>
        <v>5.6180638594307446</v>
      </c>
      <c r="X16" s="68">
        <f t="shared" si="54"/>
        <v>5.6344271662724204</v>
      </c>
      <c r="Y16" s="68">
        <f t="shared" si="54"/>
        <v>5.6502665634299376</v>
      </c>
      <c r="Z16" s="68">
        <f t="shared" si="54"/>
        <v>5.6655878157856669</v>
      </c>
      <c r="AA16" s="68">
        <f t="shared" si="54"/>
        <v>5.6803973009449429</v>
      </c>
      <c r="AB16" s="68">
        <f t="shared" si="54"/>
        <v>5.6947000300801598</v>
      </c>
      <c r="AC16" s="68">
        <f t="shared" si="54"/>
        <v>5.7085022185232894</v>
      </c>
      <c r="AD16" s="68">
        <f t="shared" si="54"/>
        <v>5.7218087926463284</v>
      </c>
      <c r="AE16" s="68">
        <f t="shared" si="54"/>
        <v>5.7346238140163912</v>
      </c>
      <c r="AF16" s="68">
        <f t="shared" si="54"/>
        <v>5.7469535940929468</v>
      </c>
      <c r="AG16" s="68">
        <f t="shared" si="54"/>
        <v>5.7588018279215163</v>
      </c>
      <c r="AH16" s="68">
        <f t="shared" si="54"/>
        <v>5.770171983252407</v>
      </c>
      <c r="AI16" s="68">
        <f t="shared" si="54"/>
        <v>5.7810695843467386</v>
      </c>
      <c r="AJ16" s="68">
        <f t="shared" si="54"/>
        <v>5.7915000397279215</v>
      </c>
      <c r="AK16" s="68">
        <f t="shared" si="54"/>
        <v>5.8014686414827423</v>
      </c>
      <c r="AL16" s="68">
        <f t="shared" si="54"/>
        <v>5.8109805645873749</v>
      </c>
      <c r="AM16" s="68">
        <f t="shared" si="54"/>
        <v>5.8200408662606584</v>
      </c>
      <c r="AN16" s="68">
        <f t="shared" si="54"/>
        <v>5.828654485347375</v>
      </c>
      <c r="AO16" s="68">
        <f t="shared" si="54"/>
        <v>5.8368262417338954</v>
      </c>
      <c r="AP16" s="68">
        <f t="shared" si="54"/>
        <v>5.8445608357984256</v>
      </c>
      <c r="AQ16" s="68">
        <f t="shared" si="54"/>
        <v>5.8518628478983139</v>
      </c>
      <c r="AR16" s="68">
        <f t="shared" si="54"/>
        <v>5.8587367378965176</v>
      </c>
      <c r="AS16" s="68">
        <f t="shared" si="54"/>
        <v>5.8651868447293438</v>
      </c>
      <c r="AT16" s="68">
        <f t="shared" si="54"/>
        <v>5.8712173860176478</v>
      </c>
      <c r="AU16" s="68">
        <f t="shared" si="54"/>
        <v>5.8768324577231503</v>
      </c>
      <c r="AV16" s="68">
        <f t="shared" si="54"/>
        <v>5.8820360338520636</v>
      </c>
      <c r="AW16" s="68">
        <f t="shared" si="54"/>
        <v>5.8868319662075059</v>
      </c>
      <c r="AX16" s="68">
        <f t="shared" si="54"/>
        <v>5.8912239841924752</v>
      </c>
      <c r="AY16" s="68">
        <f t="shared" si="54"/>
        <v>5.8952156946649481</v>
      </c>
      <c r="AZ16" s="68">
        <f t="shared" si="54"/>
        <v>5.8988105818465009</v>
      </c>
      <c r="BA16" s="68">
        <f t="shared" si="54"/>
        <v>5.902012007285748</v>
      </c>
      <c r="BB16" s="68">
        <f t="shared" si="54"/>
        <v>5.9048232098779323</v>
      </c>
      <c r="BC16" s="20"/>
      <c r="BE16" s="19"/>
      <c r="BF16" s="41"/>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row>
    <row r="17" spans="1:115" ht="14.4" x14ac:dyDescent="0.3">
      <c r="A17" s="16"/>
      <c r="B17" s="16"/>
      <c r="C17" s="9" t="s">
        <v>41</v>
      </c>
      <c r="D17" s="351" t="s">
        <v>20</v>
      </c>
      <c r="E17" s="351"/>
      <c r="F17" s="68">
        <f>BL17+$BF$17</f>
        <v>2.357139498</v>
      </c>
      <c r="G17" s="68">
        <f>BM17+$BF$17</f>
        <v>2.350048498</v>
      </c>
      <c r="H17" s="68">
        <f t="shared" ref="H17:BB17" si="55">BN17+$BF$17</f>
        <v>2.3429574979999996</v>
      </c>
      <c r="I17" s="68">
        <f t="shared" si="55"/>
        <v>2.3358664979999997</v>
      </c>
      <c r="J17" s="68">
        <f t="shared" si="55"/>
        <v>2.3287754979999997</v>
      </c>
      <c r="K17" s="68">
        <f t="shared" si="55"/>
        <v>2.3216844979999998</v>
      </c>
      <c r="L17" s="68">
        <f t="shared" si="55"/>
        <v>2.3145934979999998</v>
      </c>
      <c r="M17" s="68">
        <f t="shared" si="55"/>
        <v>2.3075024979999998</v>
      </c>
      <c r="N17" s="68">
        <f t="shared" si="55"/>
        <v>2.3004114979999999</v>
      </c>
      <c r="O17" s="68">
        <f t="shared" si="55"/>
        <v>2.2933204979999999</v>
      </c>
      <c r="P17" s="68">
        <f t="shared" si="55"/>
        <v>2.286229498</v>
      </c>
      <c r="Q17" s="68">
        <f t="shared" si="55"/>
        <v>2.279138498</v>
      </c>
      <c r="R17" s="68">
        <f t="shared" si="55"/>
        <v>2.2720474980000001</v>
      </c>
      <c r="S17" s="68">
        <f t="shared" si="55"/>
        <v>2.2649564979999997</v>
      </c>
      <c r="T17" s="68">
        <f t="shared" si="55"/>
        <v>2.2578654979999997</v>
      </c>
      <c r="U17" s="68">
        <f t="shared" si="55"/>
        <v>2.2507744979999997</v>
      </c>
      <c r="V17" s="68">
        <f t="shared" si="55"/>
        <v>2.2436834979999998</v>
      </c>
      <c r="W17" s="68">
        <f t="shared" si="55"/>
        <v>2.2365924979999998</v>
      </c>
      <c r="X17" s="68">
        <f t="shared" si="55"/>
        <v>2.2295014979999999</v>
      </c>
      <c r="Y17" s="68">
        <f t="shared" si="55"/>
        <v>2.2224104979999999</v>
      </c>
      <c r="Z17" s="68">
        <f t="shared" si="55"/>
        <v>2.2153194979999999</v>
      </c>
      <c r="AA17" s="68">
        <f t="shared" si="55"/>
        <v>2.208228498</v>
      </c>
      <c r="AB17" s="68">
        <f t="shared" si="55"/>
        <v>2.201137498</v>
      </c>
      <c r="AC17" s="68">
        <f t="shared" si="55"/>
        <v>2.1940464980000001</v>
      </c>
      <c r="AD17" s="68">
        <f t="shared" si="55"/>
        <v>2.1869554979999997</v>
      </c>
      <c r="AE17" s="68">
        <f t="shared" si="55"/>
        <v>2.1798644979999997</v>
      </c>
      <c r="AF17" s="68">
        <f t="shared" si="55"/>
        <v>2.1727734979999997</v>
      </c>
      <c r="AG17" s="68">
        <f t="shared" si="55"/>
        <v>2.1656824979999998</v>
      </c>
      <c r="AH17" s="68">
        <f t="shared" si="55"/>
        <v>2.1585914979999998</v>
      </c>
      <c r="AI17" s="68">
        <f t="shared" si="55"/>
        <v>2.1515004979999999</v>
      </c>
      <c r="AJ17" s="68">
        <f t="shared" si="55"/>
        <v>2.1444094979999999</v>
      </c>
      <c r="AK17" s="68">
        <f t="shared" si="55"/>
        <v>2.137318498</v>
      </c>
      <c r="AL17" s="68">
        <f t="shared" si="55"/>
        <v>2.130227498</v>
      </c>
      <c r="AM17" s="68">
        <f t="shared" si="55"/>
        <v>2.123136498</v>
      </c>
      <c r="AN17" s="68">
        <f t="shared" si="55"/>
        <v>2.1160454979999996</v>
      </c>
      <c r="AO17" s="68">
        <f t="shared" si="55"/>
        <v>2.1089544979999997</v>
      </c>
      <c r="AP17" s="68">
        <f t="shared" si="55"/>
        <v>2.1018634979999997</v>
      </c>
      <c r="AQ17" s="68">
        <f t="shared" si="55"/>
        <v>2.0947724979999998</v>
      </c>
      <c r="AR17" s="68">
        <f t="shared" si="55"/>
        <v>2.0876814979999998</v>
      </c>
      <c r="AS17" s="68">
        <f t="shared" si="55"/>
        <v>2.0805904979999998</v>
      </c>
      <c r="AT17" s="68">
        <f t="shared" si="55"/>
        <v>2.0734994979999999</v>
      </c>
      <c r="AU17" s="68">
        <f t="shared" si="55"/>
        <v>2.0664084979999999</v>
      </c>
      <c r="AV17" s="68">
        <f t="shared" si="55"/>
        <v>2.059317498</v>
      </c>
      <c r="AW17" s="68">
        <f t="shared" si="55"/>
        <v>2.052226498</v>
      </c>
      <c r="AX17" s="68">
        <f t="shared" si="55"/>
        <v>2.0451354980000001</v>
      </c>
      <c r="AY17" s="68">
        <f t="shared" si="55"/>
        <v>2.0380444979999996</v>
      </c>
      <c r="AZ17" s="68">
        <f t="shared" si="55"/>
        <v>2.0309534979999997</v>
      </c>
      <c r="BA17" s="68">
        <f t="shared" si="55"/>
        <v>2.0238624979999997</v>
      </c>
      <c r="BB17" s="68">
        <f t="shared" si="55"/>
        <v>2.0167714979999998</v>
      </c>
      <c r="BC17" s="354"/>
      <c r="BE17" s="22" t="s">
        <v>42</v>
      </c>
      <c r="BF17" s="40">
        <v>9.353498E-3</v>
      </c>
      <c r="BJ17" s="17" t="s">
        <v>41</v>
      </c>
      <c r="BK17" s="75" t="s">
        <v>20</v>
      </c>
      <c r="BL17" s="17">
        <v>2.3477860000000002</v>
      </c>
      <c r="BM17" s="17">
        <v>2.3406950000000002</v>
      </c>
      <c r="BN17" s="17">
        <v>2.3336039999999998</v>
      </c>
      <c r="BO17" s="17">
        <v>2.3265129999999998</v>
      </c>
      <c r="BP17" s="17">
        <v>2.3194219999999999</v>
      </c>
      <c r="BQ17" s="17">
        <v>2.3123309999999999</v>
      </c>
      <c r="BR17" s="17">
        <v>2.30524</v>
      </c>
      <c r="BS17" s="17">
        <v>2.298149</v>
      </c>
      <c r="BT17" s="17">
        <v>2.291058</v>
      </c>
      <c r="BU17" s="17">
        <v>2.2839670000000001</v>
      </c>
      <c r="BV17" s="17">
        <v>2.2768760000000001</v>
      </c>
      <c r="BW17" s="17">
        <v>2.2697850000000002</v>
      </c>
      <c r="BX17" s="17">
        <v>2.2626940000000002</v>
      </c>
      <c r="BY17" s="17">
        <v>2.2556029999999998</v>
      </c>
      <c r="BZ17" s="17">
        <v>2.2485119999999998</v>
      </c>
      <c r="CA17" s="17">
        <v>2.2414209999999999</v>
      </c>
      <c r="CB17" s="17">
        <v>2.2343299999999999</v>
      </c>
      <c r="CC17" s="17">
        <v>2.227239</v>
      </c>
      <c r="CD17" s="17">
        <v>2.220148</v>
      </c>
      <c r="CE17" s="17">
        <v>2.2130570000000001</v>
      </c>
      <c r="CF17" s="17">
        <v>2.2059660000000001</v>
      </c>
      <c r="CG17" s="17">
        <v>2.1988750000000001</v>
      </c>
      <c r="CH17" s="17">
        <v>2.1917840000000002</v>
      </c>
      <c r="CI17" s="17">
        <v>2.1846930000000002</v>
      </c>
      <c r="CJ17" s="17">
        <v>2.1776019999999998</v>
      </c>
      <c r="CK17" s="17">
        <v>2.1705109999999999</v>
      </c>
      <c r="CL17" s="17">
        <v>2.1634199999999999</v>
      </c>
      <c r="CM17" s="17">
        <v>2.1563289999999999</v>
      </c>
      <c r="CN17" s="17">
        <v>2.149238</v>
      </c>
      <c r="CO17" s="17">
        <v>2.142147</v>
      </c>
      <c r="CP17" s="17">
        <v>2.1350560000000001</v>
      </c>
      <c r="CQ17" s="17">
        <v>2.1279650000000001</v>
      </c>
      <c r="CR17" s="17">
        <v>2.1208740000000001</v>
      </c>
      <c r="CS17" s="17">
        <v>2.1137830000000002</v>
      </c>
      <c r="CT17" s="17">
        <v>2.1066919999999998</v>
      </c>
      <c r="CU17" s="17">
        <v>2.0996009999999998</v>
      </c>
      <c r="CV17" s="17">
        <v>2.0925099999999999</v>
      </c>
      <c r="CW17" s="17">
        <v>2.0854189999999999</v>
      </c>
      <c r="CX17" s="17">
        <v>2.078328</v>
      </c>
      <c r="CY17" s="17">
        <v>2.071237</v>
      </c>
      <c r="CZ17" s="17">
        <v>2.064146</v>
      </c>
      <c r="DA17" s="17">
        <v>2.0570550000000001</v>
      </c>
      <c r="DB17" s="17">
        <v>2.0499640000000001</v>
      </c>
      <c r="DC17" s="17">
        <v>2.0428730000000002</v>
      </c>
      <c r="DD17" s="17">
        <v>2.0357820000000002</v>
      </c>
      <c r="DE17" s="17">
        <v>2.0286909999999998</v>
      </c>
      <c r="DF17" s="17">
        <v>2.0215999999999998</v>
      </c>
      <c r="DG17" s="17">
        <v>2.0145089999999999</v>
      </c>
      <c r="DH17" s="17">
        <v>2.0074179999999999</v>
      </c>
    </row>
    <row r="18" spans="1:115" ht="14.4" x14ac:dyDescent="0.3">
      <c r="A18" s="16"/>
      <c r="B18" s="16"/>
      <c r="C18" s="9" t="s">
        <v>43</v>
      </c>
      <c r="D18" s="351" t="s">
        <v>20</v>
      </c>
      <c r="E18" s="351"/>
      <c r="F18" s="68">
        <f>BL18+$BF$18</f>
        <v>0.49363865835182269</v>
      </c>
      <c r="G18" s="68">
        <f>BM18+$BF$18</f>
        <v>0.49296344138329717</v>
      </c>
      <c r="H18" s="68">
        <f t="shared" ref="H18" si="56">BN18+$BF$18</f>
        <v>0.49228915621418823</v>
      </c>
      <c r="I18" s="68">
        <f t="shared" ref="I18" si="57">BO18+$BF$18</f>
        <v>0.49161580155861262</v>
      </c>
      <c r="J18" s="68">
        <f t="shared" ref="J18" si="58">BP18+$BF$18</f>
        <v>0.4909433761324617</v>
      </c>
      <c r="K18" s="68">
        <f t="shared" ref="K18" si="59">BQ18+$BF$18</f>
        <v>0.49027187865339888</v>
      </c>
      <c r="L18" s="68">
        <f t="shared" ref="L18" si="60">BR18+$BF$18</f>
        <v>0.48960130784085715</v>
      </c>
      <c r="M18" s="68">
        <f t="shared" ref="M18" si="61">BS18+$BF$18</f>
        <v>0.48893166241603675</v>
      </c>
      <c r="N18" s="68">
        <f t="shared" ref="N18" si="62">BT18+$BF$18</f>
        <v>0.4882629411019026</v>
      </c>
      <c r="O18" s="68">
        <f t="shared" ref="O18" si="63">BU18+$BF$18</f>
        <v>0.48759514262318193</v>
      </c>
      <c r="P18" s="68">
        <f t="shared" ref="P18" si="64">BV18+$BF$18</f>
        <v>0.48692826570636194</v>
      </c>
      <c r="Q18" s="68">
        <f t="shared" ref="Q18" si="65">BW18+$BF$18</f>
        <v>0.48626230907968715</v>
      </c>
      <c r="R18" s="68">
        <f t="shared" ref="R18" si="66">BX18+$BF$18</f>
        <v>0.48559727147315718</v>
      </c>
      <c r="S18" s="68">
        <f t="shared" ref="S18" si="67">BY18+$BF$18</f>
        <v>0.48493315161852418</v>
      </c>
      <c r="T18" s="68">
        <f t="shared" ref="T18" si="68">BZ18+$BF$18</f>
        <v>0.48426994824929059</v>
      </c>
      <c r="U18" s="68">
        <f t="shared" ref="U18" si="69">CA18+$BF$18</f>
        <v>0.48360766010070655</v>
      </c>
      <c r="V18" s="68">
        <f t="shared" ref="V18" si="70">CB18+$BF$18</f>
        <v>0.48294628590976757</v>
      </c>
      <c r="W18" s="68">
        <f t="shared" ref="W18" si="71">CC18+$BF$18</f>
        <v>0.48228582441521206</v>
      </c>
      <c r="X18" s="68">
        <f t="shared" ref="X18" si="72">CD18+$BF$18</f>
        <v>0.48162627435751904</v>
      </c>
      <c r="Y18" s="68">
        <f t="shared" ref="Y18" si="73">CE18+$BF$18</f>
        <v>0.48096763447890561</v>
      </c>
      <c r="Z18" s="68">
        <f t="shared" ref="Z18" si="74">CF18+$BF$18</f>
        <v>0.4803099035233247</v>
      </c>
      <c r="AA18" s="68">
        <f t="shared" ref="AA18" si="75">CG18+$BF$18</f>
        <v>0.47965308023646247</v>
      </c>
      <c r="AB18" s="68">
        <f t="shared" ref="AB18" si="76">CH18+$BF$18</f>
        <v>0.47899716336573611</v>
      </c>
      <c r="AC18" s="68">
        <f t="shared" ref="AC18" si="77">CI18+$BF$18</f>
        <v>0.47834215166029137</v>
      </c>
      <c r="AD18" s="68">
        <f t="shared" ref="AD18" si="78">CJ18+$BF$18</f>
        <v>0.47768804387100017</v>
      </c>
      <c r="AE18" s="68">
        <f t="shared" ref="AE18" si="79">CK18+$BF$18</f>
        <v>0.47703483875045816</v>
      </c>
      <c r="AF18" s="68">
        <f t="shared" ref="AF18" si="80">CL18+$BF$18</f>
        <v>0.4763825350529825</v>
      </c>
      <c r="AG18" s="68">
        <f t="shared" ref="AG18" si="81">CM18+$BF$18</f>
        <v>0.47573113153460939</v>
      </c>
      <c r="AH18" s="68">
        <f t="shared" ref="AH18" si="82">CN18+$BF$18</f>
        <v>0.47508062695309161</v>
      </c>
      <c r="AI18" s="68">
        <f t="shared" ref="AI18" si="83">CO18+$BF$18</f>
        <v>0.47443102006789634</v>
      </c>
      <c r="AJ18" s="68">
        <f t="shared" ref="AJ18" si="84">CP18+$BF$18</f>
        <v>0.47378230964020263</v>
      </c>
      <c r="AK18" s="68">
        <f t="shared" ref="AK18" si="85">CQ18+$BF$18</f>
        <v>0.47313449443289912</v>
      </c>
      <c r="AL18" s="68">
        <f t="shared" ref="AL18" si="86">CR18+$BF$18</f>
        <v>0.47248757321058171</v>
      </c>
      <c r="AM18" s="68">
        <f t="shared" ref="AM18" si="87">CS18+$BF$18</f>
        <v>0.47184154473955109</v>
      </c>
      <c r="AN18" s="68">
        <f t="shared" ref="AN18" si="88">CT18+$BF$18</f>
        <v>0.47119640778781047</v>
      </c>
      <c r="AO18" s="68">
        <f t="shared" ref="AO18" si="89">CU18+$BF$18</f>
        <v>0.47055216112506326</v>
      </c>
      <c r="AP18" s="68">
        <f t="shared" ref="AP18" si="90">CV18+$BF$18</f>
        <v>0.46990880352271064</v>
      </c>
      <c r="AQ18" s="68">
        <f t="shared" ref="AQ18" si="91">CW18+$BF$18</f>
        <v>0.4692663337538493</v>
      </c>
      <c r="AR18" s="68">
        <f t="shared" ref="AR18" si="92">CX18+$BF$18</f>
        <v>0.46862475059326897</v>
      </c>
      <c r="AS18" s="68">
        <f t="shared" ref="AS18" si="93">CY18+$BF$18</f>
        <v>0.46798405281745026</v>
      </c>
      <c r="AT18" s="68">
        <f t="shared" ref="AT18" si="94">CZ18+$BF$18</f>
        <v>0.46734423920456214</v>
      </c>
      <c r="AU18" s="68">
        <f t="shared" ref="AU18" si="95">DA18+$BF$18</f>
        <v>0.4667053085344598</v>
      </c>
      <c r="AV18" s="68">
        <f t="shared" ref="AV18" si="96">DB18+$BF$18</f>
        <v>0.46606725958868223</v>
      </c>
      <c r="AW18" s="68">
        <f t="shared" ref="AW18" si="97">DC18+$BF$18</f>
        <v>0.46543009115044981</v>
      </c>
      <c r="AX18" s="68">
        <f t="shared" ref="AX18" si="98">DD18+$BF$18</f>
        <v>0.46479380200466219</v>
      </c>
      <c r="AY18" s="68">
        <f t="shared" ref="AY18" si="99">DE18+$BF$18</f>
        <v>0.46415839093789574</v>
      </c>
      <c r="AZ18" s="68">
        <f t="shared" ref="AZ18" si="100">DF18+$BF$18</f>
        <v>0.46352385673840141</v>
      </c>
      <c r="BA18" s="68">
        <f t="shared" ref="BA18" si="101">DG18+$BF$18</f>
        <v>0.46289019819610239</v>
      </c>
      <c r="BB18" s="68">
        <f t="shared" ref="BB18" si="102">DH18+$BF$18</f>
        <v>0.46225741410259175</v>
      </c>
      <c r="BC18" s="354"/>
      <c r="BE18" s="22" t="s">
        <v>44</v>
      </c>
      <c r="BF18" s="40">
        <v>4.3509999999999998E-3</v>
      </c>
      <c r="BJ18" s="17" t="s">
        <v>43</v>
      </c>
      <c r="BK18" s="75" t="s">
        <v>20</v>
      </c>
      <c r="BL18" s="17">
        <v>0.4892876583518227</v>
      </c>
      <c r="BM18" s="17">
        <v>0.48861244138329718</v>
      </c>
      <c r="BN18" s="17">
        <v>0.48793815621418823</v>
      </c>
      <c r="BO18" s="17">
        <v>0.48726480155861263</v>
      </c>
      <c r="BP18" s="17">
        <v>0.4865923761324617</v>
      </c>
      <c r="BQ18" s="17">
        <v>0.48592087865339889</v>
      </c>
      <c r="BR18" s="17">
        <v>0.48525030784085715</v>
      </c>
      <c r="BS18" s="17">
        <v>0.48458066241603676</v>
      </c>
      <c r="BT18" s="17">
        <v>0.48391194110190261</v>
      </c>
      <c r="BU18" s="17">
        <v>0.48324414262318194</v>
      </c>
      <c r="BV18" s="17">
        <v>0.48257726570636195</v>
      </c>
      <c r="BW18" s="17">
        <v>0.48191130907968716</v>
      </c>
      <c r="BX18" s="17">
        <v>0.48124627147315718</v>
      </c>
      <c r="BY18" s="17">
        <v>0.48058215161852419</v>
      </c>
      <c r="BZ18" s="17">
        <v>0.4799189482492906</v>
      </c>
      <c r="CA18" s="17">
        <v>0.47925666010070656</v>
      </c>
      <c r="CB18" s="17">
        <v>0.47859528590976758</v>
      </c>
      <c r="CC18" s="17">
        <v>0.47793482441521207</v>
      </c>
      <c r="CD18" s="17">
        <v>0.47727527435751904</v>
      </c>
      <c r="CE18" s="17">
        <v>0.47661663447890562</v>
      </c>
      <c r="CF18" s="17">
        <v>0.47595890352332471</v>
      </c>
      <c r="CG18" s="17">
        <v>0.47530208023646248</v>
      </c>
      <c r="CH18" s="17">
        <v>0.47464616336573612</v>
      </c>
      <c r="CI18" s="17">
        <v>0.47399115166029138</v>
      </c>
      <c r="CJ18" s="17">
        <v>0.47333704387100017</v>
      </c>
      <c r="CK18" s="17">
        <v>0.47268383875045816</v>
      </c>
      <c r="CL18" s="17">
        <v>0.47203153505298251</v>
      </c>
      <c r="CM18" s="17">
        <v>0.47138013153460939</v>
      </c>
      <c r="CN18" s="17">
        <v>0.47072962695309162</v>
      </c>
      <c r="CO18" s="17">
        <v>0.47008002006789634</v>
      </c>
      <c r="CP18" s="17">
        <v>0.46943130964020263</v>
      </c>
      <c r="CQ18" s="17">
        <v>0.46878349443289913</v>
      </c>
      <c r="CR18" s="17">
        <v>0.46813657321058172</v>
      </c>
      <c r="CS18" s="17">
        <v>0.46749054473955109</v>
      </c>
      <c r="CT18" s="17">
        <v>0.46684540778781047</v>
      </c>
      <c r="CU18" s="17">
        <v>0.46620116112506327</v>
      </c>
      <c r="CV18" s="17">
        <v>0.46555780352271064</v>
      </c>
      <c r="CW18" s="17">
        <v>0.4649153337538493</v>
      </c>
      <c r="CX18" s="17">
        <v>0.46427375059326897</v>
      </c>
      <c r="CY18" s="17">
        <v>0.46363305281745026</v>
      </c>
      <c r="CZ18" s="17">
        <v>0.46299323920456215</v>
      </c>
      <c r="DA18" s="17">
        <v>0.4623543085344598</v>
      </c>
      <c r="DB18" s="17">
        <v>0.46171625958868223</v>
      </c>
      <c r="DC18" s="17">
        <v>0.46107909115044982</v>
      </c>
      <c r="DD18" s="17">
        <v>0.4604428020046622</v>
      </c>
      <c r="DE18" s="17">
        <v>0.45980739093789574</v>
      </c>
      <c r="DF18" s="17">
        <v>0.45917285673840141</v>
      </c>
      <c r="DG18" s="17">
        <v>0.45853919819610239</v>
      </c>
      <c r="DH18" s="17">
        <v>0.45790641410259175</v>
      </c>
    </row>
    <row r="19" spans="1:115" ht="14.4" x14ac:dyDescent="0.3">
      <c r="A19" s="16"/>
      <c r="B19" s="16"/>
      <c r="C19" s="9" t="s">
        <v>45</v>
      </c>
      <c r="D19" s="351" t="s">
        <v>20</v>
      </c>
      <c r="E19" s="351"/>
      <c r="F19" s="68">
        <f>BL19-(0.1*BL19)</f>
        <v>0.27192659343469749</v>
      </c>
      <c r="G19" s="68">
        <f t="shared" ref="G19:BB20" si="103">BM19-(0.1*BM19)</f>
        <v>0.27550292176841307</v>
      </c>
      <c r="H19" s="68">
        <f t="shared" si="103"/>
        <v>0.27904635876462158</v>
      </c>
      <c r="I19" s="68">
        <f t="shared" si="103"/>
        <v>0.28255623934113083</v>
      </c>
      <c r="J19" s="68">
        <f t="shared" si="103"/>
        <v>0.28602863346680485</v>
      </c>
      <c r="K19" s="68">
        <f t="shared" si="103"/>
        <v>0.28946222609276351</v>
      </c>
      <c r="L19" s="68">
        <f t="shared" si="103"/>
        <v>0.29285455339179467</v>
      </c>
      <c r="M19" s="68">
        <f t="shared" si="103"/>
        <v>0.29620513166775858</v>
      </c>
      <c r="N19" s="68">
        <f t="shared" si="103"/>
        <v>0.29951019716006727</v>
      </c>
      <c r="O19" s="68">
        <f t="shared" si="103"/>
        <v>0.30276798135470961</v>
      </c>
      <c r="P19" s="68">
        <f t="shared" si="103"/>
        <v>0.30597620181052587</v>
      </c>
      <c r="Q19" s="68">
        <f t="shared" si="103"/>
        <v>0.30913221331425145</v>
      </c>
      <c r="R19" s="68">
        <f t="shared" si="103"/>
        <v>0.31223471593251062</v>
      </c>
      <c r="S19" s="68">
        <f t="shared" si="103"/>
        <v>0.31528144233964805</v>
      </c>
      <c r="T19" s="68">
        <f>BZ19-(0.1*BZ19)</f>
        <v>0.31827106237127922</v>
      </c>
      <c r="U19" s="68">
        <f t="shared" si="103"/>
        <v>0.32120102150716578</v>
      </c>
      <c r="V19" s="68">
        <f t="shared" si="103"/>
        <v>0.32407030700851502</v>
      </c>
      <c r="W19" s="68">
        <f t="shared" si="103"/>
        <v>0.32687702943728075</v>
      </c>
      <c r="X19" s="68">
        <f t="shared" si="103"/>
        <v>0.3296198737445829</v>
      </c>
      <c r="Y19" s="68">
        <f t="shared" si="103"/>
        <v>0.33229849227382102</v>
      </c>
      <c r="Z19" s="68">
        <f t="shared" si="103"/>
        <v>0.33491196297922848</v>
      </c>
      <c r="AA19" s="68">
        <f t="shared" si="103"/>
        <v>0.33745866850183792</v>
      </c>
      <c r="AB19" s="68">
        <f t="shared" si="103"/>
        <v>0.33993827630055318</v>
      </c>
      <c r="AC19" s="68">
        <f t="shared" si="103"/>
        <v>0.34234916901640677</v>
      </c>
      <c r="AD19" s="68">
        <f t="shared" si="103"/>
        <v>0.34469093853078081</v>
      </c>
      <c r="AE19" s="68">
        <f t="shared" si="103"/>
        <v>0.34696396273128438</v>
      </c>
      <c r="AF19" s="68">
        <f t="shared" si="103"/>
        <v>0.3491662917178539</v>
      </c>
      <c r="AG19" s="68">
        <f t="shared" si="103"/>
        <v>0.35129851499515985</v>
      </c>
      <c r="AH19" s="68">
        <f t="shared" si="103"/>
        <v>0.35336137322291622</v>
      </c>
      <c r="AI19" s="68">
        <f t="shared" si="103"/>
        <v>0.35535347526220507</v>
      </c>
      <c r="AJ19" s="68">
        <f t="shared" si="103"/>
        <v>0.3572734712596925</v>
      </c>
      <c r="AK19" s="68">
        <f t="shared" si="103"/>
        <v>0.35912005416600151</v>
      </c>
      <c r="AL19" s="68">
        <f t="shared" si="103"/>
        <v>0.36089196121316586</v>
      </c>
      <c r="AM19" s="68">
        <f t="shared" si="103"/>
        <v>0.36258797534883536</v>
      </c>
      <c r="AN19" s="68">
        <f t="shared" si="103"/>
        <v>0.36420692662496107</v>
      </c>
      <c r="AO19" s="68">
        <f t="shared" si="103"/>
        <v>0.36574769353875047</v>
      </c>
      <c r="AP19" s="68">
        <f t="shared" si="103"/>
        <v>0.36720920432374576</v>
      </c>
      <c r="AQ19" s="68">
        <f t="shared" si="103"/>
        <v>0.36859043818895315</v>
      </c>
      <c r="AR19" s="68">
        <f t="shared" si="103"/>
        <v>0.36989042650402176</v>
      </c>
      <c r="AS19" s="68">
        <f t="shared" si="103"/>
        <v>0.3711082539285514</v>
      </c>
      <c r="AT19" s="68">
        <f t="shared" si="103"/>
        <v>0.37224305948369113</v>
      </c>
      <c r="AU19" s="68">
        <f t="shared" si="103"/>
        <v>0.37329403756427515</v>
      </c>
      <c r="AV19" s="68">
        <f t="shared" si="103"/>
        <v>0.37426043888983651</v>
      </c>
      <c r="AW19" s="68">
        <f t="shared" si="103"/>
        <v>0.37514157139292792</v>
      </c>
      <c r="AX19" s="68">
        <f t="shared" si="103"/>
        <v>0.37593680104328148</v>
      </c>
      <c r="AY19" s="68">
        <f t="shared" si="103"/>
        <v>0.37664555260643334</v>
      </c>
      <c r="AZ19" s="68">
        <f t="shared" si="103"/>
        <v>0.37726731033554817</v>
      </c>
      <c r="BA19" s="68">
        <f t="shared" si="103"/>
        <v>0.37780161859527905</v>
      </c>
      <c r="BB19" s="68">
        <f t="shared" si="103"/>
        <v>0.37824808241661151</v>
      </c>
      <c r="BC19" s="354"/>
      <c r="BE19" s="22" t="s">
        <v>46</v>
      </c>
      <c r="BF19" s="41"/>
      <c r="BJ19" s="17" t="s">
        <v>45</v>
      </c>
      <c r="BK19" s="75" t="s">
        <v>20</v>
      </c>
      <c r="BL19" s="17">
        <v>0.30214065937188611</v>
      </c>
      <c r="BM19" s="17">
        <v>0.30611435752045896</v>
      </c>
      <c r="BN19" s="17">
        <v>0.3100515097384684</v>
      </c>
      <c r="BO19" s="17">
        <v>0.31395137704570092</v>
      </c>
      <c r="BP19" s="17">
        <v>0.31780959274089426</v>
      </c>
      <c r="BQ19" s="17">
        <v>0.32162469565862611</v>
      </c>
      <c r="BR19" s="17">
        <v>0.32539394821310519</v>
      </c>
      <c r="BS19" s="17">
        <v>0.32911681296417622</v>
      </c>
      <c r="BT19" s="17">
        <v>0.33278910795563033</v>
      </c>
      <c r="BU19" s="17">
        <v>0.33640886817189958</v>
      </c>
      <c r="BV19" s="17">
        <v>0.33997355756725095</v>
      </c>
      <c r="BW19" s="17">
        <v>0.34348023701583491</v>
      </c>
      <c r="BX19" s="17">
        <v>0.34692746214723402</v>
      </c>
      <c r="BY19" s="17">
        <v>0.35031271371072004</v>
      </c>
      <c r="BZ19" s="17">
        <v>0.3536345137458658</v>
      </c>
      <c r="CA19" s="17">
        <v>0.35689002389685087</v>
      </c>
      <c r="CB19" s="17">
        <v>0.36007811889835001</v>
      </c>
      <c r="CC19" s="17">
        <v>0.3631966993747564</v>
      </c>
      <c r="CD19" s="17">
        <v>0.36624430416064768</v>
      </c>
      <c r="CE19" s="17">
        <v>0.36922054697091222</v>
      </c>
      <c r="CF19" s="17">
        <v>0.37212440331025387</v>
      </c>
      <c r="CG19" s="17">
        <v>0.37495407611315323</v>
      </c>
      <c r="CH19" s="17">
        <v>0.37770919588950352</v>
      </c>
      <c r="CI19" s="17">
        <v>0.38038796557378529</v>
      </c>
      <c r="CJ19" s="17">
        <v>0.38298993170086754</v>
      </c>
      <c r="CK19" s="17">
        <v>0.38551551414587154</v>
      </c>
      <c r="CL19" s="17">
        <v>0.38796254635317101</v>
      </c>
      <c r="CM19" s="17">
        <v>0.39033168332795537</v>
      </c>
      <c r="CN19" s="17">
        <v>0.39262374802546246</v>
      </c>
      <c r="CO19" s="17">
        <v>0.39483719473578344</v>
      </c>
      <c r="CP19" s="17">
        <v>0.39697052362188057</v>
      </c>
      <c r="CQ19" s="17">
        <v>0.39902228240666837</v>
      </c>
      <c r="CR19" s="17">
        <v>0.40099106801462875</v>
      </c>
      <c r="CS19" s="17">
        <v>0.40287552816537259</v>
      </c>
      <c r="CT19" s="17">
        <v>0.4046743629166234</v>
      </c>
      <c r="CU19" s="17">
        <v>0.4063863261541672</v>
      </c>
      <c r="CV19" s="17">
        <v>0.40801022702638418</v>
      </c>
      <c r="CW19" s="17">
        <v>0.40954493132105907</v>
      </c>
      <c r="CX19" s="17">
        <v>0.4109893627822464</v>
      </c>
      <c r="CY19" s="17">
        <v>0.41234250436505715</v>
      </c>
      <c r="CZ19" s="17">
        <v>0.41360339942632346</v>
      </c>
      <c r="DA19" s="17">
        <v>0.41477115284919464</v>
      </c>
      <c r="DB19" s="17">
        <v>0.41584493209981832</v>
      </c>
      <c r="DC19" s="17">
        <v>0.41682396821436435</v>
      </c>
      <c r="DD19" s="17">
        <v>0.41770755671475718</v>
      </c>
      <c r="DE19" s="17">
        <v>0.41849505845159263</v>
      </c>
      <c r="DF19" s="17">
        <v>0.41918590037283127</v>
      </c>
      <c r="DG19" s="17">
        <v>0.4197795762169767</v>
      </c>
      <c r="DH19" s="17">
        <v>0.42027564712956833</v>
      </c>
    </row>
    <row r="20" spans="1:115" ht="14.4" x14ac:dyDescent="0.3">
      <c r="A20" s="16"/>
      <c r="B20" s="16"/>
      <c r="C20" s="9" t="s">
        <v>47</v>
      </c>
      <c r="D20" s="351" t="s">
        <v>20</v>
      </c>
      <c r="E20" s="351"/>
      <c r="F20" s="68">
        <f>BL20-(0.1*BL20)</f>
        <v>0.10272429782748704</v>
      </c>
      <c r="G20" s="68">
        <f t="shared" si="103"/>
        <v>0.10401088917228646</v>
      </c>
      <c r="H20" s="68">
        <f t="shared" si="103"/>
        <v>0.10531359469185776</v>
      </c>
      <c r="I20" s="68">
        <f t="shared" si="103"/>
        <v>0.10663261621145778</v>
      </c>
      <c r="J20" s="68">
        <f t="shared" si="103"/>
        <v>0.10796815808414478</v>
      </c>
      <c r="K20" s="68">
        <f t="shared" si="103"/>
        <v>0.10932042722243843</v>
      </c>
      <c r="L20" s="68">
        <f t="shared" si="103"/>
        <v>0.11068963313037627</v>
      </c>
      <c r="M20" s="68">
        <f t="shared" si="103"/>
        <v>0.11207598793597182</v>
      </c>
      <c r="N20" s="68">
        <f t="shared" si="103"/>
        <v>0.11347970642407892</v>
      </c>
      <c r="O20" s="68">
        <f t="shared" si="103"/>
        <v>0.11490100606966804</v>
      </c>
      <c r="P20" s="68">
        <f t="shared" si="103"/>
        <v>0.11634010707151905</v>
      </c>
      <c r="Q20" s="68">
        <f t="shared" si="103"/>
        <v>0.11779723238633626</v>
      </c>
      <c r="R20" s="68">
        <f t="shared" si="103"/>
        <v>0.11927260776329046</v>
      </c>
      <c r="S20" s="68">
        <f t="shared" si="103"/>
        <v>0.12076646177899386</v>
      </c>
      <c r="T20" s="68">
        <f t="shared" si="103"/>
        <v>0.12227902587291289</v>
      </c>
      <c r="U20" s="68">
        <f t="shared" si="103"/>
        <v>0.12381053438322462</v>
      </c>
      <c r="V20" s="68">
        <f t="shared" si="103"/>
        <v>0.12536122458312221</v>
      </c>
      <c r="W20" s="68">
        <f t="shared" si="103"/>
        <v>0.12693133671757523</v>
      </c>
      <c r="X20" s="68">
        <f t="shared" si="103"/>
        <v>0.12852111404055006</v>
      </c>
      <c r="Y20" s="68">
        <f t="shared" si="103"/>
        <v>0.1301308028526969</v>
      </c>
      <c r="Z20" s="68">
        <f t="shared" si="103"/>
        <v>0.13176065253950858</v>
      </c>
      <c r="AA20" s="68">
        <f t="shared" si="103"/>
        <v>0.13341091560995708</v>
      </c>
      <c r="AB20" s="68">
        <f t="shared" si="103"/>
        <v>0.13508184773561435</v>
      </c>
      <c r="AC20" s="68">
        <f t="shared" si="103"/>
        <v>0.13677370779026296</v>
      </c>
      <c r="AD20" s="68">
        <f t="shared" si="103"/>
        <v>0.13848675789000275</v>
      </c>
      <c r="AE20" s="68">
        <f t="shared" si="103"/>
        <v>0.14022126343385991</v>
      </c>
      <c r="AF20" s="68">
        <f t="shared" si="103"/>
        <v>0.14197749314490465</v>
      </c>
      <c r="AG20" s="68">
        <f t="shared" si="103"/>
        <v>0.14375571911188395</v>
      </c>
      <c r="AH20" s="68">
        <f t="shared" si="103"/>
        <v>0.14555621683137551</v>
      </c>
      <c r="AI20" s="68">
        <f t="shared" si="103"/>
        <v>0.14737926525047002</v>
      </c>
      <c r="AJ20" s="68">
        <f t="shared" si="103"/>
        <v>0.14922514680998761</v>
      </c>
      <c r="AK20" s="68">
        <f t="shared" si="103"/>
        <v>0.15109414748823588</v>
      </c>
      <c r="AL20" s="68">
        <f t="shared" si="103"/>
        <v>0.1529865568453159</v>
      </c>
      <c r="AM20" s="68">
        <f t="shared" si="103"/>
        <v>0.15490266806798303</v>
      </c>
      <c r="AN20" s="68">
        <f t="shared" si="103"/>
        <v>0.15684277801506968</v>
      </c>
      <c r="AO20" s="68">
        <f t="shared" si="103"/>
        <v>0.1588071872634772</v>
      </c>
      <c r="AP20" s="68">
        <f t="shared" si="103"/>
        <v>0.1607962001547433</v>
      </c>
      <c r="AQ20" s="68">
        <f t="shared" si="103"/>
        <v>0.16281012484219315</v>
      </c>
      <c r="AR20" s="68">
        <f t="shared" si="103"/>
        <v>0.16484927333868085</v>
      </c>
      <c r="AS20" s="68">
        <f t="shared" si="103"/>
        <v>0.16691396156492899</v>
      </c>
      <c r="AT20" s="68">
        <f t="shared" si="103"/>
        <v>0.16900450939847333</v>
      </c>
      <c r="AU20" s="68">
        <f t="shared" si="103"/>
        <v>0.17112124072322099</v>
      </c>
      <c r="AV20" s="68">
        <f t="shared" si="103"/>
        <v>0.17326448347962869</v>
      </c>
      <c r="AW20" s="68">
        <f t="shared" si="103"/>
        <v>0.1754345697155103</v>
      </c>
      <c r="AX20" s="68">
        <f t="shared" si="103"/>
        <v>0.17763183563747978</v>
      </c>
      <c r="AY20" s="68">
        <f t="shared" si="103"/>
        <v>0.17985662166303937</v>
      </c>
      <c r="AZ20" s="68">
        <f t="shared" si="103"/>
        <v>0.18210927247331932</v>
      </c>
      <c r="BA20" s="68">
        <f t="shared" si="103"/>
        <v>0.18439013706647886</v>
      </c>
      <c r="BB20" s="68">
        <f t="shared" si="103"/>
        <v>0.18669956881177555</v>
      </c>
      <c r="BC20" s="354"/>
      <c r="BE20" s="22" t="s">
        <v>48</v>
      </c>
      <c r="BF20" s="41"/>
      <c r="BJ20" s="17" t="s">
        <v>47</v>
      </c>
      <c r="BK20" s="75" t="s">
        <v>20</v>
      </c>
      <c r="BL20" s="17">
        <v>0.11413810869720784</v>
      </c>
      <c r="BM20" s="17">
        <v>0.11556765463587385</v>
      </c>
      <c r="BN20" s="17">
        <v>0.11701510521317529</v>
      </c>
      <c r="BO20" s="17">
        <v>0.11848068467939754</v>
      </c>
      <c r="BP20" s="17">
        <v>0.11996462009349421</v>
      </c>
      <c r="BQ20" s="17">
        <v>0.12146714135826492</v>
      </c>
      <c r="BR20" s="17">
        <v>0.12298848125597364</v>
      </c>
      <c r="BS20" s="17">
        <v>0.12452887548441313</v>
      </c>
      <c r="BT20" s="17">
        <v>0.12608856269342103</v>
      </c>
      <c r="BU20" s="17">
        <v>0.12766778452185337</v>
      </c>
      <c r="BV20" s="17">
        <v>0.12926678563502117</v>
      </c>
      <c r="BW20" s="17">
        <v>0.13088581376259584</v>
      </c>
      <c r="BX20" s="17">
        <v>0.13252511973698941</v>
      </c>
      <c r="BY20" s="17">
        <v>0.1341849575322154</v>
      </c>
      <c r="BZ20" s="17">
        <v>0.13586558430323656</v>
      </c>
      <c r="CA20" s="17">
        <v>0.13756726042580514</v>
      </c>
      <c r="CB20" s="17">
        <v>0.13929024953680247</v>
      </c>
      <c r="CC20" s="17">
        <v>0.14103481857508357</v>
      </c>
      <c r="CD20" s="17">
        <v>0.14280123782283338</v>
      </c>
      <c r="CE20" s="17">
        <v>0.14458978094744102</v>
      </c>
      <c r="CF20" s="17">
        <v>0.14640072504389842</v>
      </c>
      <c r="CG20" s="17">
        <v>0.14823435067773008</v>
      </c>
      <c r="CH20" s="17">
        <v>0.1500909419284604</v>
      </c>
      <c r="CI20" s="17">
        <v>0.15197078643362552</v>
      </c>
      <c r="CJ20" s="17">
        <v>0.1538741754333364</v>
      </c>
      <c r="CK20" s="17">
        <v>0.15580140381539989</v>
      </c>
      <c r="CL20" s="17">
        <v>0.15775277016100517</v>
      </c>
      <c r="CM20" s="17">
        <v>0.15972857679098215</v>
      </c>
      <c r="CN20" s="17">
        <v>0.16172912981263945</v>
      </c>
      <c r="CO20" s="17">
        <v>0.16375473916718891</v>
      </c>
      <c r="CP20" s="17">
        <v>0.165805718677764</v>
      </c>
      <c r="CQ20" s="17">
        <v>0.16788238609803988</v>
      </c>
      <c r="CR20" s="17">
        <v>0.16998506316146211</v>
      </c>
      <c r="CS20" s="17">
        <v>0.17211407563109224</v>
      </c>
      <c r="CT20" s="17">
        <v>0.17426975335007744</v>
      </c>
      <c r="CU20" s="17">
        <v>0.17645243029275245</v>
      </c>
      <c r="CV20" s="17">
        <v>0.17866244461638145</v>
      </c>
      <c r="CW20" s="17">
        <v>0.18090013871354793</v>
      </c>
      <c r="CX20" s="17">
        <v>0.18316585926520096</v>
      </c>
      <c r="CY20" s="17">
        <v>0.18545995729436554</v>
      </c>
      <c r="CZ20" s="17">
        <v>0.18778278822052594</v>
      </c>
      <c r="DA20" s="17">
        <v>0.19013471191468997</v>
      </c>
      <c r="DB20" s="17">
        <v>0.192516092755143</v>
      </c>
      <c r="DC20" s="17">
        <v>0.19492729968390032</v>
      </c>
      <c r="DD20" s="17">
        <v>0.19736870626386643</v>
      </c>
      <c r="DE20" s="17">
        <v>0.1998406907367104</v>
      </c>
      <c r="DF20" s="17">
        <v>0.20234363608146591</v>
      </c>
      <c r="DG20" s="17">
        <v>0.2048779300738654</v>
      </c>
      <c r="DH20" s="17">
        <v>0.20744396534641726</v>
      </c>
    </row>
    <row r="21" spans="1:115" s="8" customFormat="1" ht="14.4" x14ac:dyDescent="0.3">
      <c r="A21" s="23"/>
      <c r="B21" s="23"/>
      <c r="C21" s="24"/>
      <c r="D21" s="25" t="s">
        <v>49</v>
      </c>
      <c r="E21" s="25"/>
      <c r="F21" s="23">
        <f>SUM(F13:F20)</f>
        <v>24.898200000000003</v>
      </c>
      <c r="G21" s="23">
        <f t="shared" ref="G21:BA21" si="104">SUM(G13:G20)</f>
        <v>24.898199999999999</v>
      </c>
      <c r="H21" s="23">
        <f t="shared" si="104"/>
        <v>24.898199999999999</v>
      </c>
      <c r="I21" s="23">
        <f t="shared" si="104"/>
        <v>24.898199999999996</v>
      </c>
      <c r="J21" s="23">
        <f t="shared" si="104"/>
        <v>24.898199999999999</v>
      </c>
      <c r="K21" s="23">
        <f t="shared" si="104"/>
        <v>24.898199999999999</v>
      </c>
      <c r="L21" s="23">
        <f t="shared" si="104"/>
        <v>24.898199999999999</v>
      </c>
      <c r="M21" s="23">
        <f t="shared" si="104"/>
        <v>24.898200000000003</v>
      </c>
      <c r="N21" s="23">
        <f t="shared" si="104"/>
        <v>24.898199999999999</v>
      </c>
      <c r="O21" s="23">
        <f t="shared" si="104"/>
        <v>24.898199999999999</v>
      </c>
      <c r="P21" s="23">
        <f t="shared" si="104"/>
        <v>24.898199999999999</v>
      </c>
      <c r="Q21" s="23">
        <f t="shared" si="104"/>
        <v>24.898199999999999</v>
      </c>
      <c r="R21" s="23">
        <f t="shared" si="104"/>
        <v>24.898199999999999</v>
      </c>
      <c r="S21" s="78">
        <f t="shared" si="104"/>
        <v>24.898199999999999</v>
      </c>
      <c r="T21" s="78">
        <f t="shared" si="104"/>
        <v>24.898199999999999</v>
      </c>
      <c r="U21" s="78">
        <f t="shared" si="104"/>
        <v>24.898199999999999</v>
      </c>
      <c r="V21" s="78">
        <f t="shared" si="104"/>
        <v>24.898199999999999</v>
      </c>
      <c r="W21" s="78">
        <f t="shared" si="104"/>
        <v>24.898199999999999</v>
      </c>
      <c r="X21" s="78">
        <f t="shared" si="104"/>
        <v>24.898199999999999</v>
      </c>
      <c r="Y21" s="78">
        <f t="shared" si="104"/>
        <v>24.898199999999999</v>
      </c>
      <c r="Z21" s="78">
        <f t="shared" si="104"/>
        <v>24.898199999999999</v>
      </c>
      <c r="AA21" s="78">
        <f t="shared" si="104"/>
        <v>24.898199999999999</v>
      </c>
      <c r="AB21" s="78">
        <f t="shared" si="104"/>
        <v>24.898199999999999</v>
      </c>
      <c r="AC21" s="78">
        <f t="shared" si="104"/>
        <v>24.898199999999999</v>
      </c>
      <c r="AD21" s="78">
        <f t="shared" si="104"/>
        <v>24.898199999999999</v>
      </c>
      <c r="AE21" s="78">
        <f t="shared" si="104"/>
        <v>24.898199999999999</v>
      </c>
      <c r="AF21" s="78">
        <f t="shared" si="104"/>
        <v>24.898199999999996</v>
      </c>
      <c r="AG21" s="78">
        <f t="shared" si="104"/>
        <v>24.898199999999999</v>
      </c>
      <c r="AH21" s="78">
        <f t="shared" si="104"/>
        <v>24.898199999999999</v>
      </c>
      <c r="AI21" s="78">
        <f t="shared" si="104"/>
        <v>24.898199999999999</v>
      </c>
      <c r="AJ21" s="78">
        <f t="shared" si="104"/>
        <v>24.898199999999999</v>
      </c>
      <c r="AK21" s="78">
        <f t="shared" si="104"/>
        <v>24.898199999999999</v>
      </c>
      <c r="AL21" s="78">
        <f t="shared" si="104"/>
        <v>24.898199999999999</v>
      </c>
      <c r="AM21" s="78">
        <f t="shared" si="104"/>
        <v>24.898199999999999</v>
      </c>
      <c r="AN21" s="78">
        <f t="shared" si="104"/>
        <v>24.898199999999999</v>
      </c>
      <c r="AO21" s="78">
        <f t="shared" si="104"/>
        <v>24.898199999999999</v>
      </c>
      <c r="AP21" s="78">
        <f t="shared" si="104"/>
        <v>24.898199999999999</v>
      </c>
      <c r="AQ21" s="78">
        <f t="shared" si="104"/>
        <v>24.898199999999999</v>
      </c>
      <c r="AR21" s="78">
        <f t="shared" si="104"/>
        <v>24.898199999999999</v>
      </c>
      <c r="AS21" s="78">
        <f t="shared" si="104"/>
        <v>24.898199999999999</v>
      </c>
      <c r="AT21" s="78">
        <f t="shared" si="104"/>
        <v>24.898200000000003</v>
      </c>
      <c r="AU21" s="78">
        <f t="shared" si="104"/>
        <v>24.898199999999999</v>
      </c>
      <c r="AV21" s="78">
        <f t="shared" si="104"/>
        <v>24.898199999999999</v>
      </c>
      <c r="AW21" s="78">
        <f t="shared" si="104"/>
        <v>24.898199999999996</v>
      </c>
      <c r="AX21" s="78">
        <f t="shared" si="104"/>
        <v>24.898199999999999</v>
      </c>
      <c r="AY21" s="78">
        <f t="shared" si="104"/>
        <v>24.898199999999999</v>
      </c>
      <c r="AZ21" s="78">
        <f t="shared" si="104"/>
        <v>24.898199999999999</v>
      </c>
      <c r="BA21" s="78">
        <f t="shared" si="104"/>
        <v>24.898199999999999</v>
      </c>
      <c r="BB21" s="78">
        <f>SUM(BB13:BB20)</f>
        <v>24.898199999999999</v>
      </c>
      <c r="BC21" s="26"/>
      <c r="BD21" s="24"/>
      <c r="BE21" s="24"/>
      <c r="BF21" s="42"/>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row>
    <row r="22" spans="1:115" ht="14.25" hidden="1" customHeight="1" x14ac:dyDescent="0.3">
      <c r="A22" s="16"/>
      <c r="B22" s="16"/>
      <c r="F22" s="16">
        <v>24.898199999999999</v>
      </c>
      <c r="G22" s="16">
        <v>24.898199999999999</v>
      </c>
      <c r="H22" s="16">
        <v>24.898199999999999</v>
      </c>
      <c r="I22" s="16">
        <v>24.898199999999999</v>
      </c>
      <c r="J22" s="16">
        <v>24.898199999999999</v>
      </c>
      <c r="K22" s="16">
        <v>24.898199999999999</v>
      </c>
      <c r="L22" s="16">
        <v>24.898199999999999</v>
      </c>
      <c r="M22" s="16">
        <v>24.898199999999999</v>
      </c>
      <c r="N22" s="16">
        <v>24.898199999999999</v>
      </c>
      <c r="O22" s="16">
        <v>24.898199999999999</v>
      </c>
      <c r="P22" s="16">
        <v>24.898199999999999</v>
      </c>
      <c r="Q22" s="16">
        <v>24.898199999999999</v>
      </c>
      <c r="R22" s="16">
        <v>24.898199999999999</v>
      </c>
      <c r="S22" s="27">
        <v>24.898199999999999</v>
      </c>
      <c r="T22" s="27">
        <v>24.898199999999999</v>
      </c>
      <c r="U22" s="27">
        <v>24.898199999999999</v>
      </c>
      <c r="V22" s="27">
        <v>24.898199999999999</v>
      </c>
      <c r="W22" s="27">
        <v>24.898199999999999</v>
      </c>
      <c r="X22" s="27">
        <v>24.898199999999999</v>
      </c>
      <c r="Y22" s="27">
        <v>24.898199999999999</v>
      </c>
      <c r="Z22" s="27">
        <v>24.898199999999999</v>
      </c>
      <c r="AA22" s="27">
        <v>24.898199999999999</v>
      </c>
      <c r="AB22" s="27">
        <v>24.898199999999999</v>
      </c>
      <c r="AC22" s="27">
        <v>24.898199999999999</v>
      </c>
      <c r="AD22" s="27">
        <v>24.898199999999999</v>
      </c>
      <c r="AE22" s="27">
        <v>24.898199999999999</v>
      </c>
      <c r="AF22" s="27">
        <v>24.898199999999999</v>
      </c>
      <c r="AG22" s="27">
        <v>24.898199999999999</v>
      </c>
      <c r="AH22" s="27">
        <v>24.898199999999999</v>
      </c>
      <c r="AI22" s="27">
        <v>24.898199999999999</v>
      </c>
      <c r="AJ22" s="27">
        <v>24.898199999999999</v>
      </c>
      <c r="AK22" s="27">
        <v>24.898199999999999</v>
      </c>
      <c r="AL22" s="27">
        <v>24.898199999999999</v>
      </c>
      <c r="AM22" s="27">
        <v>24.898199999999999</v>
      </c>
      <c r="AN22" s="27">
        <v>24.898199999999999</v>
      </c>
      <c r="AO22" s="27">
        <v>24.898199999999999</v>
      </c>
      <c r="AP22" s="27">
        <v>24.898199999999999</v>
      </c>
      <c r="AQ22" s="27">
        <v>24.898199999999999</v>
      </c>
      <c r="AR22" s="27">
        <v>24.898199999999999</v>
      </c>
      <c r="AS22" s="27">
        <v>24.898199999999999</v>
      </c>
      <c r="AT22" s="27">
        <v>24.898199999999999</v>
      </c>
      <c r="AU22" s="27">
        <v>24.898199999999999</v>
      </c>
      <c r="AV22" s="27">
        <v>24.898199999999999</v>
      </c>
      <c r="AW22" s="27">
        <v>24.898199999999999</v>
      </c>
      <c r="AX22" s="27">
        <v>24.898199999999999</v>
      </c>
      <c r="AY22" s="27">
        <v>24.898199999999999</v>
      </c>
      <c r="AZ22" s="27">
        <v>24.898199999999999</v>
      </c>
      <c r="BA22" s="27">
        <v>24.898199999999999</v>
      </c>
      <c r="BB22" s="27">
        <v>24.898199999999999</v>
      </c>
      <c r="BC22" s="16"/>
    </row>
    <row r="23" spans="1:115" ht="14.25" customHeight="1" x14ac:dyDescent="0.3">
      <c r="A23" s="16"/>
      <c r="B23" s="16"/>
      <c r="F23" s="16"/>
      <c r="G23" s="16"/>
      <c r="H23" s="16"/>
      <c r="I23" s="16"/>
      <c r="J23" s="16"/>
      <c r="K23" s="16"/>
      <c r="L23" s="16"/>
      <c r="M23" s="16"/>
      <c r="N23" s="16"/>
      <c r="O23" s="16"/>
      <c r="P23" s="16"/>
      <c r="Q23" s="16"/>
      <c r="R23" s="16"/>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16"/>
    </row>
    <row r="24" spans="1:115" s="36" customFormat="1" ht="17.399999999999999" x14ac:dyDescent="0.35">
      <c r="A24" s="32" t="s">
        <v>14</v>
      </c>
      <c r="B24" s="32"/>
      <c r="C24" s="32" t="s">
        <v>15</v>
      </c>
      <c r="D24" s="32" t="s">
        <v>16</v>
      </c>
      <c r="E24" s="32"/>
      <c r="F24" s="32">
        <v>2022</v>
      </c>
      <c r="G24" s="32">
        <v>2023</v>
      </c>
      <c r="H24" s="32">
        <v>2024</v>
      </c>
      <c r="I24" s="32">
        <v>2025</v>
      </c>
      <c r="J24" s="32">
        <v>2026</v>
      </c>
      <c r="K24" s="32">
        <v>2027</v>
      </c>
      <c r="L24" s="32">
        <v>2028</v>
      </c>
      <c r="M24" s="32">
        <v>2029</v>
      </c>
      <c r="N24" s="32">
        <v>2030</v>
      </c>
      <c r="O24" s="32">
        <v>2031</v>
      </c>
      <c r="P24" s="32">
        <v>2032</v>
      </c>
      <c r="Q24" s="32">
        <v>2033</v>
      </c>
      <c r="R24" s="32">
        <v>2034</v>
      </c>
      <c r="S24" s="33">
        <v>2035</v>
      </c>
      <c r="T24" s="33">
        <v>2036</v>
      </c>
      <c r="U24" s="33">
        <v>2037</v>
      </c>
      <c r="V24" s="33">
        <v>2038</v>
      </c>
      <c r="W24" s="33">
        <v>2039</v>
      </c>
      <c r="X24" s="33">
        <v>2040</v>
      </c>
      <c r="Y24" s="33">
        <v>2041</v>
      </c>
      <c r="Z24" s="33">
        <v>2042</v>
      </c>
      <c r="AA24" s="33">
        <v>2043</v>
      </c>
      <c r="AB24" s="33">
        <v>2044</v>
      </c>
      <c r="AC24" s="33">
        <v>2045</v>
      </c>
      <c r="AD24" s="33">
        <v>2046</v>
      </c>
      <c r="AE24" s="33">
        <v>2047</v>
      </c>
      <c r="AF24" s="33">
        <v>2048</v>
      </c>
      <c r="AG24" s="33">
        <v>2049</v>
      </c>
      <c r="AH24" s="33">
        <v>2050</v>
      </c>
      <c r="AI24" s="33">
        <v>2051</v>
      </c>
      <c r="AJ24" s="33">
        <v>2052</v>
      </c>
      <c r="AK24" s="33">
        <v>2053</v>
      </c>
      <c r="AL24" s="33">
        <v>2054</v>
      </c>
      <c r="AM24" s="33">
        <v>2055</v>
      </c>
      <c r="AN24" s="33">
        <v>2056</v>
      </c>
      <c r="AO24" s="33">
        <v>2057</v>
      </c>
      <c r="AP24" s="33">
        <v>2058</v>
      </c>
      <c r="AQ24" s="33">
        <v>2059</v>
      </c>
      <c r="AR24" s="33">
        <v>2060</v>
      </c>
      <c r="AS24" s="33">
        <v>2061</v>
      </c>
      <c r="AT24" s="33">
        <v>2062</v>
      </c>
      <c r="AU24" s="33">
        <v>2063</v>
      </c>
      <c r="AV24" s="33">
        <v>2064</v>
      </c>
      <c r="AW24" s="33">
        <v>2065</v>
      </c>
      <c r="AX24" s="33">
        <v>2066</v>
      </c>
      <c r="AY24" s="33">
        <v>2067</v>
      </c>
      <c r="AZ24" s="33">
        <v>2068</v>
      </c>
      <c r="BA24" s="33">
        <v>2069</v>
      </c>
      <c r="BB24" s="33">
        <v>2070</v>
      </c>
      <c r="BC24" s="32"/>
      <c r="BD24" s="34"/>
      <c r="BE24" s="34"/>
      <c r="BF24" s="44"/>
      <c r="BG24" s="35"/>
      <c r="BH24" s="35"/>
      <c r="BI24" s="35"/>
      <c r="BJ24" s="53"/>
      <c r="BK24" s="53"/>
      <c r="BL24" s="73"/>
      <c r="BM24" s="73"/>
      <c r="BN24" s="73"/>
      <c r="BO24" s="73"/>
      <c r="BP24" s="73"/>
      <c r="BQ24" s="73"/>
      <c r="BR24" s="73"/>
      <c r="BS24" s="73"/>
      <c r="BT24" s="73"/>
      <c r="BU24" s="73"/>
      <c r="BV24" s="73"/>
      <c r="BW24" s="73"/>
      <c r="BX24" s="73"/>
      <c r="BY24" s="73"/>
      <c r="BZ24" s="73"/>
      <c r="CA24" s="73"/>
      <c r="CB24" s="73"/>
      <c r="CC24" s="73"/>
      <c r="CD24" s="73"/>
      <c r="CE24" s="73"/>
      <c r="CF24" s="73"/>
      <c r="CG24" s="73"/>
      <c r="CH24" s="73"/>
      <c r="CI24" s="73"/>
      <c r="CJ24" s="73"/>
      <c r="CK24" s="73"/>
      <c r="CL24" s="73"/>
      <c r="CM24" s="73"/>
      <c r="CN24" s="73"/>
      <c r="CO24" s="73"/>
      <c r="CP24" s="73"/>
      <c r="CQ24" s="73"/>
      <c r="CR24" s="73"/>
      <c r="CS24" s="73"/>
      <c r="CT24" s="73"/>
      <c r="CU24" s="73"/>
      <c r="CV24" s="73"/>
      <c r="CW24" s="73"/>
      <c r="CX24" s="73"/>
      <c r="CY24" s="73"/>
      <c r="CZ24" s="73"/>
      <c r="DA24" s="73"/>
      <c r="DB24" s="73"/>
      <c r="DC24" s="73"/>
      <c r="DD24" s="73"/>
      <c r="DE24" s="73"/>
      <c r="DF24" s="73"/>
      <c r="DG24" s="73"/>
      <c r="DH24" s="73"/>
      <c r="DI24" s="34"/>
      <c r="DJ24" s="34"/>
      <c r="DK24" s="34"/>
    </row>
    <row r="25" spans="1:115" ht="14.4" x14ac:dyDescent="0.3">
      <c r="A25" s="16" t="s">
        <v>50</v>
      </c>
      <c r="B25" s="16"/>
      <c r="C25" s="31" t="s">
        <v>51</v>
      </c>
      <c r="D25" s="16"/>
      <c r="E25" s="16"/>
      <c r="F25" s="16"/>
      <c r="G25" s="16"/>
      <c r="H25" s="16"/>
      <c r="I25" s="16"/>
      <c r="J25" s="16"/>
      <c r="K25" s="16"/>
      <c r="L25" s="16"/>
      <c r="M25" s="16"/>
      <c r="N25" s="16"/>
      <c r="O25" s="16"/>
      <c r="P25" s="16"/>
      <c r="Q25" s="16"/>
      <c r="R25" s="16"/>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16"/>
      <c r="BF25" s="43"/>
      <c r="BG25" s="18"/>
      <c r="BH25" s="18"/>
      <c r="BI25" s="18"/>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row>
    <row r="26" spans="1:115" ht="16.95" customHeight="1" x14ac:dyDescent="0.3">
      <c r="A26"/>
      <c r="B26" s="16"/>
      <c r="C26" s="351" t="s">
        <v>52</v>
      </c>
      <c r="D26" s="351" t="s">
        <v>53</v>
      </c>
      <c r="E26" s="351"/>
      <c r="F26" s="21">
        <f>BF26</f>
        <v>0.3</v>
      </c>
      <c r="G26" s="21">
        <f>F26+$BF26</f>
        <v>0.6</v>
      </c>
      <c r="H26" s="21">
        <f t="shared" ref="H26:BB41" si="105">G26+$BF26</f>
        <v>0.89999999999999991</v>
      </c>
      <c r="I26" s="21">
        <f t="shared" si="105"/>
        <v>1.2</v>
      </c>
      <c r="J26" s="21">
        <f t="shared" si="105"/>
        <v>1.5</v>
      </c>
      <c r="K26" s="21">
        <f t="shared" si="105"/>
        <v>1.8</v>
      </c>
      <c r="L26" s="21">
        <f t="shared" si="105"/>
        <v>2.1</v>
      </c>
      <c r="M26" s="21">
        <f t="shared" si="105"/>
        <v>2.4</v>
      </c>
      <c r="N26" s="21">
        <f t="shared" si="105"/>
        <v>2.6999999999999997</v>
      </c>
      <c r="O26" s="21">
        <f t="shared" si="105"/>
        <v>2.9999999999999996</v>
      </c>
      <c r="P26" s="21">
        <f t="shared" si="105"/>
        <v>3.2999999999999994</v>
      </c>
      <c r="Q26" s="21">
        <f t="shared" si="105"/>
        <v>3.5999999999999992</v>
      </c>
      <c r="R26" s="21">
        <f t="shared" si="105"/>
        <v>3.899999999999999</v>
      </c>
      <c r="S26" s="21">
        <f t="shared" si="105"/>
        <v>4.1999999999999993</v>
      </c>
      <c r="T26" s="21">
        <f t="shared" si="105"/>
        <v>4.4999999999999991</v>
      </c>
      <c r="U26" s="21">
        <f t="shared" si="105"/>
        <v>4.7999999999999989</v>
      </c>
      <c r="V26" s="21">
        <f t="shared" si="105"/>
        <v>5.0999999999999988</v>
      </c>
      <c r="W26" s="21">
        <f t="shared" si="105"/>
        <v>5.3999999999999986</v>
      </c>
      <c r="X26" s="21">
        <f t="shared" si="105"/>
        <v>5.6999999999999984</v>
      </c>
      <c r="Y26" s="21">
        <f t="shared" si="105"/>
        <v>5.9999999999999982</v>
      </c>
      <c r="Z26" s="21">
        <f t="shared" si="105"/>
        <v>6.299999999999998</v>
      </c>
      <c r="AA26" s="21">
        <f t="shared" si="105"/>
        <v>6.5999999999999979</v>
      </c>
      <c r="AB26" s="21">
        <f t="shared" si="105"/>
        <v>6.8999999999999977</v>
      </c>
      <c r="AC26" s="21">
        <f t="shared" si="105"/>
        <v>7.1999999999999975</v>
      </c>
      <c r="AD26" s="21">
        <f t="shared" si="105"/>
        <v>7.4999999999999973</v>
      </c>
      <c r="AE26" s="21">
        <f t="shared" si="105"/>
        <v>7.7999999999999972</v>
      </c>
      <c r="AF26" s="21">
        <f t="shared" si="105"/>
        <v>8.0999999999999979</v>
      </c>
      <c r="AG26" s="21">
        <f t="shared" si="105"/>
        <v>8.3999999999999986</v>
      </c>
      <c r="AH26" s="21">
        <f t="shared" si="105"/>
        <v>8.6999999999999993</v>
      </c>
      <c r="AI26" s="21">
        <f t="shared" si="105"/>
        <v>9</v>
      </c>
      <c r="AJ26" s="21">
        <f t="shared" si="105"/>
        <v>9.3000000000000007</v>
      </c>
      <c r="AK26" s="21">
        <f t="shared" si="105"/>
        <v>9.6000000000000014</v>
      </c>
      <c r="AL26" s="21">
        <f t="shared" si="105"/>
        <v>9.9000000000000021</v>
      </c>
      <c r="AM26" s="21">
        <f t="shared" si="105"/>
        <v>10.200000000000003</v>
      </c>
      <c r="AN26" s="21">
        <f t="shared" si="105"/>
        <v>10.500000000000004</v>
      </c>
      <c r="AO26" s="21">
        <f t="shared" si="105"/>
        <v>10.800000000000004</v>
      </c>
      <c r="AP26" s="21">
        <f t="shared" si="105"/>
        <v>11.100000000000005</v>
      </c>
      <c r="AQ26" s="21">
        <f t="shared" si="105"/>
        <v>11.400000000000006</v>
      </c>
      <c r="AR26" s="21">
        <f t="shared" si="105"/>
        <v>11.700000000000006</v>
      </c>
      <c r="AS26" s="21">
        <f t="shared" si="105"/>
        <v>12.000000000000007</v>
      </c>
      <c r="AT26" s="21">
        <f t="shared" si="105"/>
        <v>12.300000000000008</v>
      </c>
      <c r="AU26" s="21">
        <f t="shared" si="105"/>
        <v>12.600000000000009</v>
      </c>
      <c r="AV26" s="21">
        <f t="shared" si="105"/>
        <v>12.900000000000009</v>
      </c>
      <c r="AW26" s="21">
        <f t="shared" si="105"/>
        <v>13.20000000000001</v>
      </c>
      <c r="AX26" s="21">
        <f t="shared" si="105"/>
        <v>13.500000000000011</v>
      </c>
      <c r="AY26" s="21">
        <f t="shared" si="105"/>
        <v>13.800000000000011</v>
      </c>
      <c r="AZ26" s="21">
        <f t="shared" si="105"/>
        <v>14.100000000000012</v>
      </c>
      <c r="BA26" s="21">
        <f t="shared" si="105"/>
        <v>14.400000000000013</v>
      </c>
      <c r="BB26" s="21">
        <f t="shared" si="105"/>
        <v>14.700000000000014</v>
      </c>
      <c r="BC26" s="21"/>
      <c r="BE26" s="368" t="s">
        <v>54</v>
      </c>
      <c r="BF26" s="353">
        <v>0.3</v>
      </c>
      <c r="BG26" s="37" t="s">
        <v>55</v>
      </c>
    </row>
    <row r="27" spans="1:115" ht="14.4" x14ac:dyDescent="0.3">
      <c r="A27" s="16"/>
      <c r="B27" s="16"/>
      <c r="C27" s="351" t="s">
        <v>56</v>
      </c>
      <c r="D27" s="351" t="s">
        <v>53</v>
      </c>
      <c r="E27" s="351"/>
      <c r="F27" s="21">
        <f>BF27</f>
        <v>0</v>
      </c>
      <c r="G27" s="21">
        <f t="shared" ref="G27:V80" si="106">F27+$BF27</f>
        <v>0</v>
      </c>
      <c r="H27" s="21">
        <f t="shared" si="106"/>
        <v>0</v>
      </c>
      <c r="I27" s="21">
        <f t="shared" si="106"/>
        <v>0</v>
      </c>
      <c r="J27" s="21">
        <f t="shared" si="106"/>
        <v>0</v>
      </c>
      <c r="K27" s="21">
        <f t="shared" si="106"/>
        <v>0</v>
      </c>
      <c r="L27" s="21">
        <f t="shared" si="106"/>
        <v>0</v>
      </c>
      <c r="M27" s="21">
        <f t="shared" si="106"/>
        <v>0</v>
      </c>
      <c r="N27" s="21">
        <f t="shared" si="106"/>
        <v>0</v>
      </c>
      <c r="O27" s="21">
        <f t="shared" si="106"/>
        <v>0</v>
      </c>
      <c r="P27" s="21">
        <f t="shared" si="106"/>
        <v>0</v>
      </c>
      <c r="Q27" s="21">
        <f t="shared" si="106"/>
        <v>0</v>
      </c>
      <c r="R27" s="21">
        <f t="shared" si="106"/>
        <v>0</v>
      </c>
      <c r="S27" s="21">
        <f t="shared" si="106"/>
        <v>0</v>
      </c>
      <c r="T27" s="21">
        <f t="shared" si="106"/>
        <v>0</v>
      </c>
      <c r="U27" s="21">
        <f t="shared" si="106"/>
        <v>0</v>
      </c>
      <c r="V27" s="21">
        <f t="shared" si="106"/>
        <v>0</v>
      </c>
      <c r="W27" s="21">
        <f t="shared" si="105"/>
        <v>0</v>
      </c>
      <c r="X27" s="21">
        <f t="shared" si="105"/>
        <v>0</v>
      </c>
      <c r="Y27" s="21">
        <f t="shared" si="105"/>
        <v>0</v>
      </c>
      <c r="Z27" s="21">
        <f t="shared" si="105"/>
        <v>0</v>
      </c>
      <c r="AA27" s="21">
        <f t="shared" si="105"/>
        <v>0</v>
      </c>
      <c r="AB27" s="21">
        <f t="shared" si="105"/>
        <v>0</v>
      </c>
      <c r="AC27" s="21">
        <f t="shared" si="105"/>
        <v>0</v>
      </c>
      <c r="AD27" s="21">
        <f t="shared" si="105"/>
        <v>0</v>
      </c>
      <c r="AE27" s="21">
        <f t="shared" si="105"/>
        <v>0</v>
      </c>
      <c r="AF27" s="21">
        <f t="shared" si="105"/>
        <v>0</v>
      </c>
      <c r="AG27" s="21">
        <f t="shared" si="105"/>
        <v>0</v>
      </c>
      <c r="AH27" s="21">
        <f t="shared" si="105"/>
        <v>0</v>
      </c>
      <c r="AI27" s="21">
        <f t="shared" si="105"/>
        <v>0</v>
      </c>
      <c r="AJ27" s="21">
        <f t="shared" si="105"/>
        <v>0</v>
      </c>
      <c r="AK27" s="21">
        <f t="shared" si="105"/>
        <v>0</v>
      </c>
      <c r="AL27" s="21">
        <f t="shared" si="105"/>
        <v>0</v>
      </c>
      <c r="AM27" s="21">
        <f t="shared" si="105"/>
        <v>0</v>
      </c>
      <c r="AN27" s="21">
        <f t="shared" si="105"/>
        <v>0</v>
      </c>
      <c r="AO27" s="21">
        <f t="shared" si="105"/>
        <v>0</v>
      </c>
      <c r="AP27" s="21">
        <f t="shared" si="105"/>
        <v>0</v>
      </c>
      <c r="AQ27" s="21">
        <f t="shared" si="105"/>
        <v>0</v>
      </c>
      <c r="AR27" s="21">
        <f t="shared" si="105"/>
        <v>0</v>
      </c>
      <c r="AS27" s="21">
        <f t="shared" si="105"/>
        <v>0</v>
      </c>
      <c r="AT27" s="21">
        <f t="shared" si="105"/>
        <v>0</v>
      </c>
      <c r="AU27" s="21">
        <f t="shared" si="105"/>
        <v>0</v>
      </c>
      <c r="AV27" s="21">
        <f t="shared" si="105"/>
        <v>0</v>
      </c>
      <c r="AW27" s="21">
        <f t="shared" si="105"/>
        <v>0</v>
      </c>
      <c r="AX27" s="21">
        <f t="shared" si="105"/>
        <v>0</v>
      </c>
      <c r="AY27" s="21">
        <f t="shared" si="105"/>
        <v>0</v>
      </c>
      <c r="AZ27" s="21">
        <f t="shared" si="105"/>
        <v>0</v>
      </c>
      <c r="BA27" s="21">
        <f t="shared" si="105"/>
        <v>0</v>
      </c>
      <c r="BB27" s="21">
        <f t="shared" si="105"/>
        <v>0</v>
      </c>
      <c r="BC27" s="21"/>
      <c r="BE27" s="368"/>
      <c r="BF27" s="353">
        <v>0</v>
      </c>
      <c r="BG27" s="37" t="s">
        <v>55</v>
      </c>
    </row>
    <row r="28" spans="1:115" ht="14.4" x14ac:dyDescent="0.3">
      <c r="A28" s="16" t="s">
        <v>50</v>
      </c>
      <c r="B28" s="16"/>
      <c r="C28" s="31" t="s">
        <v>57</v>
      </c>
      <c r="D28" s="351"/>
      <c r="E28" s="35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E28" s="368"/>
      <c r="BF28" s="353"/>
      <c r="BG28" s="37"/>
    </row>
    <row r="29" spans="1:115" ht="14.4" x14ac:dyDescent="0.3">
      <c r="C29" s="9" t="s">
        <v>58</v>
      </c>
      <c r="D29" s="351" t="s">
        <v>53</v>
      </c>
      <c r="F29" s="21">
        <f t="shared" ref="F29:F38" si="107">BF29</f>
        <v>1</v>
      </c>
      <c r="G29" s="21">
        <f t="shared" si="106"/>
        <v>2</v>
      </c>
      <c r="H29" s="21">
        <f t="shared" si="105"/>
        <v>3</v>
      </c>
      <c r="I29" s="21">
        <f t="shared" si="105"/>
        <v>4</v>
      </c>
      <c r="J29" s="21">
        <f t="shared" si="105"/>
        <v>5</v>
      </c>
      <c r="K29" s="21">
        <f t="shared" si="105"/>
        <v>6</v>
      </c>
      <c r="L29" s="21">
        <f t="shared" si="105"/>
        <v>7</v>
      </c>
      <c r="M29" s="21">
        <f t="shared" si="105"/>
        <v>8</v>
      </c>
      <c r="N29" s="21">
        <f t="shared" si="105"/>
        <v>9</v>
      </c>
      <c r="O29" s="21">
        <f t="shared" si="105"/>
        <v>10</v>
      </c>
      <c r="P29" s="21">
        <f t="shared" si="105"/>
        <v>11</v>
      </c>
      <c r="Q29" s="21">
        <f t="shared" si="105"/>
        <v>12</v>
      </c>
      <c r="R29" s="21">
        <f t="shared" si="105"/>
        <v>13</v>
      </c>
      <c r="S29" s="21">
        <f t="shared" si="105"/>
        <v>14</v>
      </c>
      <c r="T29" s="21">
        <f t="shared" si="105"/>
        <v>15</v>
      </c>
      <c r="U29" s="21">
        <f t="shared" si="105"/>
        <v>16</v>
      </c>
      <c r="V29" s="21">
        <f t="shared" si="105"/>
        <v>17</v>
      </c>
      <c r="W29" s="21">
        <f t="shared" si="105"/>
        <v>18</v>
      </c>
      <c r="X29" s="21">
        <f t="shared" si="105"/>
        <v>19</v>
      </c>
      <c r="Y29" s="21">
        <f t="shared" si="105"/>
        <v>20</v>
      </c>
      <c r="Z29" s="21">
        <f t="shared" si="105"/>
        <v>21</v>
      </c>
      <c r="AA29" s="21">
        <f t="shared" si="105"/>
        <v>22</v>
      </c>
      <c r="AB29" s="21">
        <f t="shared" si="105"/>
        <v>23</v>
      </c>
      <c r="AC29" s="21">
        <f t="shared" si="105"/>
        <v>24</v>
      </c>
      <c r="AD29" s="21">
        <f t="shared" si="105"/>
        <v>25</v>
      </c>
      <c r="AE29" s="21">
        <f t="shared" si="105"/>
        <v>26</v>
      </c>
      <c r="AF29" s="21">
        <f t="shared" si="105"/>
        <v>27</v>
      </c>
      <c r="AG29" s="21">
        <f t="shared" si="105"/>
        <v>28</v>
      </c>
      <c r="AH29" s="21">
        <f t="shared" si="105"/>
        <v>29</v>
      </c>
      <c r="AI29" s="21">
        <f t="shared" si="105"/>
        <v>30</v>
      </c>
      <c r="AJ29" s="21">
        <f t="shared" si="105"/>
        <v>31</v>
      </c>
      <c r="AK29" s="21">
        <f t="shared" si="105"/>
        <v>32</v>
      </c>
      <c r="AL29" s="21">
        <f t="shared" si="105"/>
        <v>33</v>
      </c>
      <c r="AM29" s="21">
        <f t="shared" si="105"/>
        <v>34</v>
      </c>
      <c r="AN29" s="21">
        <f t="shared" si="105"/>
        <v>35</v>
      </c>
      <c r="AO29" s="21">
        <f t="shared" si="105"/>
        <v>36</v>
      </c>
      <c r="AP29" s="21">
        <f t="shared" si="105"/>
        <v>37</v>
      </c>
      <c r="AQ29" s="21">
        <f t="shared" si="105"/>
        <v>38</v>
      </c>
      <c r="AR29" s="21">
        <f t="shared" si="105"/>
        <v>39</v>
      </c>
      <c r="AS29" s="21">
        <f t="shared" si="105"/>
        <v>40</v>
      </c>
      <c r="AT29" s="21">
        <f t="shared" si="105"/>
        <v>41</v>
      </c>
      <c r="AU29" s="21">
        <f t="shared" si="105"/>
        <v>42</v>
      </c>
      <c r="AV29" s="21">
        <f t="shared" si="105"/>
        <v>43</v>
      </c>
      <c r="AW29" s="21">
        <f t="shared" si="105"/>
        <v>44</v>
      </c>
      <c r="AX29" s="21">
        <f t="shared" si="105"/>
        <v>45</v>
      </c>
      <c r="AY29" s="21">
        <f t="shared" si="105"/>
        <v>46</v>
      </c>
      <c r="AZ29" s="21">
        <f t="shared" si="105"/>
        <v>47</v>
      </c>
      <c r="BA29" s="21">
        <f t="shared" si="105"/>
        <v>48</v>
      </c>
      <c r="BB29" s="21">
        <f t="shared" si="105"/>
        <v>49</v>
      </c>
      <c r="BC29" s="21"/>
      <c r="BE29" s="368"/>
      <c r="BF29" s="353">
        <v>1</v>
      </c>
      <c r="BG29" s="37" t="s">
        <v>59</v>
      </c>
    </row>
    <row r="30" spans="1:115" ht="14.4" x14ac:dyDescent="0.3">
      <c r="C30" s="9" t="s">
        <v>60</v>
      </c>
      <c r="D30" s="351" t="s">
        <v>53</v>
      </c>
      <c r="F30" s="21">
        <f t="shared" si="107"/>
        <v>1</v>
      </c>
      <c r="G30" s="21">
        <f>F30+$BF30</f>
        <v>2</v>
      </c>
      <c r="H30" s="21">
        <f>G30+$BF30</f>
        <v>3</v>
      </c>
      <c r="I30" s="21">
        <f>H30+$BF30</f>
        <v>4</v>
      </c>
      <c r="J30" s="21">
        <f t="shared" ref="J30:J35" si="108">I30+$BF30</f>
        <v>5</v>
      </c>
      <c r="K30" s="21">
        <f t="shared" ref="K30:K35" si="109">J30+$BF30</f>
        <v>6</v>
      </c>
      <c r="L30" s="21">
        <f t="shared" ref="L30:L35" si="110">K30+$BF30</f>
        <v>7</v>
      </c>
      <c r="M30" s="21">
        <f t="shared" ref="M30:M35" si="111">L30+$BF30</f>
        <v>8</v>
      </c>
      <c r="N30" s="21">
        <f t="shared" ref="N30:N35" si="112">M30+$BF30</f>
        <v>9</v>
      </c>
      <c r="O30" s="21">
        <f t="shared" ref="O30:O35" si="113">N30+$BF30</f>
        <v>10</v>
      </c>
      <c r="P30" s="21">
        <f t="shared" ref="P30:P35" si="114">O30+$BF30</f>
        <v>11</v>
      </c>
      <c r="Q30" s="21">
        <f t="shared" ref="Q30:Q35" si="115">P30+$BF30</f>
        <v>12</v>
      </c>
      <c r="R30" s="21">
        <f t="shared" ref="R30:R35" si="116">Q30+$BF30</f>
        <v>13</v>
      </c>
      <c r="S30" s="21">
        <f t="shared" ref="S30:S35" si="117">R30+$BF30</f>
        <v>14</v>
      </c>
      <c r="T30" s="21">
        <f t="shared" ref="T30:T35" si="118">S30+$BF30</f>
        <v>15</v>
      </c>
      <c r="U30" s="21">
        <f t="shared" ref="U30:U35" si="119">T30+$BF30</f>
        <v>16</v>
      </c>
      <c r="V30" s="21">
        <f t="shared" ref="V30:V35" si="120">U30+$BF30</f>
        <v>17</v>
      </c>
      <c r="W30" s="21">
        <f t="shared" ref="W30:W35" si="121">V30+$BF30</f>
        <v>18</v>
      </c>
      <c r="X30" s="21">
        <f t="shared" ref="X30:X35" si="122">W30+$BF30</f>
        <v>19</v>
      </c>
      <c r="Y30" s="21">
        <f t="shared" ref="Y30:Y35" si="123">X30+$BF30</f>
        <v>20</v>
      </c>
      <c r="Z30" s="21">
        <f t="shared" ref="Z30:Z35" si="124">Y30+$BF30</f>
        <v>21</v>
      </c>
      <c r="AA30" s="21">
        <f t="shared" ref="AA30:AA35" si="125">Z30+$BF30</f>
        <v>22</v>
      </c>
      <c r="AB30" s="21">
        <f t="shared" ref="AB30:AB35" si="126">AA30+$BF30</f>
        <v>23</v>
      </c>
      <c r="AC30" s="21">
        <f t="shared" ref="AC30:AC35" si="127">AB30+$BF30</f>
        <v>24</v>
      </c>
      <c r="AD30" s="21">
        <f t="shared" ref="AD30:AD35" si="128">AC30+$BF30</f>
        <v>25</v>
      </c>
      <c r="AE30" s="21">
        <f t="shared" ref="AE30:AE35" si="129">AD30+$BF30</f>
        <v>26</v>
      </c>
      <c r="AF30" s="21">
        <f t="shared" ref="AF30:AF35" si="130">AE30+$BF30</f>
        <v>27</v>
      </c>
      <c r="AG30" s="21">
        <f t="shared" ref="AG30:AG35" si="131">AF30+$BF30</f>
        <v>28</v>
      </c>
      <c r="AH30" s="21">
        <f t="shared" ref="AH30:AH35" si="132">AG30+$BF30</f>
        <v>29</v>
      </c>
      <c r="AI30" s="21">
        <f t="shared" ref="AI30:AI35" si="133">AH30+$BF30</f>
        <v>30</v>
      </c>
      <c r="AJ30" s="21">
        <f t="shared" ref="AJ30:AJ35" si="134">AI30+$BF30</f>
        <v>31</v>
      </c>
      <c r="AK30" s="21">
        <f t="shared" ref="AK30:AK35" si="135">AJ30+$BF30</f>
        <v>32</v>
      </c>
      <c r="AL30" s="21">
        <f t="shared" ref="AL30:AL35" si="136">AK30+$BF30</f>
        <v>33</v>
      </c>
      <c r="AM30" s="21">
        <f t="shared" ref="AM30:AM35" si="137">AL30+$BF30</f>
        <v>34</v>
      </c>
      <c r="AN30" s="21">
        <f t="shared" ref="AN30:AN35" si="138">AM30+$BF30</f>
        <v>35</v>
      </c>
      <c r="AO30" s="21">
        <f t="shared" ref="AO30:AO35" si="139">AN30+$BF30</f>
        <v>36</v>
      </c>
      <c r="AP30" s="21">
        <f t="shared" ref="AP30:AP35" si="140">AO30+$BF30</f>
        <v>37</v>
      </c>
      <c r="AQ30" s="21">
        <f t="shared" ref="AQ30:AQ35" si="141">AP30+$BF30</f>
        <v>38</v>
      </c>
      <c r="AR30" s="21">
        <f t="shared" ref="AR30:AR35" si="142">AQ30+$BF30</f>
        <v>39</v>
      </c>
      <c r="AS30" s="21">
        <f t="shared" ref="AS30:AS35" si="143">AR30+$BF30</f>
        <v>40</v>
      </c>
      <c r="AT30" s="21">
        <f t="shared" ref="AT30:AT35" si="144">AS30+$BF30</f>
        <v>41</v>
      </c>
      <c r="AU30" s="21">
        <f t="shared" ref="AU30:AU35" si="145">AT30+$BF30</f>
        <v>42</v>
      </c>
      <c r="AV30" s="21">
        <f t="shared" ref="AV30:AV35" si="146">AU30+$BF30</f>
        <v>43</v>
      </c>
      <c r="AW30" s="21">
        <f t="shared" ref="AW30:AW35" si="147">AV30+$BF30</f>
        <v>44</v>
      </c>
      <c r="AX30" s="21">
        <f t="shared" ref="AX30:AX35" si="148">AW30+$BF30</f>
        <v>45</v>
      </c>
      <c r="AY30" s="21">
        <f t="shared" ref="AY30:AY35" si="149">AX30+$BF30</f>
        <v>46</v>
      </c>
      <c r="AZ30" s="21">
        <f t="shared" ref="AZ30:AZ35" si="150">AY30+$BF30</f>
        <v>47</v>
      </c>
      <c r="BA30" s="21">
        <f t="shared" ref="BA30:BA35" si="151">AZ30+$BF30</f>
        <v>48</v>
      </c>
      <c r="BB30" s="21">
        <f t="shared" ref="BB30:BB35" si="152">BA30+$BF30</f>
        <v>49</v>
      </c>
      <c r="BC30" s="21"/>
      <c r="BE30" s="368"/>
      <c r="BF30" s="353">
        <v>1</v>
      </c>
      <c r="BG30" s="37" t="s">
        <v>59</v>
      </c>
    </row>
    <row r="31" spans="1:115" ht="14.4" x14ac:dyDescent="0.3">
      <c r="A31" s="16" t="s">
        <v>50</v>
      </c>
      <c r="B31" s="16"/>
      <c r="C31" s="31" t="s">
        <v>61</v>
      </c>
      <c r="D31" s="351"/>
      <c r="E31" s="35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E31" s="368"/>
      <c r="BF31" s="353"/>
      <c r="BG31" s="37"/>
    </row>
    <row r="32" spans="1:115" ht="14.4" customHeight="1" x14ac:dyDescent="0.3">
      <c r="B32" s="364" t="s">
        <v>62</v>
      </c>
      <c r="C32" s="9" t="s">
        <v>63</v>
      </c>
      <c r="D32" s="365" t="s">
        <v>53</v>
      </c>
      <c r="E32" s="351"/>
      <c r="F32" s="21">
        <f t="shared" si="107"/>
        <v>0.25</v>
      </c>
      <c r="G32" s="21">
        <f t="shared" ref="G32:V38" si="153">F32+$BF32</f>
        <v>0.5</v>
      </c>
      <c r="H32" s="21">
        <f t="shared" ref="H32:H35" si="154">G32+$BF32</f>
        <v>0.75</v>
      </c>
      <c r="I32" s="21">
        <f t="shared" ref="I32:I35" si="155">H32+$BF32</f>
        <v>1</v>
      </c>
      <c r="J32" s="21">
        <f t="shared" si="108"/>
        <v>1.25</v>
      </c>
      <c r="K32" s="21">
        <f t="shared" si="109"/>
        <v>1.5</v>
      </c>
      <c r="L32" s="21">
        <f t="shared" si="110"/>
        <v>1.75</v>
      </c>
      <c r="M32" s="21">
        <f t="shared" si="111"/>
        <v>2</v>
      </c>
      <c r="N32" s="21">
        <f t="shared" si="112"/>
        <v>2.25</v>
      </c>
      <c r="O32" s="21">
        <f t="shared" si="113"/>
        <v>2.5</v>
      </c>
      <c r="P32" s="21">
        <f t="shared" si="114"/>
        <v>2.75</v>
      </c>
      <c r="Q32" s="21">
        <f t="shared" si="115"/>
        <v>3</v>
      </c>
      <c r="R32" s="21">
        <f t="shared" si="116"/>
        <v>3.25</v>
      </c>
      <c r="S32" s="21">
        <f t="shared" si="117"/>
        <v>3.5</v>
      </c>
      <c r="T32" s="21">
        <f t="shared" si="118"/>
        <v>3.75</v>
      </c>
      <c r="U32" s="21">
        <f t="shared" si="119"/>
        <v>4</v>
      </c>
      <c r="V32" s="21">
        <f t="shared" si="120"/>
        <v>4.25</v>
      </c>
      <c r="W32" s="21">
        <f t="shared" si="121"/>
        <v>4.5</v>
      </c>
      <c r="X32" s="21">
        <f t="shared" si="122"/>
        <v>4.75</v>
      </c>
      <c r="Y32" s="21">
        <f t="shared" si="123"/>
        <v>5</v>
      </c>
      <c r="Z32" s="21">
        <f t="shared" si="124"/>
        <v>5.25</v>
      </c>
      <c r="AA32" s="21">
        <f t="shared" si="125"/>
        <v>5.5</v>
      </c>
      <c r="AB32" s="21">
        <f t="shared" si="126"/>
        <v>5.75</v>
      </c>
      <c r="AC32" s="21">
        <f t="shared" si="127"/>
        <v>6</v>
      </c>
      <c r="AD32" s="21">
        <f t="shared" si="128"/>
        <v>6.25</v>
      </c>
      <c r="AE32" s="21">
        <f t="shared" si="129"/>
        <v>6.5</v>
      </c>
      <c r="AF32" s="21">
        <f t="shared" si="130"/>
        <v>6.75</v>
      </c>
      <c r="AG32" s="21">
        <f t="shared" si="131"/>
        <v>7</v>
      </c>
      <c r="AH32" s="21">
        <f t="shared" si="132"/>
        <v>7.25</v>
      </c>
      <c r="AI32" s="21">
        <f t="shared" si="133"/>
        <v>7.5</v>
      </c>
      <c r="AJ32" s="21">
        <f t="shared" si="134"/>
        <v>7.75</v>
      </c>
      <c r="AK32" s="21">
        <f t="shared" si="135"/>
        <v>8</v>
      </c>
      <c r="AL32" s="21">
        <f t="shared" si="136"/>
        <v>8.25</v>
      </c>
      <c r="AM32" s="21">
        <f t="shared" si="137"/>
        <v>8.5</v>
      </c>
      <c r="AN32" s="21">
        <f t="shared" si="138"/>
        <v>8.75</v>
      </c>
      <c r="AO32" s="21">
        <f t="shared" si="139"/>
        <v>9</v>
      </c>
      <c r="AP32" s="21">
        <f t="shared" si="140"/>
        <v>9.25</v>
      </c>
      <c r="AQ32" s="21">
        <f t="shared" si="141"/>
        <v>9.5</v>
      </c>
      <c r="AR32" s="21">
        <f t="shared" si="142"/>
        <v>9.75</v>
      </c>
      <c r="AS32" s="21">
        <f t="shared" si="143"/>
        <v>10</v>
      </c>
      <c r="AT32" s="21">
        <f t="shared" si="144"/>
        <v>10.25</v>
      </c>
      <c r="AU32" s="21">
        <f t="shared" si="145"/>
        <v>10.5</v>
      </c>
      <c r="AV32" s="21">
        <f t="shared" si="146"/>
        <v>10.75</v>
      </c>
      <c r="AW32" s="21">
        <f t="shared" si="147"/>
        <v>11</v>
      </c>
      <c r="AX32" s="21">
        <f t="shared" si="148"/>
        <v>11.25</v>
      </c>
      <c r="AY32" s="21">
        <f t="shared" si="149"/>
        <v>11.5</v>
      </c>
      <c r="AZ32" s="21">
        <f t="shared" si="150"/>
        <v>11.75</v>
      </c>
      <c r="BA32" s="21">
        <f t="shared" si="151"/>
        <v>12</v>
      </c>
      <c r="BB32" s="21">
        <f>BA32+$BF32</f>
        <v>12.25</v>
      </c>
      <c r="BC32" s="21"/>
      <c r="BE32" s="368"/>
      <c r="BF32" s="353">
        <v>0.25</v>
      </c>
      <c r="BG32" s="37" t="s">
        <v>59</v>
      </c>
    </row>
    <row r="33" spans="1:73" ht="14.4" x14ac:dyDescent="0.3">
      <c r="B33" s="364"/>
      <c r="C33" s="9" t="s">
        <v>64</v>
      </c>
      <c r="D33" s="365"/>
      <c r="E33" s="351"/>
      <c r="F33" s="21">
        <f t="shared" si="107"/>
        <v>1</v>
      </c>
      <c r="G33" s="21">
        <f t="shared" si="153"/>
        <v>2</v>
      </c>
      <c r="H33" s="21">
        <f t="shared" si="154"/>
        <v>3</v>
      </c>
      <c r="I33" s="21">
        <f t="shared" si="155"/>
        <v>4</v>
      </c>
      <c r="J33" s="21">
        <f t="shared" si="108"/>
        <v>5</v>
      </c>
      <c r="K33" s="21">
        <f t="shared" si="109"/>
        <v>6</v>
      </c>
      <c r="L33" s="21">
        <f t="shared" si="110"/>
        <v>7</v>
      </c>
      <c r="M33" s="21">
        <f t="shared" si="111"/>
        <v>8</v>
      </c>
      <c r="N33" s="21">
        <f t="shared" si="112"/>
        <v>9</v>
      </c>
      <c r="O33" s="21">
        <f t="shared" si="113"/>
        <v>10</v>
      </c>
      <c r="P33" s="21">
        <f t="shared" si="114"/>
        <v>11</v>
      </c>
      <c r="Q33" s="21">
        <f t="shared" si="115"/>
        <v>12</v>
      </c>
      <c r="R33" s="21">
        <f t="shared" si="116"/>
        <v>13</v>
      </c>
      <c r="S33" s="21">
        <f t="shared" si="117"/>
        <v>14</v>
      </c>
      <c r="T33" s="21">
        <f t="shared" si="118"/>
        <v>15</v>
      </c>
      <c r="U33" s="21">
        <f t="shared" si="119"/>
        <v>16</v>
      </c>
      <c r="V33" s="21">
        <f t="shared" si="120"/>
        <v>17</v>
      </c>
      <c r="W33" s="21">
        <f t="shared" si="121"/>
        <v>18</v>
      </c>
      <c r="X33" s="21">
        <f t="shared" si="122"/>
        <v>19</v>
      </c>
      <c r="Y33" s="21">
        <f t="shared" si="123"/>
        <v>20</v>
      </c>
      <c r="Z33" s="21">
        <f t="shared" si="124"/>
        <v>21</v>
      </c>
      <c r="AA33" s="21">
        <f t="shared" si="125"/>
        <v>22</v>
      </c>
      <c r="AB33" s="21">
        <f t="shared" si="126"/>
        <v>23</v>
      </c>
      <c r="AC33" s="21">
        <f t="shared" si="127"/>
        <v>24</v>
      </c>
      <c r="AD33" s="21">
        <f t="shared" si="128"/>
        <v>25</v>
      </c>
      <c r="AE33" s="21">
        <f t="shared" si="129"/>
        <v>26</v>
      </c>
      <c r="AF33" s="21">
        <f t="shared" si="130"/>
        <v>27</v>
      </c>
      <c r="AG33" s="21">
        <f t="shared" si="131"/>
        <v>28</v>
      </c>
      <c r="AH33" s="21">
        <f t="shared" si="132"/>
        <v>29</v>
      </c>
      <c r="AI33" s="21">
        <f t="shared" si="133"/>
        <v>30</v>
      </c>
      <c r="AJ33" s="21">
        <f t="shared" si="134"/>
        <v>31</v>
      </c>
      <c r="AK33" s="21">
        <f t="shared" si="135"/>
        <v>32</v>
      </c>
      <c r="AL33" s="21">
        <f t="shared" si="136"/>
        <v>33</v>
      </c>
      <c r="AM33" s="21">
        <f t="shared" si="137"/>
        <v>34</v>
      </c>
      <c r="AN33" s="21">
        <f t="shared" si="138"/>
        <v>35</v>
      </c>
      <c r="AO33" s="21">
        <f t="shared" si="139"/>
        <v>36</v>
      </c>
      <c r="AP33" s="21">
        <f t="shared" si="140"/>
        <v>37</v>
      </c>
      <c r="AQ33" s="21">
        <f t="shared" si="141"/>
        <v>38</v>
      </c>
      <c r="AR33" s="21">
        <f t="shared" si="142"/>
        <v>39</v>
      </c>
      <c r="AS33" s="21">
        <f t="shared" si="143"/>
        <v>40</v>
      </c>
      <c r="AT33" s="21">
        <f t="shared" si="144"/>
        <v>41</v>
      </c>
      <c r="AU33" s="21">
        <f t="shared" si="145"/>
        <v>42</v>
      </c>
      <c r="AV33" s="21">
        <f t="shared" si="146"/>
        <v>43</v>
      </c>
      <c r="AW33" s="21">
        <f t="shared" si="147"/>
        <v>44</v>
      </c>
      <c r="AX33" s="21">
        <f t="shared" si="148"/>
        <v>45</v>
      </c>
      <c r="AY33" s="21">
        <f t="shared" si="149"/>
        <v>46</v>
      </c>
      <c r="AZ33" s="21">
        <f t="shared" si="150"/>
        <v>47</v>
      </c>
      <c r="BA33" s="21">
        <f t="shared" si="151"/>
        <v>48</v>
      </c>
      <c r="BB33" s="21">
        <f t="shared" si="152"/>
        <v>49</v>
      </c>
      <c r="BC33" s="21"/>
      <c r="BE33" s="368"/>
      <c r="BF33" s="353">
        <v>1</v>
      </c>
      <c r="BG33" s="37" t="s">
        <v>59</v>
      </c>
    </row>
    <row r="34" spans="1:73" ht="14.4" x14ac:dyDescent="0.3">
      <c r="B34" s="364"/>
      <c r="C34" s="9" t="s">
        <v>65</v>
      </c>
      <c r="D34" s="365"/>
      <c r="E34" s="351"/>
      <c r="F34" s="21">
        <f t="shared" si="107"/>
        <v>1</v>
      </c>
      <c r="G34" s="21">
        <f t="shared" si="153"/>
        <v>2</v>
      </c>
      <c r="H34" s="21">
        <f t="shared" si="154"/>
        <v>3</v>
      </c>
      <c r="I34" s="21">
        <f t="shared" si="155"/>
        <v>4</v>
      </c>
      <c r="J34" s="21">
        <f t="shared" si="108"/>
        <v>5</v>
      </c>
      <c r="K34" s="21">
        <f t="shared" si="109"/>
        <v>6</v>
      </c>
      <c r="L34" s="21">
        <f t="shared" si="110"/>
        <v>7</v>
      </c>
      <c r="M34" s="21">
        <f t="shared" si="111"/>
        <v>8</v>
      </c>
      <c r="N34" s="21">
        <f t="shared" si="112"/>
        <v>9</v>
      </c>
      <c r="O34" s="21">
        <f t="shared" si="113"/>
        <v>10</v>
      </c>
      <c r="P34" s="21">
        <f t="shared" si="114"/>
        <v>11</v>
      </c>
      <c r="Q34" s="21">
        <f t="shared" si="115"/>
        <v>12</v>
      </c>
      <c r="R34" s="21">
        <f t="shared" si="116"/>
        <v>13</v>
      </c>
      <c r="S34" s="21">
        <f t="shared" si="117"/>
        <v>14</v>
      </c>
      <c r="T34" s="21">
        <f t="shared" si="118"/>
        <v>15</v>
      </c>
      <c r="U34" s="21">
        <f t="shared" si="119"/>
        <v>16</v>
      </c>
      <c r="V34" s="21">
        <f t="shared" si="120"/>
        <v>17</v>
      </c>
      <c r="W34" s="21">
        <f t="shared" si="121"/>
        <v>18</v>
      </c>
      <c r="X34" s="21">
        <f t="shared" si="122"/>
        <v>19</v>
      </c>
      <c r="Y34" s="21">
        <f t="shared" si="123"/>
        <v>20</v>
      </c>
      <c r="Z34" s="21">
        <f t="shared" si="124"/>
        <v>21</v>
      </c>
      <c r="AA34" s="21">
        <f t="shared" si="125"/>
        <v>22</v>
      </c>
      <c r="AB34" s="21">
        <f t="shared" si="126"/>
        <v>23</v>
      </c>
      <c r="AC34" s="21">
        <f t="shared" si="127"/>
        <v>24</v>
      </c>
      <c r="AD34" s="21">
        <f t="shared" si="128"/>
        <v>25</v>
      </c>
      <c r="AE34" s="21">
        <f t="shared" si="129"/>
        <v>26</v>
      </c>
      <c r="AF34" s="21">
        <f t="shared" si="130"/>
        <v>27</v>
      </c>
      <c r="AG34" s="21">
        <f t="shared" si="131"/>
        <v>28</v>
      </c>
      <c r="AH34" s="21">
        <f t="shared" si="132"/>
        <v>29</v>
      </c>
      <c r="AI34" s="21">
        <f t="shared" si="133"/>
        <v>30</v>
      </c>
      <c r="AJ34" s="21">
        <f t="shared" si="134"/>
        <v>31</v>
      </c>
      <c r="AK34" s="21">
        <f t="shared" si="135"/>
        <v>32</v>
      </c>
      <c r="AL34" s="21">
        <f t="shared" si="136"/>
        <v>33</v>
      </c>
      <c r="AM34" s="21">
        <f t="shared" si="137"/>
        <v>34</v>
      </c>
      <c r="AN34" s="21">
        <f t="shared" si="138"/>
        <v>35</v>
      </c>
      <c r="AO34" s="21">
        <f t="shared" si="139"/>
        <v>36</v>
      </c>
      <c r="AP34" s="21">
        <f t="shared" si="140"/>
        <v>37</v>
      </c>
      <c r="AQ34" s="21">
        <f t="shared" si="141"/>
        <v>38</v>
      </c>
      <c r="AR34" s="21">
        <f t="shared" si="142"/>
        <v>39</v>
      </c>
      <c r="AS34" s="21">
        <f t="shared" si="143"/>
        <v>40</v>
      </c>
      <c r="AT34" s="21">
        <f t="shared" si="144"/>
        <v>41</v>
      </c>
      <c r="AU34" s="21">
        <f t="shared" si="145"/>
        <v>42</v>
      </c>
      <c r="AV34" s="21">
        <f t="shared" si="146"/>
        <v>43</v>
      </c>
      <c r="AW34" s="21">
        <f t="shared" si="147"/>
        <v>44</v>
      </c>
      <c r="AX34" s="21">
        <f t="shared" si="148"/>
        <v>45</v>
      </c>
      <c r="AY34" s="21">
        <f t="shared" si="149"/>
        <v>46</v>
      </c>
      <c r="AZ34" s="21">
        <f t="shared" si="150"/>
        <v>47</v>
      </c>
      <c r="BA34" s="21">
        <f t="shared" si="151"/>
        <v>48</v>
      </c>
      <c r="BB34" s="21">
        <f t="shared" si="152"/>
        <v>49</v>
      </c>
      <c r="BC34" s="21"/>
      <c r="BE34" s="368"/>
      <c r="BF34" s="353">
        <v>1</v>
      </c>
      <c r="BG34" s="37" t="s">
        <v>59</v>
      </c>
    </row>
    <row r="35" spans="1:73" ht="14.4" x14ac:dyDescent="0.3">
      <c r="B35" s="364"/>
      <c r="C35" s="9" t="s">
        <v>66</v>
      </c>
      <c r="D35" s="365"/>
      <c r="E35" s="351"/>
      <c r="F35" s="21">
        <f t="shared" si="107"/>
        <v>0.25</v>
      </c>
      <c r="G35" s="21">
        <f t="shared" si="153"/>
        <v>0.5</v>
      </c>
      <c r="H35" s="21">
        <f t="shared" si="154"/>
        <v>0.75</v>
      </c>
      <c r="I35" s="21">
        <f t="shared" si="155"/>
        <v>1</v>
      </c>
      <c r="J35" s="21">
        <f t="shared" si="108"/>
        <v>1.25</v>
      </c>
      <c r="K35" s="21">
        <f t="shared" si="109"/>
        <v>1.5</v>
      </c>
      <c r="L35" s="21">
        <f t="shared" si="110"/>
        <v>1.75</v>
      </c>
      <c r="M35" s="21">
        <f t="shared" si="111"/>
        <v>2</v>
      </c>
      <c r="N35" s="21">
        <f t="shared" si="112"/>
        <v>2.25</v>
      </c>
      <c r="O35" s="21">
        <f t="shared" si="113"/>
        <v>2.5</v>
      </c>
      <c r="P35" s="21">
        <f t="shared" si="114"/>
        <v>2.75</v>
      </c>
      <c r="Q35" s="21">
        <f t="shared" si="115"/>
        <v>3</v>
      </c>
      <c r="R35" s="21">
        <f t="shared" si="116"/>
        <v>3.25</v>
      </c>
      <c r="S35" s="21">
        <f t="shared" si="117"/>
        <v>3.5</v>
      </c>
      <c r="T35" s="21">
        <f t="shared" si="118"/>
        <v>3.75</v>
      </c>
      <c r="U35" s="21">
        <f t="shared" si="119"/>
        <v>4</v>
      </c>
      <c r="V35" s="21">
        <f t="shared" si="120"/>
        <v>4.25</v>
      </c>
      <c r="W35" s="21">
        <f t="shared" si="121"/>
        <v>4.5</v>
      </c>
      <c r="X35" s="21">
        <f t="shared" si="122"/>
        <v>4.75</v>
      </c>
      <c r="Y35" s="21">
        <f t="shared" si="123"/>
        <v>5</v>
      </c>
      <c r="Z35" s="21">
        <f t="shared" si="124"/>
        <v>5.25</v>
      </c>
      <c r="AA35" s="21">
        <f t="shared" si="125"/>
        <v>5.5</v>
      </c>
      <c r="AB35" s="21">
        <f t="shared" si="126"/>
        <v>5.75</v>
      </c>
      <c r="AC35" s="21">
        <f t="shared" si="127"/>
        <v>6</v>
      </c>
      <c r="AD35" s="21">
        <f t="shared" si="128"/>
        <v>6.25</v>
      </c>
      <c r="AE35" s="21">
        <f t="shared" si="129"/>
        <v>6.5</v>
      </c>
      <c r="AF35" s="21">
        <f t="shared" si="130"/>
        <v>6.75</v>
      </c>
      <c r="AG35" s="21">
        <f t="shared" si="131"/>
        <v>7</v>
      </c>
      <c r="AH35" s="21">
        <f t="shared" si="132"/>
        <v>7.25</v>
      </c>
      <c r="AI35" s="21">
        <f t="shared" si="133"/>
        <v>7.5</v>
      </c>
      <c r="AJ35" s="21">
        <f t="shared" si="134"/>
        <v>7.75</v>
      </c>
      <c r="AK35" s="21">
        <f t="shared" si="135"/>
        <v>8</v>
      </c>
      <c r="AL35" s="21">
        <f t="shared" si="136"/>
        <v>8.25</v>
      </c>
      <c r="AM35" s="21">
        <f t="shared" si="137"/>
        <v>8.5</v>
      </c>
      <c r="AN35" s="21">
        <f t="shared" si="138"/>
        <v>8.75</v>
      </c>
      <c r="AO35" s="21">
        <f t="shared" si="139"/>
        <v>9</v>
      </c>
      <c r="AP35" s="21">
        <f t="shared" si="140"/>
        <v>9.25</v>
      </c>
      <c r="AQ35" s="21">
        <f t="shared" si="141"/>
        <v>9.5</v>
      </c>
      <c r="AR35" s="21">
        <f t="shared" si="142"/>
        <v>9.75</v>
      </c>
      <c r="AS35" s="21">
        <f t="shared" si="143"/>
        <v>10</v>
      </c>
      <c r="AT35" s="21">
        <f t="shared" si="144"/>
        <v>10.25</v>
      </c>
      <c r="AU35" s="21">
        <f t="shared" si="145"/>
        <v>10.5</v>
      </c>
      <c r="AV35" s="21">
        <f t="shared" si="146"/>
        <v>10.75</v>
      </c>
      <c r="AW35" s="21">
        <f t="shared" si="147"/>
        <v>11</v>
      </c>
      <c r="AX35" s="21">
        <f t="shared" si="148"/>
        <v>11.25</v>
      </c>
      <c r="AY35" s="21">
        <f t="shared" si="149"/>
        <v>11.5</v>
      </c>
      <c r="AZ35" s="21">
        <f t="shared" si="150"/>
        <v>11.75</v>
      </c>
      <c r="BA35" s="21">
        <f t="shared" si="151"/>
        <v>12</v>
      </c>
      <c r="BB35" s="21">
        <f t="shared" si="152"/>
        <v>12.25</v>
      </c>
      <c r="BC35" s="21"/>
      <c r="BE35" s="368"/>
      <c r="BF35" s="353">
        <v>0.25</v>
      </c>
      <c r="BG35" s="37" t="s">
        <v>59</v>
      </c>
    </row>
    <row r="36" spans="1:73" ht="14.4" x14ac:dyDescent="0.3">
      <c r="B36" s="364"/>
      <c r="C36" s="9" t="s">
        <v>67</v>
      </c>
      <c r="D36" s="365"/>
      <c r="E36" s="351"/>
      <c r="F36" s="21">
        <f t="shared" si="107"/>
        <v>1</v>
      </c>
      <c r="G36" s="21">
        <f t="shared" si="153"/>
        <v>2</v>
      </c>
      <c r="H36" s="21">
        <f t="shared" si="153"/>
        <v>3</v>
      </c>
      <c r="I36" s="21">
        <f t="shared" si="153"/>
        <v>4</v>
      </c>
      <c r="J36" s="21">
        <f t="shared" si="153"/>
        <v>5</v>
      </c>
      <c r="K36" s="21">
        <f t="shared" si="153"/>
        <v>6</v>
      </c>
      <c r="L36" s="21">
        <f t="shared" si="153"/>
        <v>7</v>
      </c>
      <c r="M36" s="21">
        <f t="shared" si="153"/>
        <v>8</v>
      </c>
      <c r="N36" s="21">
        <f t="shared" si="153"/>
        <v>9</v>
      </c>
      <c r="O36" s="21">
        <f t="shared" si="153"/>
        <v>10</v>
      </c>
      <c r="P36" s="21">
        <f t="shared" si="153"/>
        <v>11</v>
      </c>
      <c r="Q36" s="21">
        <f t="shared" si="153"/>
        <v>12</v>
      </c>
      <c r="R36" s="21">
        <f t="shared" si="153"/>
        <v>13</v>
      </c>
      <c r="S36" s="21">
        <f t="shared" si="153"/>
        <v>14</v>
      </c>
      <c r="T36" s="21">
        <f t="shared" si="153"/>
        <v>15</v>
      </c>
      <c r="U36" s="21">
        <f t="shared" si="153"/>
        <v>16</v>
      </c>
      <c r="V36" s="21">
        <f t="shared" si="153"/>
        <v>17</v>
      </c>
      <c r="W36" s="21">
        <f t="shared" ref="W36:AL38" si="156">V36+$BF36</f>
        <v>18</v>
      </c>
      <c r="X36" s="21">
        <f t="shared" si="156"/>
        <v>19</v>
      </c>
      <c r="Y36" s="21">
        <f t="shared" si="156"/>
        <v>20</v>
      </c>
      <c r="Z36" s="21">
        <f t="shared" si="156"/>
        <v>21</v>
      </c>
      <c r="AA36" s="21">
        <f t="shared" si="156"/>
        <v>22</v>
      </c>
      <c r="AB36" s="21">
        <f t="shared" si="156"/>
        <v>23</v>
      </c>
      <c r="AC36" s="21">
        <f t="shared" si="156"/>
        <v>24</v>
      </c>
      <c r="AD36" s="21">
        <f t="shared" si="156"/>
        <v>25</v>
      </c>
      <c r="AE36" s="21">
        <f t="shared" si="156"/>
        <v>26</v>
      </c>
      <c r="AF36" s="21">
        <f t="shared" si="156"/>
        <v>27</v>
      </c>
      <c r="AG36" s="21">
        <f t="shared" si="156"/>
        <v>28</v>
      </c>
      <c r="AH36" s="21">
        <f t="shared" si="156"/>
        <v>29</v>
      </c>
      <c r="AI36" s="21">
        <f t="shared" si="156"/>
        <v>30</v>
      </c>
      <c r="AJ36" s="21">
        <f t="shared" si="156"/>
        <v>31</v>
      </c>
      <c r="AK36" s="21">
        <f t="shared" si="156"/>
        <v>32</v>
      </c>
      <c r="AL36" s="21">
        <f t="shared" si="156"/>
        <v>33</v>
      </c>
      <c r="AM36" s="21">
        <f t="shared" ref="AM36:BB38" si="157">AL36+$BF36</f>
        <v>34</v>
      </c>
      <c r="AN36" s="21">
        <f t="shared" si="157"/>
        <v>35</v>
      </c>
      <c r="AO36" s="21">
        <f t="shared" si="157"/>
        <v>36</v>
      </c>
      <c r="AP36" s="21">
        <f t="shared" si="157"/>
        <v>37</v>
      </c>
      <c r="AQ36" s="21">
        <f t="shared" si="157"/>
        <v>38</v>
      </c>
      <c r="AR36" s="21">
        <f t="shared" si="157"/>
        <v>39</v>
      </c>
      <c r="AS36" s="21">
        <f t="shared" si="157"/>
        <v>40</v>
      </c>
      <c r="AT36" s="21">
        <f t="shared" si="157"/>
        <v>41</v>
      </c>
      <c r="AU36" s="21">
        <f t="shared" si="157"/>
        <v>42</v>
      </c>
      <c r="AV36" s="21">
        <f t="shared" si="157"/>
        <v>43</v>
      </c>
      <c r="AW36" s="21">
        <f t="shared" si="157"/>
        <v>44</v>
      </c>
      <c r="AX36" s="21">
        <f t="shared" si="157"/>
        <v>45</v>
      </c>
      <c r="AY36" s="21">
        <f t="shared" si="157"/>
        <v>46</v>
      </c>
      <c r="AZ36" s="21">
        <f t="shared" si="157"/>
        <v>47</v>
      </c>
      <c r="BA36" s="21">
        <f t="shared" si="157"/>
        <v>48</v>
      </c>
      <c r="BB36" s="21">
        <f t="shared" si="157"/>
        <v>49</v>
      </c>
      <c r="BC36" s="21"/>
      <c r="BE36" s="368"/>
      <c r="BF36" s="353">
        <v>1</v>
      </c>
      <c r="BG36" s="37" t="s">
        <v>59</v>
      </c>
    </row>
    <row r="37" spans="1:73" ht="14.4" x14ac:dyDescent="0.3">
      <c r="B37" s="364"/>
      <c r="C37" s="9" t="s">
        <v>68</v>
      </c>
      <c r="D37" s="365"/>
      <c r="E37" s="351"/>
      <c r="F37" s="21">
        <f t="shared" si="107"/>
        <v>1</v>
      </c>
      <c r="G37" s="21">
        <f t="shared" si="153"/>
        <v>2</v>
      </c>
      <c r="H37" s="21">
        <f t="shared" si="153"/>
        <v>3</v>
      </c>
      <c r="I37" s="21">
        <f t="shared" si="153"/>
        <v>4</v>
      </c>
      <c r="J37" s="21">
        <f t="shared" si="153"/>
        <v>5</v>
      </c>
      <c r="K37" s="21">
        <f t="shared" si="153"/>
        <v>6</v>
      </c>
      <c r="L37" s="21">
        <f t="shared" si="153"/>
        <v>7</v>
      </c>
      <c r="M37" s="21">
        <f t="shared" si="153"/>
        <v>8</v>
      </c>
      <c r="N37" s="21">
        <f t="shared" si="153"/>
        <v>9</v>
      </c>
      <c r="O37" s="21">
        <f t="shared" si="153"/>
        <v>10</v>
      </c>
      <c r="P37" s="21">
        <f t="shared" si="153"/>
        <v>11</v>
      </c>
      <c r="Q37" s="21">
        <f t="shared" si="153"/>
        <v>12</v>
      </c>
      <c r="R37" s="21">
        <f t="shared" si="153"/>
        <v>13</v>
      </c>
      <c r="S37" s="21">
        <f t="shared" si="153"/>
        <v>14</v>
      </c>
      <c r="T37" s="21">
        <f t="shared" si="153"/>
        <v>15</v>
      </c>
      <c r="U37" s="21">
        <f t="shared" si="153"/>
        <v>16</v>
      </c>
      <c r="V37" s="21">
        <f t="shared" si="153"/>
        <v>17</v>
      </c>
      <c r="W37" s="21">
        <f t="shared" si="156"/>
        <v>18</v>
      </c>
      <c r="X37" s="21">
        <f t="shared" si="156"/>
        <v>19</v>
      </c>
      <c r="Y37" s="21">
        <f t="shared" si="156"/>
        <v>20</v>
      </c>
      <c r="Z37" s="21">
        <f t="shared" si="156"/>
        <v>21</v>
      </c>
      <c r="AA37" s="21">
        <f t="shared" si="156"/>
        <v>22</v>
      </c>
      <c r="AB37" s="21">
        <f t="shared" si="156"/>
        <v>23</v>
      </c>
      <c r="AC37" s="21">
        <f t="shared" si="156"/>
        <v>24</v>
      </c>
      <c r="AD37" s="21">
        <f t="shared" si="156"/>
        <v>25</v>
      </c>
      <c r="AE37" s="21">
        <f t="shared" si="156"/>
        <v>26</v>
      </c>
      <c r="AF37" s="21">
        <f t="shared" si="156"/>
        <v>27</v>
      </c>
      <c r="AG37" s="21">
        <f t="shared" si="156"/>
        <v>28</v>
      </c>
      <c r="AH37" s="21">
        <f t="shared" si="156"/>
        <v>29</v>
      </c>
      <c r="AI37" s="21">
        <f t="shared" si="156"/>
        <v>30</v>
      </c>
      <c r="AJ37" s="21">
        <f t="shared" si="156"/>
        <v>31</v>
      </c>
      <c r="AK37" s="21">
        <f t="shared" si="156"/>
        <v>32</v>
      </c>
      <c r="AL37" s="21">
        <f t="shared" si="156"/>
        <v>33</v>
      </c>
      <c r="AM37" s="21">
        <f t="shared" si="157"/>
        <v>34</v>
      </c>
      <c r="AN37" s="21">
        <f t="shared" si="157"/>
        <v>35</v>
      </c>
      <c r="AO37" s="21">
        <f t="shared" si="157"/>
        <v>36</v>
      </c>
      <c r="AP37" s="21">
        <f t="shared" si="157"/>
        <v>37</v>
      </c>
      <c r="AQ37" s="21">
        <f t="shared" si="157"/>
        <v>38</v>
      </c>
      <c r="AR37" s="21">
        <f t="shared" si="157"/>
        <v>39</v>
      </c>
      <c r="AS37" s="21">
        <f t="shared" si="157"/>
        <v>40</v>
      </c>
      <c r="AT37" s="21">
        <f t="shared" si="157"/>
        <v>41</v>
      </c>
      <c r="AU37" s="21">
        <f t="shared" si="157"/>
        <v>42</v>
      </c>
      <c r="AV37" s="21">
        <f t="shared" si="157"/>
        <v>43</v>
      </c>
      <c r="AW37" s="21">
        <f t="shared" si="157"/>
        <v>44</v>
      </c>
      <c r="AX37" s="21">
        <f t="shared" si="157"/>
        <v>45</v>
      </c>
      <c r="AY37" s="21">
        <f t="shared" si="157"/>
        <v>46</v>
      </c>
      <c r="AZ37" s="21">
        <f t="shared" si="157"/>
        <v>47</v>
      </c>
      <c r="BA37" s="21">
        <f t="shared" si="157"/>
        <v>48</v>
      </c>
      <c r="BB37" s="21">
        <f t="shared" si="157"/>
        <v>49</v>
      </c>
      <c r="BC37" s="21"/>
      <c r="BE37" s="368"/>
      <c r="BF37" s="353">
        <v>1</v>
      </c>
      <c r="BG37" s="37" t="s">
        <v>59</v>
      </c>
      <c r="BU37" s="9" t="s">
        <v>69</v>
      </c>
    </row>
    <row r="38" spans="1:73" ht="14.4" x14ac:dyDescent="0.3">
      <c r="B38" s="364"/>
      <c r="C38" s="9" t="s">
        <v>70</v>
      </c>
      <c r="D38" s="365"/>
      <c r="E38" s="351"/>
      <c r="F38" s="21">
        <f t="shared" si="107"/>
        <v>1</v>
      </c>
      <c r="G38" s="21">
        <f t="shared" si="153"/>
        <v>2</v>
      </c>
      <c r="H38" s="21">
        <f t="shared" si="153"/>
        <v>3</v>
      </c>
      <c r="I38" s="21">
        <f t="shared" si="153"/>
        <v>4</v>
      </c>
      <c r="J38" s="21">
        <f t="shared" si="153"/>
        <v>5</v>
      </c>
      <c r="K38" s="21">
        <f t="shared" si="153"/>
        <v>6</v>
      </c>
      <c r="L38" s="21">
        <f t="shared" si="153"/>
        <v>7</v>
      </c>
      <c r="M38" s="21">
        <f t="shared" si="153"/>
        <v>8</v>
      </c>
      <c r="N38" s="21">
        <f t="shared" si="153"/>
        <v>9</v>
      </c>
      <c r="O38" s="21">
        <f t="shared" si="153"/>
        <v>10</v>
      </c>
      <c r="P38" s="21">
        <f t="shared" si="153"/>
        <v>11</v>
      </c>
      <c r="Q38" s="21">
        <f t="shared" si="153"/>
        <v>12</v>
      </c>
      <c r="R38" s="21">
        <f t="shared" si="153"/>
        <v>13</v>
      </c>
      <c r="S38" s="21">
        <f t="shared" si="153"/>
        <v>14</v>
      </c>
      <c r="T38" s="21">
        <f t="shared" si="153"/>
        <v>15</v>
      </c>
      <c r="U38" s="21">
        <f t="shared" si="153"/>
        <v>16</v>
      </c>
      <c r="V38" s="21">
        <f t="shared" si="153"/>
        <v>17</v>
      </c>
      <c r="W38" s="21">
        <f t="shared" si="156"/>
        <v>18</v>
      </c>
      <c r="X38" s="21">
        <f t="shared" si="156"/>
        <v>19</v>
      </c>
      <c r="Y38" s="21">
        <f t="shared" si="156"/>
        <v>20</v>
      </c>
      <c r="Z38" s="21">
        <f t="shared" si="156"/>
        <v>21</v>
      </c>
      <c r="AA38" s="21">
        <f t="shared" si="156"/>
        <v>22</v>
      </c>
      <c r="AB38" s="21">
        <f t="shared" si="156"/>
        <v>23</v>
      </c>
      <c r="AC38" s="21">
        <f t="shared" si="156"/>
        <v>24</v>
      </c>
      <c r="AD38" s="21">
        <f t="shared" si="156"/>
        <v>25</v>
      </c>
      <c r="AE38" s="21">
        <f t="shared" si="156"/>
        <v>26</v>
      </c>
      <c r="AF38" s="21">
        <f t="shared" si="156"/>
        <v>27</v>
      </c>
      <c r="AG38" s="21">
        <f t="shared" si="156"/>
        <v>28</v>
      </c>
      <c r="AH38" s="21">
        <f t="shared" si="156"/>
        <v>29</v>
      </c>
      <c r="AI38" s="21">
        <f t="shared" si="156"/>
        <v>30</v>
      </c>
      <c r="AJ38" s="21">
        <f t="shared" si="156"/>
        <v>31</v>
      </c>
      <c r="AK38" s="21">
        <f t="shared" si="156"/>
        <v>32</v>
      </c>
      <c r="AL38" s="21">
        <f t="shared" si="156"/>
        <v>33</v>
      </c>
      <c r="AM38" s="21">
        <f t="shared" si="157"/>
        <v>34</v>
      </c>
      <c r="AN38" s="21">
        <f t="shared" si="157"/>
        <v>35</v>
      </c>
      <c r="AO38" s="21">
        <f t="shared" si="157"/>
        <v>36</v>
      </c>
      <c r="AP38" s="21">
        <f t="shared" si="157"/>
        <v>37</v>
      </c>
      <c r="AQ38" s="21">
        <f t="shared" si="157"/>
        <v>38</v>
      </c>
      <c r="AR38" s="21">
        <f t="shared" si="157"/>
        <v>39</v>
      </c>
      <c r="AS38" s="21">
        <f t="shared" si="157"/>
        <v>40</v>
      </c>
      <c r="AT38" s="21">
        <f t="shared" si="157"/>
        <v>41</v>
      </c>
      <c r="AU38" s="21">
        <f t="shared" si="157"/>
        <v>42</v>
      </c>
      <c r="AV38" s="21">
        <f t="shared" si="157"/>
        <v>43</v>
      </c>
      <c r="AW38" s="21">
        <f t="shared" si="157"/>
        <v>44</v>
      </c>
      <c r="AX38" s="21">
        <f t="shared" si="157"/>
        <v>45</v>
      </c>
      <c r="AY38" s="21">
        <f t="shared" si="157"/>
        <v>46</v>
      </c>
      <c r="AZ38" s="21">
        <f t="shared" si="157"/>
        <v>47</v>
      </c>
      <c r="BA38" s="21">
        <f t="shared" si="157"/>
        <v>48</v>
      </c>
      <c r="BB38" s="21">
        <f t="shared" si="157"/>
        <v>49</v>
      </c>
      <c r="BC38" s="21"/>
      <c r="BE38" s="368"/>
      <c r="BF38" s="353">
        <v>1</v>
      </c>
      <c r="BG38" s="37" t="s">
        <v>59</v>
      </c>
    </row>
    <row r="39" spans="1:73" ht="14.4" customHeight="1" x14ac:dyDescent="0.3">
      <c r="B39" s="364"/>
      <c r="C39" s="9" t="s">
        <v>71</v>
      </c>
      <c r="D39" s="365"/>
      <c r="E39" s="351"/>
      <c r="F39" s="21">
        <f t="shared" ref="F39:F46" si="158">BF39</f>
        <v>1</v>
      </c>
      <c r="G39" s="21">
        <f t="shared" si="106"/>
        <v>2</v>
      </c>
      <c r="H39" s="21">
        <f t="shared" si="105"/>
        <v>3</v>
      </c>
      <c r="I39" s="21">
        <f t="shared" si="105"/>
        <v>4</v>
      </c>
      <c r="J39" s="21">
        <f t="shared" si="105"/>
        <v>5</v>
      </c>
      <c r="K39" s="21">
        <f t="shared" si="105"/>
        <v>6</v>
      </c>
      <c r="L39" s="21">
        <f t="shared" si="105"/>
        <v>7</v>
      </c>
      <c r="M39" s="21">
        <f t="shared" si="105"/>
        <v>8</v>
      </c>
      <c r="N39" s="21">
        <f t="shared" si="105"/>
        <v>9</v>
      </c>
      <c r="O39" s="21">
        <f t="shared" si="105"/>
        <v>10</v>
      </c>
      <c r="P39" s="21">
        <f t="shared" si="105"/>
        <v>11</v>
      </c>
      <c r="Q39" s="21">
        <f t="shared" si="105"/>
        <v>12</v>
      </c>
      <c r="R39" s="21">
        <f t="shared" si="105"/>
        <v>13</v>
      </c>
      <c r="S39" s="21">
        <f t="shared" si="105"/>
        <v>14</v>
      </c>
      <c r="T39" s="21">
        <f t="shared" si="105"/>
        <v>15</v>
      </c>
      <c r="U39" s="21">
        <f t="shared" si="105"/>
        <v>16</v>
      </c>
      <c r="V39" s="21">
        <f t="shared" si="105"/>
        <v>17</v>
      </c>
      <c r="W39" s="21">
        <f t="shared" si="105"/>
        <v>18</v>
      </c>
      <c r="X39" s="21">
        <f t="shared" si="105"/>
        <v>19</v>
      </c>
      <c r="Y39" s="21">
        <f t="shared" si="105"/>
        <v>20</v>
      </c>
      <c r="Z39" s="21">
        <f t="shared" si="105"/>
        <v>21</v>
      </c>
      <c r="AA39" s="21">
        <f t="shared" si="105"/>
        <v>22</v>
      </c>
      <c r="AB39" s="21">
        <f t="shared" si="105"/>
        <v>23</v>
      </c>
      <c r="AC39" s="21">
        <f t="shared" si="105"/>
        <v>24</v>
      </c>
      <c r="AD39" s="21">
        <f t="shared" si="105"/>
        <v>25</v>
      </c>
      <c r="AE39" s="21">
        <f t="shared" si="105"/>
        <v>26</v>
      </c>
      <c r="AF39" s="21">
        <f t="shared" si="105"/>
        <v>27</v>
      </c>
      <c r="AG39" s="21">
        <f t="shared" si="105"/>
        <v>28</v>
      </c>
      <c r="AH39" s="21">
        <f t="shared" si="105"/>
        <v>29</v>
      </c>
      <c r="AI39" s="21">
        <f t="shared" si="105"/>
        <v>30</v>
      </c>
      <c r="AJ39" s="21">
        <f t="shared" si="105"/>
        <v>31</v>
      </c>
      <c r="AK39" s="21">
        <f t="shared" si="105"/>
        <v>32</v>
      </c>
      <c r="AL39" s="21">
        <f t="shared" si="105"/>
        <v>33</v>
      </c>
      <c r="AM39" s="21">
        <f t="shared" si="105"/>
        <v>34</v>
      </c>
      <c r="AN39" s="21">
        <f t="shared" si="105"/>
        <v>35</v>
      </c>
      <c r="AO39" s="21">
        <f t="shared" si="105"/>
        <v>36</v>
      </c>
      <c r="AP39" s="21">
        <f t="shared" si="105"/>
        <v>37</v>
      </c>
      <c r="AQ39" s="21">
        <f t="shared" si="105"/>
        <v>38</v>
      </c>
      <c r="AR39" s="21">
        <f t="shared" si="105"/>
        <v>39</v>
      </c>
      <c r="AS39" s="21">
        <f t="shared" si="105"/>
        <v>40</v>
      </c>
      <c r="AT39" s="21">
        <f t="shared" si="105"/>
        <v>41</v>
      </c>
      <c r="AU39" s="21">
        <f t="shared" si="105"/>
        <v>42</v>
      </c>
      <c r="AV39" s="21">
        <f t="shared" si="105"/>
        <v>43</v>
      </c>
      <c r="AW39" s="21">
        <f t="shared" si="105"/>
        <v>44</v>
      </c>
      <c r="AX39" s="21">
        <f t="shared" si="105"/>
        <v>45</v>
      </c>
      <c r="AY39" s="21">
        <f t="shared" si="105"/>
        <v>46</v>
      </c>
      <c r="AZ39" s="21">
        <f t="shared" si="105"/>
        <v>47</v>
      </c>
      <c r="BA39" s="21">
        <f t="shared" si="105"/>
        <v>48</v>
      </c>
      <c r="BB39" s="21">
        <f t="shared" si="105"/>
        <v>49</v>
      </c>
      <c r="BC39" s="21"/>
      <c r="BE39" s="368"/>
      <c r="BF39" s="353">
        <v>1</v>
      </c>
      <c r="BG39" s="37" t="s">
        <v>59</v>
      </c>
    </row>
    <row r="40" spans="1:73" ht="14.4" x14ac:dyDescent="0.3">
      <c r="B40" s="364"/>
      <c r="C40" s="9" t="s">
        <v>72</v>
      </c>
      <c r="D40" s="365"/>
      <c r="E40" s="351"/>
      <c r="F40" s="21">
        <f t="shared" si="158"/>
        <v>1</v>
      </c>
      <c r="G40" s="21">
        <f t="shared" si="106"/>
        <v>2</v>
      </c>
      <c r="H40" s="21">
        <f t="shared" si="105"/>
        <v>3</v>
      </c>
      <c r="I40" s="21">
        <f t="shared" si="105"/>
        <v>4</v>
      </c>
      <c r="J40" s="21">
        <f t="shared" si="105"/>
        <v>5</v>
      </c>
      <c r="K40" s="21">
        <f t="shared" si="105"/>
        <v>6</v>
      </c>
      <c r="L40" s="21">
        <f t="shared" si="105"/>
        <v>7</v>
      </c>
      <c r="M40" s="21">
        <f t="shared" si="105"/>
        <v>8</v>
      </c>
      <c r="N40" s="21">
        <f t="shared" si="105"/>
        <v>9</v>
      </c>
      <c r="O40" s="21">
        <f t="shared" si="105"/>
        <v>10</v>
      </c>
      <c r="P40" s="21">
        <f t="shared" si="105"/>
        <v>11</v>
      </c>
      <c r="Q40" s="21">
        <f t="shared" si="105"/>
        <v>12</v>
      </c>
      <c r="R40" s="21">
        <f t="shared" si="105"/>
        <v>13</v>
      </c>
      <c r="S40" s="21">
        <f t="shared" si="105"/>
        <v>14</v>
      </c>
      <c r="T40" s="21">
        <f t="shared" si="105"/>
        <v>15</v>
      </c>
      <c r="U40" s="21">
        <f t="shared" si="105"/>
        <v>16</v>
      </c>
      <c r="V40" s="21">
        <f t="shared" si="105"/>
        <v>17</v>
      </c>
      <c r="W40" s="21">
        <f t="shared" si="105"/>
        <v>18</v>
      </c>
      <c r="X40" s="21">
        <f t="shared" si="105"/>
        <v>19</v>
      </c>
      <c r="Y40" s="21">
        <f t="shared" si="105"/>
        <v>20</v>
      </c>
      <c r="Z40" s="21">
        <f t="shared" si="105"/>
        <v>21</v>
      </c>
      <c r="AA40" s="21">
        <f t="shared" si="105"/>
        <v>22</v>
      </c>
      <c r="AB40" s="21">
        <f t="shared" si="105"/>
        <v>23</v>
      </c>
      <c r="AC40" s="21">
        <f t="shared" si="105"/>
        <v>24</v>
      </c>
      <c r="AD40" s="21">
        <f t="shared" si="105"/>
        <v>25</v>
      </c>
      <c r="AE40" s="21">
        <f t="shared" si="105"/>
        <v>26</v>
      </c>
      <c r="AF40" s="21">
        <f t="shared" si="105"/>
        <v>27</v>
      </c>
      <c r="AG40" s="21">
        <f t="shared" si="105"/>
        <v>28</v>
      </c>
      <c r="AH40" s="21">
        <f t="shared" si="105"/>
        <v>29</v>
      </c>
      <c r="AI40" s="21">
        <f t="shared" si="105"/>
        <v>30</v>
      </c>
      <c r="AJ40" s="21">
        <f t="shared" si="105"/>
        <v>31</v>
      </c>
      <c r="AK40" s="21">
        <f t="shared" si="105"/>
        <v>32</v>
      </c>
      <c r="AL40" s="21">
        <f t="shared" si="105"/>
        <v>33</v>
      </c>
      <c r="AM40" s="21">
        <f t="shared" si="105"/>
        <v>34</v>
      </c>
      <c r="AN40" s="21">
        <f t="shared" si="105"/>
        <v>35</v>
      </c>
      <c r="AO40" s="21">
        <f t="shared" si="105"/>
        <v>36</v>
      </c>
      <c r="AP40" s="21">
        <f t="shared" si="105"/>
        <v>37</v>
      </c>
      <c r="AQ40" s="21">
        <f t="shared" si="105"/>
        <v>38</v>
      </c>
      <c r="AR40" s="21">
        <f t="shared" si="105"/>
        <v>39</v>
      </c>
      <c r="AS40" s="21">
        <f t="shared" si="105"/>
        <v>40</v>
      </c>
      <c r="AT40" s="21">
        <f t="shared" si="105"/>
        <v>41</v>
      </c>
      <c r="AU40" s="21">
        <f t="shared" si="105"/>
        <v>42</v>
      </c>
      <c r="AV40" s="21">
        <f t="shared" si="105"/>
        <v>43</v>
      </c>
      <c r="AW40" s="21">
        <f t="shared" si="105"/>
        <v>44</v>
      </c>
      <c r="AX40" s="21">
        <f t="shared" si="105"/>
        <v>45</v>
      </c>
      <c r="AY40" s="21">
        <f t="shared" si="105"/>
        <v>46</v>
      </c>
      <c r="AZ40" s="21">
        <f t="shared" si="105"/>
        <v>47</v>
      </c>
      <c r="BA40" s="21">
        <f t="shared" si="105"/>
        <v>48</v>
      </c>
      <c r="BB40" s="21">
        <f t="shared" si="105"/>
        <v>49</v>
      </c>
      <c r="BC40" s="21"/>
      <c r="BE40" s="368"/>
      <c r="BF40" s="353">
        <v>1</v>
      </c>
      <c r="BG40" s="37" t="s">
        <v>59</v>
      </c>
    </row>
    <row r="41" spans="1:73" ht="14.4" x14ac:dyDescent="0.3">
      <c r="B41" s="364"/>
      <c r="C41" s="9" t="s">
        <v>73</v>
      </c>
      <c r="D41" s="365"/>
      <c r="E41" s="351"/>
      <c r="F41" s="21">
        <f t="shared" si="158"/>
        <v>0.05</v>
      </c>
      <c r="G41" s="21">
        <f t="shared" si="106"/>
        <v>0.1</v>
      </c>
      <c r="H41" s="21">
        <f t="shared" si="105"/>
        <v>0.15000000000000002</v>
      </c>
      <c r="I41" s="21">
        <f t="shared" si="105"/>
        <v>0.2</v>
      </c>
      <c r="J41" s="21">
        <f t="shared" si="105"/>
        <v>0.25</v>
      </c>
      <c r="K41" s="21">
        <f t="shared" si="105"/>
        <v>0.3</v>
      </c>
      <c r="L41" s="21">
        <f t="shared" si="105"/>
        <v>0.35</v>
      </c>
      <c r="M41" s="21">
        <f t="shared" si="105"/>
        <v>0.39999999999999997</v>
      </c>
      <c r="N41" s="21">
        <f t="shared" si="105"/>
        <v>0.44999999999999996</v>
      </c>
      <c r="O41" s="21">
        <f t="shared" si="105"/>
        <v>0.49999999999999994</v>
      </c>
      <c r="P41" s="21">
        <f t="shared" si="105"/>
        <v>0.54999999999999993</v>
      </c>
      <c r="Q41" s="21">
        <f t="shared" si="105"/>
        <v>0.6</v>
      </c>
      <c r="R41" s="21">
        <f t="shared" si="105"/>
        <v>0.65</v>
      </c>
      <c r="S41" s="21">
        <f t="shared" si="105"/>
        <v>0.70000000000000007</v>
      </c>
      <c r="T41" s="21">
        <f t="shared" si="105"/>
        <v>0.75000000000000011</v>
      </c>
      <c r="U41" s="21">
        <f t="shared" si="105"/>
        <v>0.80000000000000016</v>
      </c>
      <c r="V41" s="21">
        <f t="shared" si="105"/>
        <v>0.8500000000000002</v>
      </c>
      <c r="W41" s="21">
        <f t="shared" si="105"/>
        <v>0.90000000000000024</v>
      </c>
      <c r="X41" s="21">
        <f t="shared" si="105"/>
        <v>0.95000000000000029</v>
      </c>
      <c r="Y41" s="21">
        <f t="shared" si="105"/>
        <v>1.0000000000000002</v>
      </c>
      <c r="Z41" s="21">
        <f t="shared" si="105"/>
        <v>1.0500000000000003</v>
      </c>
      <c r="AA41" s="21">
        <f t="shared" si="105"/>
        <v>1.1000000000000003</v>
      </c>
      <c r="AB41" s="21">
        <f t="shared" si="105"/>
        <v>1.1500000000000004</v>
      </c>
      <c r="AC41" s="21">
        <f t="shared" si="105"/>
        <v>1.2000000000000004</v>
      </c>
      <c r="AD41" s="21">
        <f t="shared" si="105"/>
        <v>1.2500000000000004</v>
      </c>
      <c r="AE41" s="21">
        <f t="shared" si="105"/>
        <v>1.3000000000000005</v>
      </c>
      <c r="AF41" s="21">
        <f t="shared" si="105"/>
        <v>1.3500000000000005</v>
      </c>
      <c r="AG41" s="21">
        <f t="shared" si="105"/>
        <v>1.4000000000000006</v>
      </c>
      <c r="AH41" s="21">
        <f t="shared" si="105"/>
        <v>1.4500000000000006</v>
      </c>
      <c r="AI41" s="21">
        <f t="shared" si="105"/>
        <v>1.5000000000000007</v>
      </c>
      <c r="AJ41" s="21">
        <f t="shared" si="105"/>
        <v>1.5500000000000007</v>
      </c>
      <c r="AK41" s="21">
        <f t="shared" si="105"/>
        <v>1.6000000000000008</v>
      </c>
      <c r="AL41" s="21">
        <f t="shared" si="105"/>
        <v>1.6500000000000008</v>
      </c>
      <c r="AM41" s="21">
        <f t="shared" si="105"/>
        <v>1.7000000000000008</v>
      </c>
      <c r="AN41" s="21">
        <f t="shared" si="105"/>
        <v>1.7500000000000009</v>
      </c>
      <c r="AO41" s="21">
        <f t="shared" si="105"/>
        <v>1.8000000000000009</v>
      </c>
      <c r="AP41" s="21">
        <f t="shared" si="105"/>
        <v>1.850000000000001</v>
      </c>
      <c r="AQ41" s="21">
        <f t="shared" ref="H41:BB80" si="159">AP41+$BF41</f>
        <v>1.900000000000001</v>
      </c>
      <c r="AR41" s="21">
        <f t="shared" si="159"/>
        <v>1.9500000000000011</v>
      </c>
      <c r="AS41" s="21">
        <f t="shared" si="159"/>
        <v>2.0000000000000009</v>
      </c>
      <c r="AT41" s="21">
        <f t="shared" si="159"/>
        <v>2.0500000000000007</v>
      </c>
      <c r="AU41" s="21">
        <f t="shared" si="159"/>
        <v>2.1000000000000005</v>
      </c>
      <c r="AV41" s="21">
        <f t="shared" si="159"/>
        <v>2.1500000000000004</v>
      </c>
      <c r="AW41" s="21">
        <f t="shared" si="159"/>
        <v>2.2000000000000002</v>
      </c>
      <c r="AX41" s="21">
        <f t="shared" si="159"/>
        <v>2.25</v>
      </c>
      <c r="AY41" s="21">
        <f t="shared" si="159"/>
        <v>2.2999999999999998</v>
      </c>
      <c r="AZ41" s="21">
        <f t="shared" si="159"/>
        <v>2.3499999999999996</v>
      </c>
      <c r="BA41" s="21">
        <f t="shared" si="159"/>
        <v>2.3999999999999995</v>
      </c>
      <c r="BB41" s="21">
        <f t="shared" si="159"/>
        <v>2.4499999999999993</v>
      </c>
      <c r="BC41" s="21"/>
      <c r="BE41" s="368"/>
      <c r="BF41" s="353">
        <v>0.05</v>
      </c>
      <c r="BG41" s="37" t="s">
        <v>59</v>
      </c>
    </row>
    <row r="42" spans="1:73" ht="14.4" x14ac:dyDescent="0.3">
      <c r="B42" s="364"/>
      <c r="C42" s="9" t="s">
        <v>74</v>
      </c>
      <c r="D42" s="365"/>
      <c r="E42" s="351"/>
      <c r="F42" s="21">
        <f t="shared" si="158"/>
        <v>2</v>
      </c>
      <c r="G42" s="21">
        <f t="shared" si="106"/>
        <v>4</v>
      </c>
      <c r="H42" s="21">
        <f t="shared" si="159"/>
        <v>6</v>
      </c>
      <c r="I42" s="21">
        <f t="shared" si="159"/>
        <v>8</v>
      </c>
      <c r="J42" s="21">
        <f t="shared" si="159"/>
        <v>10</v>
      </c>
      <c r="K42" s="21">
        <f t="shared" si="159"/>
        <v>12</v>
      </c>
      <c r="L42" s="21">
        <f t="shared" si="159"/>
        <v>14</v>
      </c>
      <c r="M42" s="21">
        <f t="shared" si="159"/>
        <v>16</v>
      </c>
      <c r="N42" s="21">
        <f t="shared" si="159"/>
        <v>18</v>
      </c>
      <c r="O42" s="21">
        <f t="shared" si="159"/>
        <v>20</v>
      </c>
      <c r="P42" s="21">
        <f t="shared" si="159"/>
        <v>22</v>
      </c>
      <c r="Q42" s="21">
        <f t="shared" si="159"/>
        <v>24</v>
      </c>
      <c r="R42" s="21">
        <f t="shared" si="159"/>
        <v>26</v>
      </c>
      <c r="S42" s="21">
        <f t="shared" si="159"/>
        <v>28</v>
      </c>
      <c r="T42" s="21">
        <f t="shared" si="159"/>
        <v>30</v>
      </c>
      <c r="U42" s="21">
        <f t="shared" si="159"/>
        <v>32</v>
      </c>
      <c r="V42" s="21">
        <f t="shared" si="159"/>
        <v>34</v>
      </c>
      <c r="W42" s="21">
        <f t="shared" si="159"/>
        <v>36</v>
      </c>
      <c r="X42" s="21">
        <f t="shared" si="159"/>
        <v>38</v>
      </c>
      <c r="Y42" s="21">
        <f t="shared" si="159"/>
        <v>40</v>
      </c>
      <c r="Z42" s="21">
        <f t="shared" si="159"/>
        <v>42</v>
      </c>
      <c r="AA42" s="21">
        <f t="shared" si="159"/>
        <v>44</v>
      </c>
      <c r="AB42" s="21">
        <f t="shared" si="159"/>
        <v>46</v>
      </c>
      <c r="AC42" s="21">
        <f t="shared" si="159"/>
        <v>48</v>
      </c>
      <c r="AD42" s="21">
        <f t="shared" si="159"/>
        <v>50</v>
      </c>
      <c r="AE42" s="21">
        <f t="shared" si="159"/>
        <v>52</v>
      </c>
      <c r="AF42" s="21">
        <f t="shared" si="159"/>
        <v>54</v>
      </c>
      <c r="AG42" s="21">
        <f t="shared" si="159"/>
        <v>56</v>
      </c>
      <c r="AH42" s="21">
        <f t="shared" si="159"/>
        <v>58</v>
      </c>
      <c r="AI42" s="21">
        <f t="shared" si="159"/>
        <v>60</v>
      </c>
      <c r="AJ42" s="21">
        <f t="shared" si="159"/>
        <v>62</v>
      </c>
      <c r="AK42" s="21">
        <f t="shared" si="159"/>
        <v>64</v>
      </c>
      <c r="AL42" s="21">
        <f t="shared" si="159"/>
        <v>66</v>
      </c>
      <c r="AM42" s="21">
        <f t="shared" si="159"/>
        <v>68</v>
      </c>
      <c r="AN42" s="21">
        <f t="shared" si="159"/>
        <v>70</v>
      </c>
      <c r="AO42" s="21">
        <f t="shared" si="159"/>
        <v>72</v>
      </c>
      <c r="AP42" s="21">
        <f t="shared" si="159"/>
        <v>74</v>
      </c>
      <c r="AQ42" s="21">
        <f t="shared" si="159"/>
        <v>76</v>
      </c>
      <c r="AR42" s="21">
        <f t="shared" si="159"/>
        <v>78</v>
      </c>
      <c r="AS42" s="21">
        <f t="shared" si="159"/>
        <v>80</v>
      </c>
      <c r="AT42" s="21">
        <f t="shared" si="159"/>
        <v>82</v>
      </c>
      <c r="AU42" s="21">
        <f t="shared" si="159"/>
        <v>84</v>
      </c>
      <c r="AV42" s="21">
        <f t="shared" si="159"/>
        <v>86</v>
      </c>
      <c r="AW42" s="21">
        <f t="shared" si="159"/>
        <v>88</v>
      </c>
      <c r="AX42" s="21">
        <f t="shared" si="159"/>
        <v>90</v>
      </c>
      <c r="AY42" s="21">
        <f t="shared" si="159"/>
        <v>92</v>
      </c>
      <c r="AZ42" s="21">
        <f t="shared" si="159"/>
        <v>94</v>
      </c>
      <c r="BA42" s="21">
        <f t="shared" si="159"/>
        <v>96</v>
      </c>
      <c r="BB42" s="21">
        <f t="shared" si="159"/>
        <v>98</v>
      </c>
      <c r="BC42" s="21"/>
      <c r="BE42" s="368"/>
      <c r="BF42" s="353">
        <v>2</v>
      </c>
      <c r="BG42" s="37" t="s">
        <v>59</v>
      </c>
    </row>
    <row r="43" spans="1:73" ht="14.4" x14ac:dyDescent="0.3">
      <c r="B43" s="364"/>
      <c r="C43" s="9" t="s">
        <v>75</v>
      </c>
      <c r="D43" s="365"/>
      <c r="E43" s="351"/>
      <c r="F43" s="21">
        <f t="shared" si="158"/>
        <v>1</v>
      </c>
      <c r="G43" s="21">
        <f t="shared" si="106"/>
        <v>2</v>
      </c>
      <c r="H43" s="21">
        <f t="shared" si="159"/>
        <v>3</v>
      </c>
      <c r="I43" s="21">
        <f t="shared" si="159"/>
        <v>4</v>
      </c>
      <c r="J43" s="21">
        <f t="shared" si="159"/>
        <v>5</v>
      </c>
      <c r="K43" s="21">
        <f t="shared" si="159"/>
        <v>6</v>
      </c>
      <c r="L43" s="21">
        <f t="shared" si="159"/>
        <v>7</v>
      </c>
      <c r="M43" s="21">
        <f t="shared" si="159"/>
        <v>8</v>
      </c>
      <c r="N43" s="21">
        <f t="shared" si="159"/>
        <v>9</v>
      </c>
      <c r="O43" s="21">
        <f t="shared" si="159"/>
        <v>10</v>
      </c>
      <c r="P43" s="21">
        <f t="shared" si="159"/>
        <v>11</v>
      </c>
      <c r="Q43" s="21">
        <f t="shared" si="159"/>
        <v>12</v>
      </c>
      <c r="R43" s="21">
        <f t="shared" si="159"/>
        <v>13</v>
      </c>
      <c r="S43" s="21">
        <f t="shared" si="159"/>
        <v>14</v>
      </c>
      <c r="T43" s="21">
        <f t="shared" si="159"/>
        <v>15</v>
      </c>
      <c r="U43" s="21">
        <f t="shared" si="159"/>
        <v>16</v>
      </c>
      <c r="V43" s="21">
        <f t="shared" si="159"/>
        <v>17</v>
      </c>
      <c r="W43" s="21">
        <f t="shared" si="159"/>
        <v>18</v>
      </c>
      <c r="X43" s="21">
        <f t="shared" si="159"/>
        <v>19</v>
      </c>
      <c r="Y43" s="21">
        <f t="shared" si="159"/>
        <v>20</v>
      </c>
      <c r="Z43" s="21">
        <f t="shared" si="159"/>
        <v>21</v>
      </c>
      <c r="AA43" s="21">
        <f t="shared" si="159"/>
        <v>22</v>
      </c>
      <c r="AB43" s="21">
        <f t="shared" si="159"/>
        <v>23</v>
      </c>
      <c r="AC43" s="21">
        <f t="shared" si="159"/>
        <v>24</v>
      </c>
      <c r="AD43" s="21">
        <f t="shared" si="159"/>
        <v>25</v>
      </c>
      <c r="AE43" s="21">
        <f t="shared" si="159"/>
        <v>26</v>
      </c>
      <c r="AF43" s="21">
        <f t="shared" si="159"/>
        <v>27</v>
      </c>
      <c r="AG43" s="21">
        <f t="shared" si="159"/>
        <v>28</v>
      </c>
      <c r="AH43" s="21">
        <f t="shared" si="159"/>
        <v>29</v>
      </c>
      <c r="AI43" s="21">
        <f t="shared" si="159"/>
        <v>30</v>
      </c>
      <c r="AJ43" s="21">
        <f t="shared" si="159"/>
        <v>31</v>
      </c>
      <c r="AK43" s="21">
        <f t="shared" si="159"/>
        <v>32</v>
      </c>
      <c r="AL43" s="21">
        <f t="shared" si="159"/>
        <v>33</v>
      </c>
      <c r="AM43" s="21">
        <f t="shared" si="159"/>
        <v>34</v>
      </c>
      <c r="AN43" s="21">
        <f t="shared" si="159"/>
        <v>35</v>
      </c>
      <c r="AO43" s="21">
        <f t="shared" si="159"/>
        <v>36</v>
      </c>
      <c r="AP43" s="21">
        <f t="shared" si="159"/>
        <v>37</v>
      </c>
      <c r="AQ43" s="21">
        <f t="shared" si="159"/>
        <v>38</v>
      </c>
      <c r="AR43" s="21">
        <f t="shared" si="159"/>
        <v>39</v>
      </c>
      <c r="AS43" s="21">
        <f t="shared" si="159"/>
        <v>40</v>
      </c>
      <c r="AT43" s="21">
        <f t="shared" si="159"/>
        <v>41</v>
      </c>
      <c r="AU43" s="21">
        <f t="shared" si="159"/>
        <v>42</v>
      </c>
      <c r="AV43" s="21">
        <f t="shared" si="159"/>
        <v>43</v>
      </c>
      <c r="AW43" s="21">
        <f t="shared" si="159"/>
        <v>44</v>
      </c>
      <c r="AX43" s="21">
        <f t="shared" si="159"/>
        <v>45</v>
      </c>
      <c r="AY43" s="21">
        <f t="shared" si="159"/>
        <v>46</v>
      </c>
      <c r="AZ43" s="21">
        <f t="shared" si="159"/>
        <v>47</v>
      </c>
      <c r="BA43" s="21">
        <f t="shared" si="159"/>
        <v>48</v>
      </c>
      <c r="BB43" s="21">
        <f t="shared" si="159"/>
        <v>49</v>
      </c>
      <c r="BC43" s="21"/>
      <c r="BE43" s="368"/>
      <c r="BF43" s="353">
        <v>1</v>
      </c>
      <c r="BG43" s="37" t="s">
        <v>59</v>
      </c>
    </row>
    <row r="44" spans="1:73" ht="14.4" x14ac:dyDescent="0.3">
      <c r="B44" s="364"/>
      <c r="C44" s="9" t="s">
        <v>76</v>
      </c>
      <c r="D44" s="365"/>
      <c r="E44" s="351"/>
      <c r="F44" s="21">
        <f t="shared" si="158"/>
        <v>1</v>
      </c>
      <c r="G44" s="21">
        <f t="shared" si="106"/>
        <v>2</v>
      </c>
      <c r="H44" s="21">
        <f t="shared" ref="H44:H46" si="160">G44+$BF44</f>
        <v>3</v>
      </c>
      <c r="I44" s="21">
        <f t="shared" ref="I44:I46" si="161">H44+$BF44</f>
        <v>4</v>
      </c>
      <c r="J44" s="21">
        <f t="shared" ref="J44:J46" si="162">I44+$BF44</f>
        <v>5</v>
      </c>
      <c r="K44" s="21">
        <f t="shared" ref="K44:K46" si="163">J44+$BF44</f>
        <v>6</v>
      </c>
      <c r="L44" s="21">
        <f t="shared" ref="L44:L46" si="164">K44+$BF44</f>
        <v>7</v>
      </c>
      <c r="M44" s="21">
        <f t="shared" ref="M44:M46" si="165">L44+$BF44</f>
        <v>8</v>
      </c>
      <c r="N44" s="21">
        <f t="shared" ref="N44:N46" si="166">M44+$BF44</f>
        <v>9</v>
      </c>
      <c r="O44" s="21">
        <f t="shared" ref="O44:O46" si="167">N44+$BF44</f>
        <v>10</v>
      </c>
      <c r="P44" s="21">
        <f t="shared" ref="P44:P46" si="168">O44+$BF44</f>
        <v>11</v>
      </c>
      <c r="Q44" s="21">
        <f t="shared" ref="Q44:Q46" si="169">P44+$BF44</f>
        <v>12</v>
      </c>
      <c r="R44" s="21">
        <f t="shared" ref="R44:R46" si="170">Q44+$BF44</f>
        <v>13</v>
      </c>
      <c r="S44" s="21">
        <f t="shared" ref="S44:S46" si="171">R44+$BF44</f>
        <v>14</v>
      </c>
      <c r="T44" s="21">
        <f t="shared" ref="T44:T46" si="172">S44+$BF44</f>
        <v>15</v>
      </c>
      <c r="U44" s="21">
        <f t="shared" ref="U44:U46" si="173">T44+$BF44</f>
        <v>16</v>
      </c>
      <c r="V44" s="21">
        <f t="shared" ref="V44:V46" si="174">U44+$BF44</f>
        <v>17</v>
      </c>
      <c r="W44" s="21">
        <f t="shared" ref="W44:W46" si="175">V44+$BF44</f>
        <v>18</v>
      </c>
      <c r="X44" s="21">
        <f t="shared" ref="X44:X46" si="176">W44+$BF44</f>
        <v>19</v>
      </c>
      <c r="Y44" s="21">
        <f t="shared" ref="Y44:Y46" si="177">X44+$BF44</f>
        <v>20</v>
      </c>
      <c r="Z44" s="21">
        <f t="shared" ref="Z44:Z46" si="178">Y44+$BF44</f>
        <v>21</v>
      </c>
      <c r="AA44" s="21">
        <f t="shared" ref="AA44:AA46" si="179">Z44+$BF44</f>
        <v>22</v>
      </c>
      <c r="AB44" s="21">
        <f t="shared" ref="AB44:AB46" si="180">AA44+$BF44</f>
        <v>23</v>
      </c>
      <c r="AC44" s="21">
        <f t="shared" ref="AC44:AC46" si="181">AB44+$BF44</f>
        <v>24</v>
      </c>
      <c r="AD44" s="21">
        <f t="shared" ref="AD44:AD46" si="182">AC44+$BF44</f>
        <v>25</v>
      </c>
      <c r="AE44" s="21">
        <f t="shared" ref="AE44:AE46" si="183">AD44+$BF44</f>
        <v>26</v>
      </c>
      <c r="AF44" s="21">
        <f t="shared" ref="AF44:AF46" si="184">AE44+$BF44</f>
        <v>27</v>
      </c>
      <c r="AG44" s="21">
        <f t="shared" ref="AG44:AG46" si="185">AF44+$BF44</f>
        <v>28</v>
      </c>
      <c r="AH44" s="21">
        <f t="shared" ref="AH44:AH46" si="186">AG44+$BF44</f>
        <v>29</v>
      </c>
      <c r="AI44" s="21">
        <f t="shared" ref="AI44:AI46" si="187">AH44+$BF44</f>
        <v>30</v>
      </c>
      <c r="AJ44" s="21">
        <f t="shared" ref="AJ44:AJ46" si="188">AI44+$BF44</f>
        <v>31</v>
      </c>
      <c r="AK44" s="21">
        <f t="shared" ref="AK44:AK46" si="189">AJ44+$BF44</f>
        <v>32</v>
      </c>
      <c r="AL44" s="21">
        <f t="shared" ref="AL44:AL46" si="190">AK44+$BF44</f>
        <v>33</v>
      </c>
      <c r="AM44" s="21">
        <f t="shared" ref="AM44:AM46" si="191">AL44+$BF44</f>
        <v>34</v>
      </c>
      <c r="AN44" s="21">
        <f t="shared" ref="AN44:AN46" si="192">AM44+$BF44</f>
        <v>35</v>
      </c>
      <c r="AO44" s="21">
        <f t="shared" ref="AO44:AO46" si="193">AN44+$BF44</f>
        <v>36</v>
      </c>
      <c r="AP44" s="21">
        <f t="shared" ref="AP44:AP46" si="194">AO44+$BF44</f>
        <v>37</v>
      </c>
      <c r="AQ44" s="21">
        <f t="shared" ref="AQ44:AQ46" si="195">AP44+$BF44</f>
        <v>38</v>
      </c>
      <c r="AR44" s="21">
        <f t="shared" ref="AR44:AR46" si="196">AQ44+$BF44</f>
        <v>39</v>
      </c>
      <c r="AS44" s="21">
        <f t="shared" ref="AS44:AS46" si="197">AR44+$BF44</f>
        <v>40</v>
      </c>
      <c r="AT44" s="21">
        <f t="shared" ref="AT44:AT46" si="198">AS44+$BF44</f>
        <v>41</v>
      </c>
      <c r="AU44" s="21">
        <f t="shared" ref="AU44:AU46" si="199">AT44+$BF44</f>
        <v>42</v>
      </c>
      <c r="AV44" s="21">
        <f t="shared" ref="AV44:AV46" si="200">AU44+$BF44</f>
        <v>43</v>
      </c>
      <c r="AW44" s="21">
        <f t="shared" ref="AW44:AW46" si="201">AV44+$BF44</f>
        <v>44</v>
      </c>
      <c r="AX44" s="21">
        <f t="shared" ref="AX44:AX46" si="202">AW44+$BF44</f>
        <v>45</v>
      </c>
      <c r="AY44" s="21">
        <f t="shared" ref="AY44:AY46" si="203">AX44+$BF44</f>
        <v>46</v>
      </c>
      <c r="AZ44" s="21">
        <f t="shared" ref="AZ44:AZ46" si="204">AY44+$BF44</f>
        <v>47</v>
      </c>
      <c r="BA44" s="21">
        <f t="shared" ref="BA44:BA46" si="205">AZ44+$BF44</f>
        <v>48</v>
      </c>
      <c r="BB44" s="21">
        <f t="shared" ref="BB44:BB46" si="206">BA44+$BF44</f>
        <v>49</v>
      </c>
      <c r="BC44" s="21"/>
      <c r="BE44" s="368"/>
      <c r="BF44" s="353">
        <v>1</v>
      </c>
      <c r="BG44" s="37" t="s">
        <v>59</v>
      </c>
      <c r="BU44" s="9" t="s">
        <v>69</v>
      </c>
    </row>
    <row r="45" spans="1:73" ht="14.4" x14ac:dyDescent="0.3">
      <c r="B45" s="364"/>
      <c r="C45" s="9" t="s">
        <v>77</v>
      </c>
      <c r="D45" s="365"/>
      <c r="E45" s="351"/>
      <c r="F45" s="21">
        <f t="shared" si="158"/>
        <v>1</v>
      </c>
      <c r="G45" s="21">
        <f t="shared" si="106"/>
        <v>2</v>
      </c>
      <c r="H45" s="21">
        <f t="shared" si="160"/>
        <v>3</v>
      </c>
      <c r="I45" s="21">
        <f t="shared" si="161"/>
        <v>4</v>
      </c>
      <c r="J45" s="21">
        <f t="shared" si="162"/>
        <v>5</v>
      </c>
      <c r="K45" s="21">
        <f t="shared" si="163"/>
        <v>6</v>
      </c>
      <c r="L45" s="21">
        <f t="shared" si="164"/>
        <v>7</v>
      </c>
      <c r="M45" s="21">
        <f t="shared" si="165"/>
        <v>8</v>
      </c>
      <c r="N45" s="21">
        <f t="shared" si="166"/>
        <v>9</v>
      </c>
      <c r="O45" s="21">
        <f t="shared" si="167"/>
        <v>10</v>
      </c>
      <c r="P45" s="21">
        <f t="shared" si="168"/>
        <v>11</v>
      </c>
      <c r="Q45" s="21">
        <f t="shared" si="169"/>
        <v>12</v>
      </c>
      <c r="R45" s="21">
        <f t="shared" si="170"/>
        <v>13</v>
      </c>
      <c r="S45" s="21">
        <f t="shared" si="171"/>
        <v>14</v>
      </c>
      <c r="T45" s="21">
        <f t="shared" si="172"/>
        <v>15</v>
      </c>
      <c r="U45" s="21">
        <f t="shared" si="173"/>
        <v>16</v>
      </c>
      <c r="V45" s="21">
        <f t="shared" si="174"/>
        <v>17</v>
      </c>
      <c r="W45" s="21">
        <f t="shared" si="175"/>
        <v>18</v>
      </c>
      <c r="X45" s="21">
        <f t="shared" si="176"/>
        <v>19</v>
      </c>
      <c r="Y45" s="21">
        <f t="shared" si="177"/>
        <v>20</v>
      </c>
      <c r="Z45" s="21">
        <f t="shared" si="178"/>
        <v>21</v>
      </c>
      <c r="AA45" s="21">
        <f t="shared" si="179"/>
        <v>22</v>
      </c>
      <c r="AB45" s="21">
        <f t="shared" si="180"/>
        <v>23</v>
      </c>
      <c r="AC45" s="21">
        <f t="shared" si="181"/>
        <v>24</v>
      </c>
      <c r="AD45" s="21">
        <f t="shared" si="182"/>
        <v>25</v>
      </c>
      <c r="AE45" s="21">
        <f t="shared" si="183"/>
        <v>26</v>
      </c>
      <c r="AF45" s="21">
        <f t="shared" si="184"/>
        <v>27</v>
      </c>
      <c r="AG45" s="21">
        <f t="shared" si="185"/>
        <v>28</v>
      </c>
      <c r="AH45" s="21">
        <f t="shared" si="186"/>
        <v>29</v>
      </c>
      <c r="AI45" s="21">
        <f t="shared" si="187"/>
        <v>30</v>
      </c>
      <c r="AJ45" s="21">
        <f t="shared" si="188"/>
        <v>31</v>
      </c>
      <c r="AK45" s="21">
        <f t="shared" si="189"/>
        <v>32</v>
      </c>
      <c r="AL45" s="21">
        <f t="shared" si="190"/>
        <v>33</v>
      </c>
      <c r="AM45" s="21">
        <f t="shared" si="191"/>
        <v>34</v>
      </c>
      <c r="AN45" s="21">
        <f t="shared" si="192"/>
        <v>35</v>
      </c>
      <c r="AO45" s="21">
        <f t="shared" si="193"/>
        <v>36</v>
      </c>
      <c r="AP45" s="21">
        <f t="shared" si="194"/>
        <v>37</v>
      </c>
      <c r="AQ45" s="21">
        <f t="shared" si="195"/>
        <v>38</v>
      </c>
      <c r="AR45" s="21">
        <f t="shared" si="196"/>
        <v>39</v>
      </c>
      <c r="AS45" s="21">
        <f t="shared" si="197"/>
        <v>40</v>
      </c>
      <c r="AT45" s="21">
        <f t="shared" si="198"/>
        <v>41</v>
      </c>
      <c r="AU45" s="21">
        <f t="shared" si="199"/>
        <v>42</v>
      </c>
      <c r="AV45" s="21">
        <f t="shared" si="200"/>
        <v>43</v>
      </c>
      <c r="AW45" s="21">
        <f t="shared" si="201"/>
        <v>44</v>
      </c>
      <c r="AX45" s="21">
        <f t="shared" si="202"/>
        <v>45</v>
      </c>
      <c r="AY45" s="21">
        <f t="shared" si="203"/>
        <v>46</v>
      </c>
      <c r="AZ45" s="21">
        <f t="shared" si="204"/>
        <v>47</v>
      </c>
      <c r="BA45" s="21">
        <f t="shared" si="205"/>
        <v>48</v>
      </c>
      <c r="BB45" s="21">
        <f t="shared" si="206"/>
        <v>49</v>
      </c>
      <c r="BC45" s="21"/>
      <c r="BE45" s="368"/>
      <c r="BF45" s="353">
        <v>1</v>
      </c>
      <c r="BG45" s="37" t="s">
        <v>59</v>
      </c>
    </row>
    <row r="46" spans="1:73" ht="14.4" x14ac:dyDescent="0.3">
      <c r="B46" s="364"/>
      <c r="C46" s="9" t="s">
        <v>78</v>
      </c>
      <c r="D46" s="365"/>
      <c r="E46" s="351"/>
      <c r="F46" s="21">
        <f t="shared" si="158"/>
        <v>1</v>
      </c>
      <c r="G46" s="21">
        <f t="shared" si="106"/>
        <v>2</v>
      </c>
      <c r="H46" s="21">
        <f t="shared" si="160"/>
        <v>3</v>
      </c>
      <c r="I46" s="21">
        <f t="shared" si="161"/>
        <v>4</v>
      </c>
      <c r="J46" s="21">
        <f t="shared" si="162"/>
        <v>5</v>
      </c>
      <c r="K46" s="21">
        <f t="shared" si="163"/>
        <v>6</v>
      </c>
      <c r="L46" s="21">
        <f t="shared" si="164"/>
        <v>7</v>
      </c>
      <c r="M46" s="21">
        <f t="shared" si="165"/>
        <v>8</v>
      </c>
      <c r="N46" s="21">
        <f t="shared" si="166"/>
        <v>9</v>
      </c>
      <c r="O46" s="21">
        <f t="shared" si="167"/>
        <v>10</v>
      </c>
      <c r="P46" s="21">
        <f t="shared" si="168"/>
        <v>11</v>
      </c>
      <c r="Q46" s="21">
        <f t="shared" si="169"/>
        <v>12</v>
      </c>
      <c r="R46" s="21">
        <f t="shared" si="170"/>
        <v>13</v>
      </c>
      <c r="S46" s="21">
        <f t="shared" si="171"/>
        <v>14</v>
      </c>
      <c r="T46" s="21">
        <f t="shared" si="172"/>
        <v>15</v>
      </c>
      <c r="U46" s="21">
        <f t="shared" si="173"/>
        <v>16</v>
      </c>
      <c r="V46" s="21">
        <f t="shared" si="174"/>
        <v>17</v>
      </c>
      <c r="W46" s="21">
        <f t="shared" si="175"/>
        <v>18</v>
      </c>
      <c r="X46" s="21">
        <f t="shared" si="176"/>
        <v>19</v>
      </c>
      <c r="Y46" s="21">
        <f t="shared" si="177"/>
        <v>20</v>
      </c>
      <c r="Z46" s="21">
        <f t="shared" si="178"/>
        <v>21</v>
      </c>
      <c r="AA46" s="21">
        <f t="shared" si="179"/>
        <v>22</v>
      </c>
      <c r="AB46" s="21">
        <f t="shared" si="180"/>
        <v>23</v>
      </c>
      <c r="AC46" s="21">
        <f t="shared" si="181"/>
        <v>24</v>
      </c>
      <c r="AD46" s="21">
        <f t="shared" si="182"/>
        <v>25</v>
      </c>
      <c r="AE46" s="21">
        <f t="shared" si="183"/>
        <v>26</v>
      </c>
      <c r="AF46" s="21">
        <f t="shared" si="184"/>
        <v>27</v>
      </c>
      <c r="AG46" s="21">
        <f t="shared" si="185"/>
        <v>28</v>
      </c>
      <c r="AH46" s="21">
        <f t="shared" si="186"/>
        <v>29</v>
      </c>
      <c r="AI46" s="21">
        <f t="shared" si="187"/>
        <v>30</v>
      </c>
      <c r="AJ46" s="21">
        <f t="shared" si="188"/>
        <v>31</v>
      </c>
      <c r="AK46" s="21">
        <f t="shared" si="189"/>
        <v>32</v>
      </c>
      <c r="AL46" s="21">
        <f t="shared" si="190"/>
        <v>33</v>
      </c>
      <c r="AM46" s="21">
        <f t="shared" si="191"/>
        <v>34</v>
      </c>
      <c r="AN46" s="21">
        <f t="shared" si="192"/>
        <v>35</v>
      </c>
      <c r="AO46" s="21">
        <f t="shared" si="193"/>
        <v>36</v>
      </c>
      <c r="AP46" s="21">
        <f t="shared" si="194"/>
        <v>37</v>
      </c>
      <c r="AQ46" s="21">
        <f t="shared" si="195"/>
        <v>38</v>
      </c>
      <c r="AR46" s="21">
        <f t="shared" si="196"/>
        <v>39</v>
      </c>
      <c r="AS46" s="21">
        <f t="shared" si="197"/>
        <v>40</v>
      </c>
      <c r="AT46" s="21">
        <f t="shared" si="198"/>
        <v>41</v>
      </c>
      <c r="AU46" s="21">
        <f t="shared" si="199"/>
        <v>42</v>
      </c>
      <c r="AV46" s="21">
        <f t="shared" si="200"/>
        <v>43</v>
      </c>
      <c r="AW46" s="21">
        <f t="shared" si="201"/>
        <v>44</v>
      </c>
      <c r="AX46" s="21">
        <f t="shared" si="202"/>
        <v>45</v>
      </c>
      <c r="AY46" s="21">
        <f t="shared" si="203"/>
        <v>46</v>
      </c>
      <c r="AZ46" s="21">
        <f t="shared" si="204"/>
        <v>47</v>
      </c>
      <c r="BA46" s="21">
        <f t="shared" si="205"/>
        <v>48</v>
      </c>
      <c r="BB46" s="21">
        <f t="shared" si="206"/>
        <v>49</v>
      </c>
      <c r="BC46" s="21"/>
      <c r="BE46" s="368"/>
      <c r="BF46" s="353">
        <v>1</v>
      </c>
      <c r="BG46" s="37" t="s">
        <v>59</v>
      </c>
    </row>
    <row r="47" spans="1:73" ht="14.4" hidden="1" x14ac:dyDescent="0.3">
      <c r="A47" s="16" t="s">
        <v>50</v>
      </c>
      <c r="B47" s="16"/>
      <c r="C47" s="31" t="s">
        <v>79</v>
      </c>
      <c r="D47" s="351"/>
      <c r="E47" s="35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row>
    <row r="48" spans="1:73" ht="14.4" hidden="1" customHeight="1" x14ac:dyDescent="0.3">
      <c r="B48" s="364" t="s">
        <v>80</v>
      </c>
      <c r="C48" s="9" t="s">
        <v>81</v>
      </c>
      <c r="D48" s="365" t="s">
        <v>53</v>
      </c>
      <c r="E48" s="351"/>
      <c r="F48" s="21">
        <v>6.6984678397165434</v>
      </c>
      <c r="G48" s="21">
        <v>6.0018373223492016</v>
      </c>
      <c r="H48" s="21">
        <v>5.4705201528142373</v>
      </c>
      <c r="I48" s="21">
        <v>5.0935780408448093</v>
      </c>
      <c r="J48" s="21">
        <v>4.9919030829728364</v>
      </c>
      <c r="K48" s="21">
        <v>4.8946784777821017</v>
      </c>
      <c r="L48" s="21">
        <v>4.8016253433470659</v>
      </c>
      <c r="M48" s="21">
        <v>4.7124820619653311</v>
      </c>
      <c r="N48" s="21">
        <v>4.6270069858641216</v>
      </c>
      <c r="O48" s="21">
        <v>4.5450103646606683</v>
      </c>
      <c r="P48" s="21">
        <v>4.4662328985972239</v>
      </c>
      <c r="Q48" s="21">
        <v>4.3905125078618932</v>
      </c>
      <c r="R48" s="21">
        <v>4.3176768097444773</v>
      </c>
      <c r="S48" s="21">
        <v>4.2475647058335593</v>
      </c>
      <c r="T48" s="21">
        <v>4.1800273425078922</v>
      </c>
      <c r="U48" s="21">
        <v>4.1149214386875759</v>
      </c>
      <c r="V48" s="21">
        <v>4.0521221333349162</v>
      </c>
      <c r="W48" s="21">
        <v>3.9915095067448116</v>
      </c>
      <c r="X48" s="21">
        <v>3.9329723101192053</v>
      </c>
      <c r="Y48" s="21">
        <v>3.8764059222235696</v>
      </c>
      <c r="Z48" s="21">
        <v>3.8217128094621264</v>
      </c>
      <c r="AA48" s="21">
        <v>3.768803057726779</v>
      </c>
      <c r="AB48" s="21">
        <v>3.7175904837433071</v>
      </c>
      <c r="AC48" s="21">
        <v>3.6679960207896825</v>
      </c>
      <c r="AD48" s="21">
        <v>3.6199439752744254</v>
      </c>
      <c r="AE48" s="21">
        <v>3.5733648960882007</v>
      </c>
      <c r="AF48" s="21">
        <v>3.5281923377491586</v>
      </c>
      <c r="AG48" s="21">
        <v>3.4843639763754277</v>
      </c>
      <c r="AH48" s="21">
        <v>3.4418212502836663</v>
      </c>
      <c r="AI48" s="21">
        <v>3.4005086977719436</v>
      </c>
      <c r="AJ48" s="21">
        <v>3.3603746042624643</v>
      </c>
      <c r="AK48" s="21">
        <v>3.3213695784044184</v>
      </c>
      <c r="AL48" s="21">
        <v>3.2834470460749641</v>
      </c>
      <c r="AM48" s="21">
        <v>3.2465630468808113</v>
      </c>
      <c r="AN48" s="21">
        <v>3.2106759076289975</v>
      </c>
      <c r="AO48" s="21">
        <v>3.1757462756089985</v>
      </c>
      <c r="AP48" s="21">
        <v>3.1417366897754402</v>
      </c>
      <c r="AQ48" s="21">
        <v>3.108611678084912</v>
      </c>
      <c r="AR48" s="21">
        <v>3.0763375752879822</v>
      </c>
      <c r="AS48" s="21">
        <v>3.0448824026223607</v>
      </c>
      <c r="AT48" s="21">
        <v>3.0142157542566141</v>
      </c>
      <c r="AU48" s="21">
        <v>2.9843087129348231</v>
      </c>
      <c r="AV48" s="21">
        <v>2.9551337590913773</v>
      </c>
      <c r="AW48" s="21">
        <v>2.9266646904147255</v>
      </c>
      <c r="AX48" s="21">
        <v>2.8988765367669269</v>
      </c>
      <c r="AY48" s="21">
        <v>2.871745493185565</v>
      </c>
      <c r="AZ48" s="21">
        <v>2.8452488472940414</v>
      </c>
      <c r="BA48" s="21">
        <v>2.8193649244926537</v>
      </c>
      <c r="BB48" s="21">
        <v>2.7940730261861955</v>
      </c>
      <c r="BC48" s="21"/>
    </row>
    <row r="49" spans="1:73" ht="14.4" hidden="1" x14ac:dyDescent="0.3">
      <c r="B49" s="364"/>
      <c r="C49" s="9" t="s">
        <v>82</v>
      </c>
      <c r="D49" s="365"/>
      <c r="E49" s="351"/>
      <c r="F49" s="21">
        <v>3.2098021176834997</v>
      </c>
      <c r="G49" s="21">
        <v>2.7385546070991644</v>
      </c>
      <c r="H49" s="21">
        <v>3.6557739979613659</v>
      </c>
      <c r="I49" s="21">
        <v>3.2235155009549876</v>
      </c>
      <c r="J49" s="21">
        <v>3.1348816871350547</v>
      </c>
      <c r="K49" s="21">
        <v>2.9992197461485248</v>
      </c>
      <c r="L49" s="21">
        <v>2.8952410818092496</v>
      </c>
      <c r="M49" s="21">
        <v>2.8323534823587502</v>
      </c>
      <c r="N49" s="21">
        <v>2.7639211270733393</v>
      </c>
      <c r="O49" s="21">
        <v>2.6652296792378105</v>
      </c>
      <c r="P49" s="21">
        <v>2.6031455553958258</v>
      </c>
      <c r="Q49" s="21">
        <v>2.5286031434854803</v>
      </c>
      <c r="R49" s="21">
        <v>2.4780189009949556</v>
      </c>
      <c r="S49" s="21">
        <v>2.4301370931519131</v>
      </c>
      <c r="T49" s="21">
        <v>2.4301956030192464</v>
      </c>
      <c r="U49" s="21">
        <v>2.4176986624231929</v>
      </c>
      <c r="V49" s="21">
        <v>2.3863198941965642</v>
      </c>
      <c r="W49" s="21">
        <v>2.4008021107024256</v>
      </c>
      <c r="X49" s="21">
        <v>2.4113723280455024</v>
      </c>
      <c r="Y49" s="21">
        <v>2.4133786369052759</v>
      </c>
      <c r="Z49" s="21">
        <v>2.4127557855206496</v>
      </c>
      <c r="AA49" s="21">
        <v>2.4102921198438052</v>
      </c>
      <c r="AB49" s="21">
        <v>2.4074763406332176</v>
      </c>
      <c r="AC49" s="21">
        <v>2.406023421198737</v>
      </c>
      <c r="AD49" s="21">
        <v>2.4088646736935297</v>
      </c>
      <c r="AE49" s="21">
        <v>2.4100205601805444</v>
      </c>
      <c r="AF49" s="21">
        <v>2.4098275736260457</v>
      </c>
      <c r="AG49" s="21">
        <v>2.4093213105045241</v>
      </c>
      <c r="AH49" s="21">
        <v>2.4088314848954067</v>
      </c>
      <c r="AI49" s="21">
        <v>2.4086229138971333</v>
      </c>
      <c r="AJ49" s="21">
        <v>2.408786761186271</v>
      </c>
      <c r="AK49" s="21">
        <v>2.4091820627585179</v>
      </c>
      <c r="AL49" s="21">
        <v>2.4092274355635679</v>
      </c>
      <c r="AM49" s="21">
        <v>2.4091141685332635</v>
      </c>
      <c r="AN49" s="21">
        <v>2.4090122775165157</v>
      </c>
      <c r="AO49" s="21">
        <v>2.4089681345147724</v>
      </c>
      <c r="AP49" s="21">
        <v>2.4089876624817497</v>
      </c>
      <c r="AQ49" s="21">
        <v>2.4090397807393327</v>
      </c>
      <c r="AR49" s="21">
        <v>2.4090759285516299</v>
      </c>
      <c r="AS49" s="21">
        <v>2.4090607658977938</v>
      </c>
      <c r="AT49" s="21">
        <v>2.4090369582595113</v>
      </c>
      <c r="AU49" s="21">
        <v>2.409025929522933</v>
      </c>
      <c r="AV49" s="21">
        <v>2.4090278798349618</v>
      </c>
      <c r="AW49" s="21">
        <v>2.4090364146782082</v>
      </c>
      <c r="AX49" s="21">
        <v>2.4090433793409409</v>
      </c>
      <c r="AY49" s="21">
        <v>2.4090438935878735</v>
      </c>
      <c r="AZ49" s="21">
        <v>2.4090393173398601</v>
      </c>
      <c r="BA49" s="21">
        <v>2.4090362532386225</v>
      </c>
      <c r="BB49" s="21">
        <v>2.4090361524555806</v>
      </c>
      <c r="BC49" s="21"/>
    </row>
    <row r="50" spans="1:73" ht="14.4" hidden="1" x14ac:dyDescent="0.3">
      <c r="B50" s="364"/>
      <c r="C50" s="9" t="s">
        <v>83</v>
      </c>
      <c r="D50" s="365"/>
      <c r="E50" s="351"/>
      <c r="F50" s="21">
        <v>0.4330198429261099</v>
      </c>
      <c r="G50" s="21">
        <v>0.43159295067690051</v>
      </c>
      <c r="H50" s="21">
        <v>0.44668832608402792</v>
      </c>
      <c r="I50" s="21">
        <v>0.39374704377457254</v>
      </c>
      <c r="J50" s="21">
        <v>0.38504937039863518</v>
      </c>
      <c r="K50" s="21">
        <v>0.34862724186607669</v>
      </c>
      <c r="L50" s="21">
        <v>0.32064266295574728</v>
      </c>
      <c r="M50" s="21">
        <v>0.29691616883451533</v>
      </c>
      <c r="N50" s="21">
        <v>0.25845119379971715</v>
      </c>
      <c r="O50" s="21">
        <v>0.27763515588733823</v>
      </c>
      <c r="P50" s="21">
        <v>0.25155961573165841</v>
      </c>
      <c r="Q50" s="21">
        <v>0.23092592955901015</v>
      </c>
      <c r="R50" s="21">
        <v>0.21381498005782618</v>
      </c>
      <c r="S50" s="21">
        <v>0.20067573170378139</v>
      </c>
      <c r="T50" s="21">
        <v>0.19157143607023563</v>
      </c>
      <c r="U50" s="21">
        <v>0.17737226824853278</v>
      </c>
      <c r="V50" s="21">
        <v>0.16493137792091275</v>
      </c>
      <c r="W50" s="21">
        <v>0.15429686930859524</v>
      </c>
      <c r="X50" s="21">
        <v>0.14463062146610195</v>
      </c>
      <c r="Y50" s="21">
        <v>0.13548931101606349</v>
      </c>
      <c r="Z50" s="21">
        <v>0.12643113661062405</v>
      </c>
      <c r="AA50" s="21">
        <v>0.11814050893937304</v>
      </c>
      <c r="AB50" s="21">
        <v>0.11047138734438075</v>
      </c>
      <c r="AC50" s="21">
        <v>0.1033127709629886</v>
      </c>
      <c r="AD50" s="21">
        <v>9.6595293092409801E-2</v>
      </c>
      <c r="AE50" s="21">
        <v>9.0274833666244364E-2</v>
      </c>
      <c r="AF50" s="21">
        <v>8.4389925029880214E-2</v>
      </c>
      <c r="AG50" s="21">
        <v>7.8893640001646989E-2</v>
      </c>
      <c r="AH50" s="21">
        <v>7.375118620645707E-2</v>
      </c>
      <c r="AI50" s="21">
        <v>7.0324557048893455E-2</v>
      </c>
      <c r="AJ50" s="21">
        <v>6.6915922325861452E-2</v>
      </c>
      <c r="AK50" s="21">
        <v>6.3653047458118367E-2</v>
      </c>
      <c r="AL50" s="21">
        <v>6.0563366433471294E-2</v>
      </c>
      <c r="AM50" s="21">
        <v>5.7614570500071925E-2</v>
      </c>
      <c r="AN50" s="21">
        <v>5.4818242135006391E-2</v>
      </c>
      <c r="AO50" s="21">
        <v>5.2112944712505743E-2</v>
      </c>
      <c r="AP50" s="21">
        <v>4.9534824373015686E-2</v>
      </c>
      <c r="AQ50" s="21">
        <v>4.7077983329562867E-2</v>
      </c>
      <c r="AR50" s="21">
        <v>4.4733789158070351E-2</v>
      </c>
      <c r="AS50" s="21">
        <v>4.2494911884577997E-2</v>
      </c>
      <c r="AT50" s="21">
        <v>4.0359283693628997E-2</v>
      </c>
      <c r="AU50" s="21">
        <v>3.8323470709799412E-2</v>
      </c>
      <c r="AV50" s="21">
        <v>3.6383489457950613E-2</v>
      </c>
      <c r="AW50" s="21">
        <v>3.4533857826029357E-2</v>
      </c>
      <c r="AX50" s="21">
        <v>3.2770892281699618E-2</v>
      </c>
      <c r="AY50" s="21">
        <v>3.1090491277909884E-2</v>
      </c>
      <c r="AZ50" s="21">
        <v>2.9490246566905381E-2</v>
      </c>
      <c r="BA50" s="21">
        <v>2.7966504111753426E-2</v>
      </c>
      <c r="BB50" s="21">
        <v>2.651580227932655E-2</v>
      </c>
      <c r="BC50" s="21"/>
    </row>
    <row r="51" spans="1:73" ht="14.4" hidden="1" x14ac:dyDescent="0.3">
      <c r="B51" s="364"/>
      <c r="C51" s="9" t="s">
        <v>84</v>
      </c>
      <c r="D51" s="365"/>
      <c r="E51" s="351"/>
      <c r="F51" s="21">
        <v>0.99800993647693625</v>
      </c>
      <c r="G51" s="21">
        <v>0.99796766718262742</v>
      </c>
      <c r="H51" s="21">
        <v>0.99815717659247238</v>
      </c>
      <c r="I51" s="21">
        <v>0.99759692367581976</v>
      </c>
      <c r="J51" s="21">
        <v>0.99754914168332465</v>
      </c>
      <c r="K51" s="21">
        <v>0.99755158654092679</v>
      </c>
      <c r="L51" s="21">
        <v>0.99755402896563738</v>
      </c>
      <c r="M51" s="21">
        <v>0.99755646895986561</v>
      </c>
      <c r="N51" s="21">
        <v>0.9975589065260182</v>
      </c>
      <c r="O51" s="21">
        <v>0.99756134166649924</v>
      </c>
      <c r="P51" s="21">
        <v>0.9975637743837108</v>
      </c>
      <c r="Q51" s="21">
        <v>0.99756620468005264</v>
      </c>
      <c r="R51" s="21">
        <v>0.99756863255792172</v>
      </c>
      <c r="S51" s="21">
        <v>0.99757105801971335</v>
      </c>
      <c r="T51" s="21">
        <v>0.99757348106782007</v>
      </c>
      <c r="U51" s="21">
        <v>0.99757590170463184</v>
      </c>
      <c r="V51" s="21">
        <v>0.99757831993253665</v>
      </c>
      <c r="W51" s="21">
        <v>0.99758073575392003</v>
      </c>
      <c r="X51" s="21">
        <v>0.99758314917116542</v>
      </c>
      <c r="Y51" s="21">
        <v>0.99758556018665323</v>
      </c>
      <c r="Z51" s="21">
        <v>0.99758796880276246</v>
      </c>
      <c r="AA51" s="21">
        <v>0.9975903750218692</v>
      </c>
      <c r="AB51" s="21">
        <v>0.99759277884634701</v>
      </c>
      <c r="AC51" s="21">
        <v>0.99759518027856786</v>
      </c>
      <c r="AD51" s="21">
        <v>0.99759757932090054</v>
      </c>
      <c r="AE51" s="21">
        <v>0.99759997597571248</v>
      </c>
      <c r="AF51" s="21">
        <v>0.99760237024536758</v>
      </c>
      <c r="AG51" s="21">
        <v>0.99760476213222871</v>
      </c>
      <c r="AH51" s="21">
        <v>0.99760715163865543</v>
      </c>
      <c r="AI51" s="21">
        <v>0.99760953876700553</v>
      </c>
      <c r="AJ51" s="21">
        <v>0.99761192351963435</v>
      </c>
      <c r="AK51" s="21">
        <v>0.99761430589889466</v>
      </c>
      <c r="AL51" s="21">
        <v>0.99761668590713737</v>
      </c>
      <c r="AM51" s="21">
        <v>0.99761906354671093</v>
      </c>
      <c r="AN51" s="21">
        <v>0.99762143881996124</v>
      </c>
      <c r="AO51" s="21">
        <v>0.99762381172923198</v>
      </c>
      <c r="AP51" s="21">
        <v>0.99762618227686495</v>
      </c>
      <c r="AQ51" s="21">
        <v>0.99762855046519916</v>
      </c>
      <c r="AR51" s="21">
        <v>0.99763091629657141</v>
      </c>
      <c r="AS51" s="21">
        <v>0.99763327977331662</v>
      </c>
      <c r="AT51" s="21">
        <v>0.9976356408977668</v>
      </c>
      <c r="AU51" s="21">
        <v>0.99763799967225208</v>
      </c>
      <c r="AV51" s="21">
        <v>0.99764035609910007</v>
      </c>
      <c r="AW51" s="21">
        <v>0.99764271018063633</v>
      </c>
      <c r="AX51" s="21">
        <v>0.99764506191918423</v>
      </c>
      <c r="AY51" s="21">
        <v>0.99764741131706447</v>
      </c>
      <c r="AZ51" s="21">
        <v>0.99764975837659553</v>
      </c>
      <c r="BA51" s="21">
        <v>0.99765210310009389</v>
      </c>
      <c r="BB51" s="21">
        <v>0.9976544454898737</v>
      </c>
      <c r="BC51" s="21"/>
    </row>
    <row r="52" spans="1:73" ht="14.4" hidden="1" x14ac:dyDescent="0.3">
      <c r="B52" s="364"/>
      <c r="C52" s="9" t="s">
        <v>85</v>
      </c>
      <c r="D52" s="365"/>
      <c r="E52" s="351"/>
      <c r="F52" s="21">
        <v>0.96868680381906702</v>
      </c>
      <c r="G52" s="21">
        <v>0.96934970456791281</v>
      </c>
      <c r="H52" s="21">
        <v>0.96922940351455178</v>
      </c>
      <c r="I52" s="21">
        <v>0.96510874717207618</v>
      </c>
      <c r="J52" s="21">
        <v>0.96273143005731243</v>
      </c>
      <c r="K52" s="21">
        <v>0.95832470311137807</v>
      </c>
      <c r="L52" s="21">
        <v>0.95420204689640942</v>
      </c>
      <c r="M52" s="21">
        <v>0.95016897858606364</v>
      </c>
      <c r="N52" s="21">
        <v>0.94608650490964408</v>
      </c>
      <c r="O52" s="21">
        <v>0.9541487951472496</v>
      </c>
      <c r="P52" s="21">
        <v>0.95247981142874139</v>
      </c>
      <c r="Q52" s="21">
        <v>0.95137518115735831</v>
      </c>
      <c r="R52" s="21">
        <v>0.9508326045899117</v>
      </c>
      <c r="S52" s="21">
        <v>0.95099026858217794</v>
      </c>
      <c r="T52" s="21">
        <v>0.95200962491672514</v>
      </c>
      <c r="U52" s="21">
        <v>0.95155056472511745</v>
      </c>
      <c r="V52" s="21">
        <v>0.95132626668965325</v>
      </c>
      <c r="W52" s="21">
        <v>0.95132963083078059</v>
      </c>
      <c r="X52" s="21">
        <v>0.95143996222510518</v>
      </c>
      <c r="Y52" s="21">
        <v>0.95153439535954687</v>
      </c>
      <c r="Z52" s="21">
        <v>0.9514415099762642</v>
      </c>
      <c r="AA52" s="21">
        <v>0.9514185559482794</v>
      </c>
      <c r="AB52" s="21">
        <v>0.95143106911037767</v>
      </c>
      <c r="AC52" s="21">
        <v>0.95144918684810587</v>
      </c>
      <c r="AD52" s="21">
        <v>0.95145407389841941</v>
      </c>
      <c r="AE52" s="21">
        <v>0.95143960930489679</v>
      </c>
      <c r="AF52" s="21">
        <v>0.95143950355597173</v>
      </c>
      <c r="AG52" s="21">
        <v>0.95144337212485397</v>
      </c>
      <c r="AH52" s="21">
        <v>0.95144516531752388</v>
      </c>
      <c r="AI52" s="21">
        <v>0.95144376195359059</v>
      </c>
      <c r="AJ52" s="21">
        <v>0.95144186451472657</v>
      </c>
      <c r="AK52" s="21">
        <v>0.95144281439616529</v>
      </c>
      <c r="AL52" s="21">
        <v>0.95144361209083872</v>
      </c>
      <c r="AM52" s="21">
        <v>0.95144358667026052</v>
      </c>
      <c r="AN52" s="21">
        <v>0.95144314784194217</v>
      </c>
      <c r="AO52" s="21">
        <v>0.95144293020077919</v>
      </c>
      <c r="AP52" s="21">
        <v>0.95144313032304884</v>
      </c>
      <c r="AQ52" s="21">
        <v>0.95144326421402348</v>
      </c>
      <c r="AR52" s="21">
        <v>0.95144325188451928</v>
      </c>
      <c r="AS52" s="21">
        <v>0.95144317908850629</v>
      </c>
      <c r="AT52" s="21">
        <v>0.95144315930426138</v>
      </c>
      <c r="AU52" s="21">
        <v>0.95144318586000654</v>
      </c>
      <c r="AV52" s="21">
        <v>0.95144319253593801</v>
      </c>
      <c r="AW52" s="21">
        <v>0.95144318668136296</v>
      </c>
      <c r="AX52" s="21">
        <v>0.95144318519266902</v>
      </c>
      <c r="AY52" s="21">
        <v>0.95144318951491924</v>
      </c>
      <c r="AZ52" s="21">
        <v>0.95144319092355356</v>
      </c>
      <c r="BA52" s="21">
        <v>0.95144318747496504</v>
      </c>
      <c r="BB52" s="21">
        <v>0.95144318508322379</v>
      </c>
      <c r="BC52" s="21"/>
    </row>
    <row r="53" spans="1:73" ht="14.4" hidden="1" x14ac:dyDescent="0.3">
      <c r="B53" s="364"/>
      <c r="C53" s="9" t="s">
        <v>86</v>
      </c>
      <c r="D53" s="365"/>
      <c r="E53" s="351"/>
      <c r="F53" s="21">
        <v>1.0397805717863922</v>
      </c>
      <c r="G53" s="21">
        <v>1.036200024401321</v>
      </c>
      <c r="H53" s="21">
        <v>1.0425565305479112</v>
      </c>
      <c r="I53" s="21">
        <v>1.0390874944343083</v>
      </c>
      <c r="J53" s="21">
        <v>1.0458308943147872</v>
      </c>
      <c r="K53" s="21">
        <v>1.0461672351608744</v>
      </c>
      <c r="L53" s="21">
        <v>1.0469181211173137</v>
      </c>
      <c r="M53" s="21">
        <v>1.0474933707410918</v>
      </c>
      <c r="N53" s="21">
        <v>1.0486654321594611</v>
      </c>
      <c r="O53" s="21">
        <v>1.0443813273215368</v>
      </c>
      <c r="P53" s="21">
        <v>1.0447448155625332</v>
      </c>
      <c r="Q53" s="21">
        <v>1.0457125491083012</v>
      </c>
      <c r="R53" s="21">
        <v>1.0459391427298517</v>
      </c>
      <c r="S53" s="21">
        <v>1.0461870836833449</v>
      </c>
      <c r="T53" s="21">
        <v>1.0464221493011863</v>
      </c>
      <c r="U53" s="21">
        <v>1.0461034230590316</v>
      </c>
      <c r="V53" s="21">
        <v>1.0455067970492582</v>
      </c>
      <c r="W53" s="21">
        <v>1.0457608655916453</v>
      </c>
      <c r="X53" s="21">
        <v>1.0459692208191145</v>
      </c>
      <c r="Y53" s="21">
        <v>1.0460254622656873</v>
      </c>
      <c r="Z53" s="21">
        <v>1.0459934188022033</v>
      </c>
      <c r="AA53" s="21">
        <v>1.045945673216389</v>
      </c>
      <c r="AB53" s="21">
        <v>1.0458998945200042</v>
      </c>
      <c r="AC53" s="21">
        <v>1.0458789059068101</v>
      </c>
      <c r="AD53" s="21">
        <v>1.0459291748819124</v>
      </c>
      <c r="AE53" s="21">
        <v>1.0459458178349321</v>
      </c>
      <c r="AF53" s="21">
        <v>1.0459424619286863</v>
      </c>
      <c r="AG53" s="21">
        <v>1.0459346073912139</v>
      </c>
      <c r="AH53" s="21">
        <v>1.0459265570383123</v>
      </c>
      <c r="AI53" s="21">
        <v>1.0459226308601108</v>
      </c>
      <c r="AJ53" s="21">
        <v>1.045925026765691</v>
      </c>
      <c r="AK53" s="21">
        <v>1.045932074191672</v>
      </c>
      <c r="AL53" s="21">
        <v>1.0459330410024295</v>
      </c>
      <c r="AM53" s="21">
        <v>1.0459310785974543</v>
      </c>
      <c r="AN53" s="21">
        <v>1.0459292176777992</v>
      </c>
      <c r="AO53" s="21">
        <v>1.0459284050970252</v>
      </c>
      <c r="AP53" s="21">
        <v>1.0459287884002251</v>
      </c>
      <c r="AQ53" s="21">
        <v>1.045929719528548</v>
      </c>
      <c r="AR53" s="21">
        <v>1.0459303411713783</v>
      </c>
      <c r="AS53" s="21">
        <v>1.0459300625248682</v>
      </c>
      <c r="AT53" s="21">
        <v>1.0459296466922769</v>
      </c>
      <c r="AU53" s="21">
        <v>1.0459294622553588</v>
      </c>
      <c r="AV53" s="21">
        <v>1.0459294974809039</v>
      </c>
      <c r="AW53" s="21">
        <v>1.0459296435842289</v>
      </c>
      <c r="AX53" s="21">
        <v>1.0459297635624916</v>
      </c>
      <c r="AY53" s="21">
        <v>1.0459297734383881</v>
      </c>
      <c r="AZ53" s="21">
        <v>1.0459296947035603</v>
      </c>
      <c r="BA53" s="21">
        <v>1.0459296409773515</v>
      </c>
      <c r="BB53" s="21">
        <v>1.045929638687362</v>
      </c>
      <c r="BC53" s="21"/>
      <c r="BU53" s="9" t="s">
        <v>69</v>
      </c>
    </row>
    <row r="54" spans="1:73" ht="14.4" hidden="1" x14ac:dyDescent="0.3">
      <c r="B54" s="364"/>
      <c r="C54" s="9" t="s">
        <v>87</v>
      </c>
      <c r="D54" s="365"/>
      <c r="E54" s="351"/>
      <c r="F54" s="21">
        <v>1.000430530156478</v>
      </c>
      <c r="G54" s="21">
        <v>1.0003969929595868</v>
      </c>
      <c r="H54" s="21">
        <v>1.0004543058064816</v>
      </c>
      <c r="I54" s="21">
        <v>1.000431363111286</v>
      </c>
      <c r="J54" s="21">
        <v>1.0004962783900875</v>
      </c>
      <c r="K54" s="21">
        <v>1.0005080673994411</v>
      </c>
      <c r="L54" s="21">
        <v>1.0005230317090124</v>
      </c>
      <c r="M54" s="21">
        <v>1.0005363232700517</v>
      </c>
      <c r="N54" s="21">
        <v>1.0005550500210132</v>
      </c>
      <c r="O54" s="21">
        <v>1.0005006297082248</v>
      </c>
      <c r="P54" s="21">
        <v>1.0005072477586687</v>
      </c>
      <c r="Q54" s="21">
        <v>1.0005180893623451</v>
      </c>
      <c r="R54" s="21">
        <v>1.0005212052931549</v>
      </c>
      <c r="S54" s="21">
        <v>1.0005230821632802</v>
      </c>
      <c r="T54" s="21">
        <v>1.0005230893710331</v>
      </c>
      <c r="U54" s="21">
        <v>1.0005211988426086</v>
      </c>
      <c r="V54" s="21">
        <v>1.0005163631469607</v>
      </c>
      <c r="W54" s="21">
        <v>1.0005186108214605</v>
      </c>
      <c r="X54" s="21">
        <v>1.0005202341372155</v>
      </c>
      <c r="Y54" s="21">
        <v>1.000520540534376</v>
      </c>
      <c r="Z54" s="21">
        <v>1.0005204455689083</v>
      </c>
      <c r="AA54" s="21">
        <v>1.0005200689137037</v>
      </c>
      <c r="AB54" s="21">
        <v>1.0005196374212881</v>
      </c>
      <c r="AC54" s="21">
        <v>1.0005194143614975</v>
      </c>
      <c r="AD54" s="21">
        <v>1.0005198502508077</v>
      </c>
      <c r="AE54" s="21">
        <v>1.0005200273123935</v>
      </c>
      <c r="AF54" s="21">
        <v>1.0005199977659973</v>
      </c>
      <c r="AG54" s="21">
        <v>1.0005199202277058</v>
      </c>
      <c r="AH54" s="21">
        <v>1.0005198451790076</v>
      </c>
      <c r="AI54" s="21">
        <v>1.0005198132169162</v>
      </c>
      <c r="AJ54" s="21">
        <v>1.0005198383305824</v>
      </c>
      <c r="AK54" s="21">
        <v>1.000519898897624</v>
      </c>
      <c r="AL54" s="21">
        <v>1.0005199058471697</v>
      </c>
      <c r="AM54" s="21">
        <v>1.0005198884949971</v>
      </c>
      <c r="AN54" s="21">
        <v>1.0005198728848563</v>
      </c>
      <c r="AO54" s="21">
        <v>1.0005198661215924</v>
      </c>
      <c r="AP54" s="21">
        <v>1.0005198691133901</v>
      </c>
      <c r="AQ54" s="21">
        <v>1.0005198770986012</v>
      </c>
      <c r="AR54" s="21">
        <v>1.0005198826368897</v>
      </c>
      <c r="AS54" s="21">
        <v>1.0005198803139279</v>
      </c>
      <c r="AT54" s="21">
        <v>1.0005198766663219</v>
      </c>
      <c r="AU54" s="21">
        <v>1.0005198749765114</v>
      </c>
      <c r="AV54" s="21">
        <v>1.0005198752753193</v>
      </c>
      <c r="AW54" s="21">
        <v>1.0005198765829946</v>
      </c>
      <c r="AX54" s="21">
        <v>1.000519877650081</v>
      </c>
      <c r="AY54" s="21">
        <v>1.0005198777288637</v>
      </c>
      <c r="AZ54" s="21">
        <v>1.0005198770277171</v>
      </c>
      <c r="BA54" s="21">
        <v>1.0005198765582586</v>
      </c>
      <c r="BB54" s="21">
        <v>1.0005198765428207</v>
      </c>
      <c r="BC54" s="21"/>
    </row>
    <row r="55" spans="1:73" ht="14.4" hidden="1" customHeight="1" x14ac:dyDescent="0.3">
      <c r="B55" s="364"/>
      <c r="C55" s="9" t="s">
        <v>88</v>
      </c>
      <c r="D55" s="365"/>
      <c r="E55" s="351"/>
      <c r="F55" s="21">
        <v>1.4698317193177681</v>
      </c>
      <c r="G55" s="21">
        <v>1.239910935498284</v>
      </c>
      <c r="H55" s="21">
        <v>1.8845958382859724</v>
      </c>
      <c r="I55" s="21">
        <v>1.1232909519807708</v>
      </c>
      <c r="J55" s="21">
        <v>1.4030443521933986</v>
      </c>
      <c r="K55" s="21">
        <v>1.0850716804395599</v>
      </c>
      <c r="L55" s="21">
        <v>0.90925641622456221</v>
      </c>
      <c r="M55" s="21">
        <v>0.77948294640782734</v>
      </c>
      <c r="N55" s="21">
        <v>0.59537900691075452</v>
      </c>
      <c r="O55" s="21">
        <v>0.61509179862115437</v>
      </c>
      <c r="P55" s="21">
        <v>0.51353736713557385</v>
      </c>
      <c r="Q55" s="21">
        <v>0.44702617465232075</v>
      </c>
      <c r="R55" s="21">
        <v>0.39274568095168166</v>
      </c>
      <c r="S55" s="21">
        <v>0.35429776252743217</v>
      </c>
      <c r="T55" s="21">
        <v>0.32880687993180824</v>
      </c>
      <c r="U55" s="21">
        <v>0.29119220046991656</v>
      </c>
      <c r="V55" s="21">
        <v>0.2601249957011369</v>
      </c>
      <c r="W55" s="21">
        <v>0.23682760125798316</v>
      </c>
      <c r="X55" s="21">
        <v>0.21659176819332335</v>
      </c>
      <c r="Y55" s="21">
        <v>0.19813893214475331</v>
      </c>
      <c r="Z55" s="21">
        <v>0.18063783257871741</v>
      </c>
      <c r="AA55" s="21">
        <v>0.16528420079316597</v>
      </c>
      <c r="AB55" s="21">
        <v>0.15163644725784903</v>
      </c>
      <c r="AC55" s="21">
        <v>0.139370570135814</v>
      </c>
      <c r="AD55" s="21">
        <v>0.12827774122329702</v>
      </c>
      <c r="AE55" s="21">
        <v>0.11813718697307614</v>
      </c>
      <c r="AF55" s="21">
        <v>0.10894837726404849</v>
      </c>
      <c r="AG55" s="21">
        <v>0.10058551072117959</v>
      </c>
      <c r="AH55" s="21">
        <v>9.2947507102144805E-2</v>
      </c>
      <c r="AI55" s="21">
        <v>8.595819779430236E-2</v>
      </c>
      <c r="AJ55" s="21">
        <v>7.9557403533559293E-2</v>
      </c>
      <c r="AK55" s="21">
        <v>7.3691606843347676E-2</v>
      </c>
      <c r="AL55" s="21">
        <v>6.8301910839481589E-2</v>
      </c>
      <c r="AM55" s="21">
        <v>6.3343211321035209E-2</v>
      </c>
      <c r="AN55" s="21">
        <v>5.8776790620211683E-2</v>
      </c>
      <c r="AO55" s="21">
        <v>5.4567979333404355E-2</v>
      </c>
      <c r="AP55" s="21">
        <v>5.068511054653551E-2</v>
      </c>
      <c r="AQ55" s="21">
        <v>4.709907540983746E-2</v>
      </c>
      <c r="AR55" s="21">
        <v>4.3784272707510771E-2</v>
      </c>
      <c r="AS55" s="21">
        <v>4.071787631206162E-2</v>
      </c>
      <c r="AT55" s="21">
        <v>3.7879365866542836E-2</v>
      </c>
      <c r="AU55" s="21">
        <v>3.5250057719763479E-2</v>
      </c>
      <c r="AV55" s="21">
        <v>3.2812978225157781E-2</v>
      </c>
      <c r="AW55" s="21">
        <v>3.0552783887990018E-2</v>
      </c>
      <c r="AX55" s="21">
        <v>2.845553338961276E-2</v>
      </c>
      <c r="AY55" s="21">
        <v>2.6508522638409467E-2</v>
      </c>
      <c r="AZ55" s="21">
        <v>2.4700159575382092E-2</v>
      </c>
      <c r="BA55" s="21">
        <v>2.3019858555985626E-2</v>
      </c>
      <c r="BB55" s="21">
        <v>2.1457938057838889E-2</v>
      </c>
      <c r="BC55" s="21"/>
    </row>
    <row r="56" spans="1:73" ht="14.4" hidden="1" x14ac:dyDescent="0.3">
      <c r="B56" s="364"/>
      <c r="C56" s="9" t="s">
        <v>89</v>
      </c>
      <c r="D56" s="365"/>
      <c r="E56" s="351"/>
      <c r="F56" s="21">
        <v>1.0727697620488317</v>
      </c>
      <c r="G56" s="21">
        <v>1.0634960373318096</v>
      </c>
      <c r="H56" s="21">
        <v>1.0814209509225339</v>
      </c>
      <c r="I56" s="21">
        <v>1.0661521224103601</v>
      </c>
      <c r="J56" s="21">
        <v>1.082140735796038</v>
      </c>
      <c r="K56" s="21">
        <v>1.0771746178054933</v>
      </c>
      <c r="L56" s="21">
        <v>1.0737454817358514</v>
      </c>
      <c r="M56" s="21">
        <v>1.0699186318283451</v>
      </c>
      <c r="N56" s="21">
        <v>1.0676559443426334</v>
      </c>
      <c r="O56" s="21">
        <v>1.0665745696378333</v>
      </c>
      <c r="P56" s="21">
        <v>1.0653658463623892</v>
      </c>
      <c r="Q56" s="21">
        <v>1.0665815261657707</v>
      </c>
      <c r="R56" s="21">
        <v>1.0664853019377165</v>
      </c>
      <c r="S56" s="21">
        <v>1.0673856685247638</v>
      </c>
      <c r="T56" s="21">
        <v>1.0694079373170688</v>
      </c>
      <c r="U56" s="21">
        <v>1.0679037419402049</v>
      </c>
      <c r="V56" s="21">
        <v>1.0659444579181869</v>
      </c>
      <c r="W56" s="21">
        <v>1.06665491587815</v>
      </c>
      <c r="X56" s="21">
        <v>1.0673820357708945</v>
      </c>
      <c r="Y56" s="21">
        <v>1.067665030183844</v>
      </c>
      <c r="Z56" s="21">
        <v>1.067451441724768</v>
      </c>
      <c r="AA56" s="21">
        <v>1.0672878573387896</v>
      </c>
      <c r="AB56" s="21">
        <v>1.0671772546279161</v>
      </c>
      <c r="AC56" s="21">
        <v>1.067143119728216</v>
      </c>
      <c r="AD56" s="21">
        <v>1.0672895081045233</v>
      </c>
      <c r="AE56" s="21">
        <v>1.0673164473364967</v>
      </c>
      <c r="AF56" s="21">
        <v>1.0673069687797947</v>
      </c>
      <c r="AG56" s="21">
        <v>1.0672902951161058</v>
      </c>
      <c r="AH56" s="21">
        <v>1.0672702984225411</v>
      </c>
      <c r="AI56" s="21">
        <v>1.0672574966576458</v>
      </c>
      <c r="AJ56" s="21">
        <v>1.0672616221339633</v>
      </c>
      <c r="AK56" s="21">
        <v>1.0672825006274353</v>
      </c>
      <c r="AL56" s="21">
        <v>1.0672862583991241</v>
      </c>
      <c r="AM56" s="21">
        <v>1.0672807646257165</v>
      </c>
      <c r="AN56" s="21">
        <v>1.0672749997814559</v>
      </c>
      <c r="AO56" s="21">
        <v>1.0672724477039617</v>
      </c>
      <c r="AP56" s="21">
        <v>1.0672737820188871</v>
      </c>
      <c r="AQ56" s="21">
        <v>1.0672765517957608</v>
      </c>
      <c r="AR56" s="21">
        <v>1.0672782647913461</v>
      </c>
      <c r="AS56" s="21">
        <v>1.0672773920985374</v>
      </c>
      <c r="AT56" s="21">
        <v>1.0672762087055379</v>
      </c>
      <c r="AU56" s="21">
        <v>1.0672757311275982</v>
      </c>
      <c r="AV56" s="21">
        <v>1.0672758380675336</v>
      </c>
      <c r="AW56" s="21">
        <v>1.0672762367099307</v>
      </c>
      <c r="AX56" s="21">
        <v>1.0672765685136965</v>
      </c>
      <c r="AY56" s="21">
        <v>1.0672766017763347</v>
      </c>
      <c r="AZ56" s="21">
        <v>1.0672763846105289</v>
      </c>
      <c r="BA56" s="21">
        <v>1.0672762305196686</v>
      </c>
      <c r="BB56" s="21">
        <v>1.0672762209466176</v>
      </c>
      <c r="BC56" s="21"/>
    </row>
    <row r="57" spans="1:73" ht="14.4" hidden="1" x14ac:dyDescent="0.3">
      <c r="B57" s="364"/>
      <c r="C57" s="9" t="s">
        <v>90</v>
      </c>
      <c r="D57" s="365"/>
      <c r="E57" s="351"/>
      <c r="F57" s="21">
        <v>1.5820119007627309E-2</v>
      </c>
      <c r="G57" s="21">
        <v>1.6230467323121289E-2</v>
      </c>
      <c r="H57" s="21">
        <v>1.6022868529401414E-2</v>
      </c>
      <c r="I57" s="21">
        <v>1.4269725805572682E-2</v>
      </c>
      <c r="J57" s="21">
        <v>1.3278735177123071E-2</v>
      </c>
      <c r="K57" s="21">
        <v>1.1906752708518976E-2</v>
      </c>
      <c r="L57" s="21">
        <v>1.0844248224653087E-2</v>
      </c>
      <c r="M57" s="21">
        <v>9.9681747120439427E-3</v>
      </c>
      <c r="N57" s="21">
        <v>9.0253704636695208E-3</v>
      </c>
      <c r="O57" s="21">
        <v>1.0440586742093819E-2</v>
      </c>
      <c r="P57" s="21">
        <v>9.8775690381031657E-3</v>
      </c>
      <c r="Q57" s="21">
        <v>9.4583270412066638E-3</v>
      </c>
      <c r="R57" s="21">
        <v>9.1706288114812573E-3</v>
      </c>
      <c r="S57" s="21">
        <v>9.0191693592439337E-3</v>
      </c>
      <c r="T57" s="21">
        <v>9.0288754319325822E-3</v>
      </c>
      <c r="U57" s="21">
        <v>8.7723719512708409E-3</v>
      </c>
      <c r="V57" s="21">
        <v>8.5668772599780327E-3</v>
      </c>
      <c r="W57" s="21">
        <v>8.3988747869936306E-3</v>
      </c>
      <c r="X57" s="21">
        <v>8.2525612555779185E-3</v>
      </c>
      <c r="Y57" s="21">
        <v>8.107275925346184E-3</v>
      </c>
      <c r="Z57" s="21">
        <v>7.9345684186594191E-3</v>
      </c>
      <c r="AA57" s="21">
        <v>7.7767953784661269E-3</v>
      </c>
      <c r="AB57" s="21">
        <v>7.6276759536404596E-3</v>
      </c>
      <c r="AC57" s="21">
        <v>7.4820896418981309E-3</v>
      </c>
      <c r="AD57" s="21">
        <v>7.33679421962015E-3</v>
      </c>
      <c r="AE57" s="21">
        <v>7.1916602659593586E-3</v>
      </c>
      <c r="AF57" s="21">
        <v>7.0515865619444765E-3</v>
      </c>
      <c r="AG57" s="21">
        <v>6.9148162807754028E-3</v>
      </c>
      <c r="AH57" s="21">
        <v>6.780393765851901E-3</v>
      </c>
      <c r="AI57" s="21">
        <v>6.7813136797896523E-3</v>
      </c>
      <c r="AJ57" s="21">
        <v>6.7679974751751783E-3</v>
      </c>
      <c r="AK57" s="21">
        <v>6.7526728487828742E-3</v>
      </c>
      <c r="AL57" s="21">
        <v>6.7390355103604692E-3</v>
      </c>
      <c r="AM57" s="21">
        <v>6.7244299341141555E-3</v>
      </c>
      <c r="AN57" s="21">
        <v>6.7109789672082738E-3</v>
      </c>
      <c r="AO57" s="21">
        <v>6.691871702708678E-3</v>
      </c>
      <c r="AP57" s="21">
        <v>6.6720012517901238E-3</v>
      </c>
      <c r="AQ57" s="21">
        <v>6.651341713448904E-3</v>
      </c>
      <c r="AR57" s="21">
        <v>6.6294233588621646E-3</v>
      </c>
      <c r="AS57" s="21">
        <v>6.6058482377277994E-3</v>
      </c>
      <c r="AT57" s="21">
        <v>6.5809592627229362E-3</v>
      </c>
      <c r="AU57" s="21">
        <v>6.5549132457193597E-3</v>
      </c>
      <c r="AV57" s="21">
        <v>6.5277723821899397E-3</v>
      </c>
      <c r="AW57" s="21">
        <v>6.4992986976743824E-3</v>
      </c>
      <c r="AX57" s="21">
        <v>6.4695276582420799E-3</v>
      </c>
      <c r="AY57" s="21">
        <v>6.4383848177674138E-3</v>
      </c>
      <c r="AZ57" s="21">
        <v>6.4061155040596816E-3</v>
      </c>
      <c r="BA57" s="21">
        <v>6.3726996352715982E-3</v>
      </c>
      <c r="BB57" s="21">
        <v>6.3381246153339024E-3</v>
      </c>
      <c r="BC57" s="21"/>
    </row>
    <row r="58" spans="1:73" ht="14.4" hidden="1" x14ac:dyDescent="0.3">
      <c r="B58" s="364"/>
      <c r="C58" s="9" t="s">
        <v>91</v>
      </c>
      <c r="D58" s="365"/>
      <c r="E58" s="351"/>
      <c r="F58" s="21">
        <v>0.9576209998706513</v>
      </c>
      <c r="G58" s="21">
        <v>0.95859376066542634</v>
      </c>
      <c r="H58" s="21">
        <v>0.95823547451359126</v>
      </c>
      <c r="I58" s="21">
        <v>0.95301596864486982</v>
      </c>
      <c r="J58" s="21">
        <v>0.94973777665847092</v>
      </c>
      <c r="K58" s="21">
        <v>0.94405443887585216</v>
      </c>
      <c r="L58" s="21">
        <v>0.9387389366091301</v>
      </c>
      <c r="M58" s="21">
        <v>0.93355761062844411</v>
      </c>
      <c r="N58" s="21">
        <v>0.92830933930230064</v>
      </c>
      <c r="O58" s="21">
        <v>0.93874725409645365</v>
      </c>
      <c r="P58" s="21">
        <v>0.93659735164523028</v>
      </c>
      <c r="Q58" s="21">
        <v>0.93515392648971951</v>
      </c>
      <c r="R58" s="21">
        <v>0.93445282332480339</v>
      </c>
      <c r="S58" s="21">
        <v>0.93464714031707485</v>
      </c>
      <c r="T58" s="21">
        <v>0.93594483523465521</v>
      </c>
      <c r="U58" s="21">
        <v>0.9353667013387964</v>
      </c>
      <c r="V58" s="21">
        <v>0.93509748642969437</v>
      </c>
      <c r="W58" s="21">
        <v>0.93509417999806488</v>
      </c>
      <c r="X58" s="21">
        <v>0.93522915240554827</v>
      </c>
      <c r="Y58" s="21">
        <v>0.93534833953164831</v>
      </c>
      <c r="Z58" s="21">
        <v>0.93523040870881324</v>
      </c>
      <c r="AA58" s="21">
        <v>0.93520245917598033</v>
      </c>
      <c r="AB58" s="21">
        <v>0.93521984625215204</v>
      </c>
      <c r="AC58" s="21">
        <v>0.9352436646128246</v>
      </c>
      <c r="AD58" s="21">
        <v>0.93524841398759206</v>
      </c>
      <c r="AE58" s="21">
        <v>0.93522940162883017</v>
      </c>
      <c r="AF58" s="21">
        <v>0.9352293667916205</v>
      </c>
      <c r="AG58" s="21">
        <v>0.93523455358277596</v>
      </c>
      <c r="AH58" s="21">
        <v>0.93523708989541043</v>
      </c>
      <c r="AI58" s="21">
        <v>0.9352354112718041</v>
      </c>
      <c r="AJ58" s="21">
        <v>0.93523291089705374</v>
      </c>
      <c r="AK58" s="21">
        <v>0.93523391559890723</v>
      </c>
      <c r="AL58" s="21">
        <v>0.93523490764234452</v>
      </c>
      <c r="AM58" s="21">
        <v>0.9352349338847078</v>
      </c>
      <c r="AN58" s="21">
        <v>0.93523442794995171</v>
      </c>
      <c r="AO58" s="21">
        <v>0.93523417372118089</v>
      </c>
      <c r="AP58" s="21">
        <v>0.93523441838485954</v>
      </c>
      <c r="AQ58" s="21">
        <v>0.93523456186753373</v>
      </c>
      <c r="AR58" s="21">
        <v>0.93523452746659597</v>
      </c>
      <c r="AS58" s="21">
        <v>0.93523444263821909</v>
      </c>
      <c r="AT58" s="21">
        <v>0.93523442977087679</v>
      </c>
      <c r="AU58" s="21">
        <v>0.93523446928505571</v>
      </c>
      <c r="AV58" s="21">
        <v>0.93523447677475202</v>
      </c>
      <c r="AW58" s="21">
        <v>0.9352344649050448</v>
      </c>
      <c r="AX58" s="21">
        <v>0.9352344594059262</v>
      </c>
      <c r="AY58" s="21">
        <v>0.93523446464234106</v>
      </c>
      <c r="AZ58" s="21">
        <v>0.93523446880363381</v>
      </c>
      <c r="BA58" s="21">
        <v>0.93523446599889137</v>
      </c>
      <c r="BB58" s="21">
        <v>0.93523446300619539</v>
      </c>
      <c r="BC58" s="21"/>
    </row>
    <row r="59" spans="1:73" ht="14.4" hidden="1" x14ac:dyDescent="0.3">
      <c r="B59" s="364"/>
      <c r="C59" s="9" t="s">
        <v>92</v>
      </c>
      <c r="D59" s="365"/>
      <c r="E59" s="351"/>
      <c r="F59" s="21">
        <v>2.3584342579430797</v>
      </c>
      <c r="G59" s="21">
        <v>2.1280597260175695</v>
      </c>
      <c r="H59" s="21">
        <v>2.5585592063870601</v>
      </c>
      <c r="I59" s="21">
        <v>2.3524911866531877</v>
      </c>
      <c r="J59" s="21">
        <v>2.967937582929161</v>
      </c>
      <c r="K59" s="21">
        <v>3.0918585426523122</v>
      </c>
      <c r="L59" s="21">
        <v>3.2745349943184872</v>
      </c>
      <c r="M59" s="21">
        <v>3.4528154152063264</v>
      </c>
      <c r="N59" s="21">
        <v>3.7537286667078793</v>
      </c>
      <c r="O59" s="21">
        <v>2.9730979349615749</v>
      </c>
      <c r="P59" s="21">
        <v>3.0461966263751106</v>
      </c>
      <c r="Q59" s="21">
        <v>3.184534724553115</v>
      </c>
      <c r="R59" s="21">
        <v>3.2251417907546993</v>
      </c>
      <c r="S59" s="21">
        <v>3.25339213961476</v>
      </c>
      <c r="T59" s="21">
        <v>3.2604295548793778</v>
      </c>
      <c r="U59" s="21">
        <v>3.2298466355140096</v>
      </c>
      <c r="V59" s="21">
        <v>3.1602345690524807</v>
      </c>
      <c r="W59" s="21">
        <v>3.1915549149369697</v>
      </c>
      <c r="X59" s="21">
        <v>3.2152790169748191</v>
      </c>
      <c r="Y59" s="21">
        <v>3.2202857716593134</v>
      </c>
      <c r="Z59" s="21">
        <v>3.2183098199964162</v>
      </c>
      <c r="AA59" s="21">
        <v>3.2127808905621777</v>
      </c>
      <c r="AB59" s="21">
        <v>3.2067261593834249</v>
      </c>
      <c r="AC59" s="21">
        <v>3.2036817610432262</v>
      </c>
      <c r="AD59" s="21">
        <v>3.2099024798893994</v>
      </c>
      <c r="AE59" s="21">
        <v>3.2123274508804274</v>
      </c>
      <c r="AF59" s="21">
        <v>3.2119058748988563</v>
      </c>
      <c r="AG59" s="21">
        <v>3.2108274687623615</v>
      </c>
      <c r="AH59" s="21">
        <v>3.2097714884841828</v>
      </c>
      <c r="AI59" s="21">
        <v>3.2093076628622281</v>
      </c>
      <c r="AJ59" s="21">
        <v>3.2096522784584218</v>
      </c>
      <c r="AK59" s="21">
        <v>3.2105202170305547</v>
      </c>
      <c r="AL59" s="21">
        <v>3.2106243872250313</v>
      </c>
      <c r="AM59" s="21">
        <v>3.2103772931345795</v>
      </c>
      <c r="AN59" s="21">
        <v>3.2101522896570427</v>
      </c>
      <c r="AO59" s="21">
        <v>3.2100546324563135</v>
      </c>
      <c r="AP59" s="21">
        <v>3.2100985174786478</v>
      </c>
      <c r="AQ59" s="21">
        <v>3.2102130094088834</v>
      </c>
      <c r="AR59" s="21">
        <v>3.2102917270866409</v>
      </c>
      <c r="AS59" s="21">
        <v>3.2102581943487483</v>
      </c>
      <c r="AT59" s="21">
        <v>3.2102061658938026</v>
      </c>
      <c r="AU59" s="21">
        <v>3.2101822994861937</v>
      </c>
      <c r="AV59" s="21">
        <v>3.2101865948750929</v>
      </c>
      <c r="AW59" s="21">
        <v>3.2102051612298794</v>
      </c>
      <c r="AX59" s="21">
        <v>3.2102203335956063</v>
      </c>
      <c r="AY59" s="21">
        <v>3.2102214830598044</v>
      </c>
      <c r="AZ59" s="21">
        <v>3.2102115166288812</v>
      </c>
      <c r="BA59" s="21">
        <v>3.2102048145365853</v>
      </c>
      <c r="BB59" s="21">
        <v>3.2102045790918141</v>
      </c>
      <c r="BC59" s="21"/>
    </row>
    <row r="60" spans="1:73" ht="14.4" hidden="1" x14ac:dyDescent="0.3">
      <c r="B60" s="364"/>
      <c r="C60" s="9" t="s">
        <v>93</v>
      </c>
      <c r="D60" s="365"/>
      <c r="E60" s="351"/>
      <c r="F60" s="21">
        <v>1.3444367664000472</v>
      </c>
      <c r="G60" s="21">
        <v>1.3091374646638179</v>
      </c>
      <c r="H60" s="21">
        <v>1.3707552663520679</v>
      </c>
      <c r="I60" s="21">
        <v>1.3449309081605694</v>
      </c>
      <c r="J60" s="21">
        <v>1.4188695933856414</v>
      </c>
      <c r="K60" s="21">
        <v>1.4326548128914935</v>
      </c>
      <c r="L60" s="21">
        <v>1.4507361518134452</v>
      </c>
      <c r="M60" s="21">
        <v>1.4671265153788093</v>
      </c>
      <c r="N60" s="21">
        <v>1.5060345545914273</v>
      </c>
      <c r="O60" s="21">
        <v>1.4480168243467686</v>
      </c>
      <c r="P60" s="21">
        <v>1.4700434565821503</v>
      </c>
      <c r="Q60" s="21">
        <v>1.4996205782613889</v>
      </c>
      <c r="R60" s="21">
        <v>1.5195664855272901</v>
      </c>
      <c r="S60" s="21">
        <v>1.538691462598325</v>
      </c>
      <c r="T60" s="21">
        <v>1.5557779719357083</v>
      </c>
      <c r="U60" s="21">
        <v>1.5700689471736105</v>
      </c>
      <c r="V60" s="21">
        <v>1.579612019318609</v>
      </c>
      <c r="W60" s="21">
        <v>1.6025065084569947</v>
      </c>
      <c r="X60" s="21">
        <v>1.6254283186417759</v>
      </c>
      <c r="Y60" s="21">
        <v>1.6468381127013672</v>
      </c>
      <c r="Z60" s="21">
        <v>1.6683772577964855</v>
      </c>
      <c r="AA60" s="21">
        <v>1.6903080660618639</v>
      </c>
      <c r="AB60" s="21">
        <v>1.7131391103738922</v>
      </c>
      <c r="AC60" s="21">
        <v>1.7375685732016295</v>
      </c>
      <c r="AD60" s="21">
        <v>1.7649213932730576</v>
      </c>
      <c r="AE60" s="21">
        <v>1.7930299525162643</v>
      </c>
      <c r="AF60" s="21">
        <v>1.822052547784492</v>
      </c>
      <c r="AG60" s="21">
        <v>1.8524922120233074</v>
      </c>
      <c r="AH60" s="21">
        <v>1.8846092388151516</v>
      </c>
      <c r="AI60" s="21">
        <v>1.9186776676350688</v>
      </c>
      <c r="AJ60" s="21">
        <v>1.9549239429025052</v>
      </c>
      <c r="AK60" s="21">
        <v>1.9934721225119898</v>
      </c>
      <c r="AL60" s="21">
        <v>2.0341761891701005</v>
      </c>
      <c r="AM60" s="21">
        <v>2.0773383901322608</v>
      </c>
      <c r="AN60" s="21">
        <v>2.1232989129444229</v>
      </c>
      <c r="AO60" s="21">
        <v>2.1723642866830088</v>
      </c>
      <c r="AP60" s="21">
        <v>2.2248542795800046</v>
      </c>
      <c r="AQ60" s="21">
        <v>2.2811018119014945</v>
      </c>
      <c r="AR60" s="21">
        <v>2.3414678208513298</v>
      </c>
      <c r="AS60" s="21">
        <v>2.4063732210249391</v>
      </c>
      <c r="AT60" s="21">
        <v>2.4763819552072137</v>
      </c>
      <c r="AU60" s="21">
        <v>2.5521302165977877</v>
      </c>
      <c r="AV60" s="21">
        <v>2.6343374083907807</v>
      </c>
      <c r="AW60" s="21">
        <v>2.7238392122988833</v>
      </c>
      <c r="AX60" s="21">
        <v>2.8216191640753143</v>
      </c>
      <c r="AY60" s="21">
        <v>2.9288512287501778</v>
      </c>
      <c r="AZ60" s="21">
        <v>3.0469537478285664</v>
      </c>
      <c r="BA60" s="21">
        <v>3.1776544614476454</v>
      </c>
      <c r="BB60" s="21">
        <v>3.3230559531028225</v>
      </c>
      <c r="BC60" s="21"/>
      <c r="BU60" s="9" t="s">
        <v>69</v>
      </c>
    </row>
    <row r="61" spans="1:73" ht="14.4" hidden="1" x14ac:dyDescent="0.3">
      <c r="B61" s="364"/>
      <c r="C61" s="9" t="s">
        <v>94</v>
      </c>
      <c r="D61" s="365"/>
      <c r="E61" s="351"/>
      <c r="F61" s="21">
        <v>1.5791340788144217</v>
      </c>
      <c r="G61" s="21">
        <v>1.5109823071965673</v>
      </c>
      <c r="H61" s="21">
        <v>1.6313023891756404</v>
      </c>
      <c r="I61" s="21">
        <v>1.5808746473459248</v>
      </c>
      <c r="J61" s="21">
        <v>1.7322494001133073</v>
      </c>
      <c r="K61" s="21">
        <v>1.7628602621339942</v>
      </c>
      <c r="L61" s="21">
        <v>1.8033249382785423</v>
      </c>
      <c r="M61" s="21">
        <v>1.840850688683771</v>
      </c>
      <c r="N61" s="21">
        <v>1.9311074162517687</v>
      </c>
      <c r="O61" s="21">
        <v>1.7973471478403507</v>
      </c>
      <c r="P61" s="21">
        <v>1.846637247369205</v>
      </c>
      <c r="Q61" s="21">
        <v>1.9143795729871325</v>
      </c>
      <c r="R61" s="21">
        <v>1.9612511890821918</v>
      </c>
      <c r="S61" s="21">
        <v>2.0069350638490464</v>
      </c>
      <c r="T61" s="21">
        <v>2.0482420256516698</v>
      </c>
      <c r="U61" s="21">
        <v>2.083886940085677</v>
      </c>
      <c r="V61" s="21">
        <v>2.1079766479310691</v>
      </c>
      <c r="W61" s="21">
        <v>2.1666610295606819</v>
      </c>
      <c r="X61" s="21">
        <v>2.2269342458860444</v>
      </c>
      <c r="Y61" s="21">
        <v>2.2847005992552361</v>
      </c>
      <c r="Z61" s="21">
        <v>2.3443937998085889</v>
      </c>
      <c r="AA61" s="21">
        <v>2.4067368764378516</v>
      </c>
      <c r="AB61" s="21">
        <v>2.4734023118362773</v>
      </c>
      <c r="AC61" s="21">
        <v>2.5468319438401217</v>
      </c>
      <c r="AD61" s="21">
        <v>2.6317565346806102</v>
      </c>
      <c r="AE61" s="21">
        <v>2.7221617016838167</v>
      </c>
      <c r="AF61" s="21">
        <v>2.8190023929373402</v>
      </c>
      <c r="AG61" s="21">
        <v>2.9246197763897785</v>
      </c>
      <c r="AH61" s="21">
        <v>3.0408381401766569</v>
      </c>
      <c r="AI61" s="21">
        <v>3.0781513575893094</v>
      </c>
      <c r="AJ61" s="21">
        <v>3.1173458760001651</v>
      </c>
      <c r="AK61" s="21">
        <v>3.1582624600833347</v>
      </c>
      <c r="AL61" s="21">
        <v>3.1998018366609551</v>
      </c>
      <c r="AM61" s="21">
        <v>3.2423685426213171</v>
      </c>
      <c r="AN61" s="21">
        <v>3.2863725447676888</v>
      </c>
      <c r="AO61" s="21">
        <v>3.3319932345199414</v>
      </c>
      <c r="AP61" s="21">
        <v>3.3793339830857958</v>
      </c>
      <c r="AQ61" s="21">
        <v>3.4284160437559072</v>
      </c>
      <c r="AR61" s="21">
        <v>3.4792127360699796</v>
      </c>
      <c r="AS61" s="21">
        <v>3.5317214047242467</v>
      </c>
      <c r="AT61" s="21">
        <v>3.5861451378476374</v>
      </c>
      <c r="AU61" s="21">
        <v>3.6426503664509178</v>
      </c>
      <c r="AV61" s="21">
        <v>3.7013583166854929</v>
      </c>
      <c r="AW61" s="21">
        <v>3.7623796178585596</v>
      </c>
      <c r="AX61" s="21">
        <v>3.8258266078964049</v>
      </c>
      <c r="AY61" s="21">
        <v>3.8918294685205974</v>
      </c>
      <c r="AZ61" s="21">
        <v>3.9605492460618703</v>
      </c>
      <c r="BA61" s="21">
        <v>4.0321796919387856</v>
      </c>
      <c r="BB61" s="21">
        <v>4.1069138212914753</v>
      </c>
      <c r="BC61" s="21"/>
    </row>
    <row r="62" spans="1:73" ht="14.4" hidden="1" x14ac:dyDescent="0.3">
      <c r="B62" s="364"/>
      <c r="C62" s="9" t="s">
        <v>95</v>
      </c>
      <c r="D62" s="365"/>
      <c r="E62" s="351"/>
      <c r="F62" s="21">
        <v>1.0119784616472176</v>
      </c>
      <c r="G62" s="21">
        <v>1.0110093684016004</v>
      </c>
      <c r="H62" s="21">
        <v>1.0126821502027425</v>
      </c>
      <c r="I62" s="21">
        <v>1.0119475918181273</v>
      </c>
      <c r="J62" s="21">
        <v>1.0138111097407747</v>
      </c>
      <c r="K62" s="21">
        <v>1.0140877783710018</v>
      </c>
      <c r="L62" s="21">
        <v>1.0144617072497004</v>
      </c>
      <c r="M62" s="21">
        <v>1.0147876187452824</v>
      </c>
      <c r="N62" s="21">
        <v>1.0152722007152168</v>
      </c>
      <c r="O62" s="21">
        <v>1.0155506076866192</v>
      </c>
      <c r="P62" s="21">
        <v>1.0160018399775612</v>
      </c>
      <c r="Q62" s="21">
        <v>1.0165289479955346</v>
      </c>
      <c r="R62" s="21">
        <v>1.0171187782947753</v>
      </c>
      <c r="S62" s="21">
        <v>1.0177531192235498</v>
      </c>
      <c r="T62" s="21">
        <v>1.0181915210006696</v>
      </c>
      <c r="U62" s="21">
        <v>1.0186683472027487</v>
      </c>
      <c r="V62" s="21">
        <v>1.0192591786253264</v>
      </c>
      <c r="W62" s="21">
        <v>1.0198026981116683</v>
      </c>
      <c r="X62" s="21">
        <v>1.0205460061576361</v>
      </c>
      <c r="Y62" s="21">
        <v>1.0211782981761786</v>
      </c>
      <c r="Z62" s="21">
        <v>1.0218790687624435</v>
      </c>
      <c r="AA62" s="21">
        <v>1.022613356729821</v>
      </c>
      <c r="AB62" s="21">
        <v>1.0232615041291075</v>
      </c>
      <c r="AC62" s="21">
        <v>1.0239104644864552</v>
      </c>
      <c r="AD62" s="21">
        <v>1.0245974628976948</v>
      </c>
      <c r="AE62" s="21">
        <v>1.0253141680039406</v>
      </c>
      <c r="AF62" s="21">
        <v>1.0261527302823299</v>
      </c>
      <c r="AG62" s="21">
        <v>1.0269168200721956</v>
      </c>
      <c r="AH62" s="21">
        <v>1.0276850484850431</v>
      </c>
      <c r="AI62" s="21">
        <v>1.0276829807732901</v>
      </c>
      <c r="AJ62" s="21">
        <v>1.0276843796231847</v>
      </c>
      <c r="AK62" s="21">
        <v>1.0276881692114199</v>
      </c>
      <c r="AL62" s="21">
        <v>1.0276886558750062</v>
      </c>
      <c r="AM62" s="21">
        <v>1.0276875887424848</v>
      </c>
      <c r="AN62" s="21">
        <v>1.0276865974346614</v>
      </c>
      <c r="AO62" s="21">
        <v>1.0276861658693157</v>
      </c>
      <c r="AP62" s="21">
        <v>1.0276863645931245</v>
      </c>
      <c r="AQ62" s="21">
        <v>1.0276868648676958</v>
      </c>
      <c r="AR62" s="21">
        <v>1.0276872039246583</v>
      </c>
      <c r="AS62" s="21">
        <v>1.0276870558430165</v>
      </c>
      <c r="AT62" s="21">
        <v>1.0276868304342963</v>
      </c>
      <c r="AU62" s="21">
        <v>1.0276867286989448</v>
      </c>
      <c r="AV62" s="21">
        <v>1.0276867475446834</v>
      </c>
      <c r="AW62" s="21">
        <v>1.0276868273796687</v>
      </c>
      <c r="AX62" s="21">
        <v>1.0276868927739944</v>
      </c>
      <c r="AY62" s="21">
        <v>1.0276868979356577</v>
      </c>
      <c r="AZ62" s="21">
        <v>1.0276868549996427</v>
      </c>
      <c r="BA62" s="21">
        <v>1.0276868259209002</v>
      </c>
      <c r="BB62" s="21">
        <v>1.0276868247931843</v>
      </c>
      <c r="BC62" s="21"/>
    </row>
    <row r="63" spans="1:73" ht="14.4" hidden="1" x14ac:dyDescent="0.3">
      <c r="A63" s="16" t="s">
        <v>50</v>
      </c>
      <c r="B63" s="16"/>
      <c r="C63" s="31" t="s">
        <v>96</v>
      </c>
      <c r="D63" s="351"/>
      <c r="E63" s="35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row>
    <row r="64" spans="1:73" ht="14.4" hidden="1" customHeight="1" x14ac:dyDescent="0.3">
      <c r="B64" s="364" t="s">
        <v>97</v>
      </c>
      <c r="C64" s="9" t="s">
        <v>98</v>
      </c>
      <c r="D64" s="365" t="s">
        <v>53</v>
      </c>
      <c r="E64" s="351"/>
      <c r="F64" s="21">
        <v>2.2682744089383032E-5</v>
      </c>
      <c r="G64" s="21">
        <v>1.9800806737278882E-5</v>
      </c>
      <c r="H64" s="21">
        <v>1.8287455064295534E-5</v>
      </c>
      <c r="I64" s="21">
        <v>1.9150761553741768E-5</v>
      </c>
      <c r="J64" s="21">
        <v>2.0552109899514967E-5</v>
      </c>
      <c r="K64" s="21">
        <v>2.3104810291945379E-5</v>
      </c>
      <c r="L64" s="21">
        <v>2.5493487015111664E-5</v>
      </c>
      <c r="M64" s="21">
        <v>2.7701897699498407E-5</v>
      </c>
      <c r="N64" s="21">
        <v>3.0030583260464871E-5</v>
      </c>
      <c r="O64" s="21">
        <v>2.5627583818225399E-5</v>
      </c>
      <c r="P64" s="21">
        <v>2.6622069374298841E-5</v>
      </c>
      <c r="Q64" s="21">
        <v>2.7443684346261447E-5</v>
      </c>
      <c r="R64" s="21">
        <v>2.7803829334345513E-5</v>
      </c>
      <c r="S64" s="21">
        <v>2.7776219496887632E-5</v>
      </c>
      <c r="T64" s="21">
        <v>2.7316598442622257E-5</v>
      </c>
      <c r="U64" s="21">
        <v>2.7619034144729739E-5</v>
      </c>
      <c r="V64" s="21">
        <v>2.7809735805356092E-5</v>
      </c>
      <c r="W64" s="21">
        <v>2.7949237656063299E-5</v>
      </c>
      <c r="X64" s="21">
        <v>2.7966304491416415E-5</v>
      </c>
      <c r="Y64" s="21">
        <v>2.7999640579930491E-5</v>
      </c>
      <c r="Z64" s="21">
        <v>2.8132465318677183E-5</v>
      </c>
      <c r="AA64" s="21">
        <v>2.8099951339604309E-5</v>
      </c>
      <c r="AB64" s="21">
        <v>2.817619202783968E-5</v>
      </c>
      <c r="AC64" s="21">
        <v>2.8165150005052026E-5</v>
      </c>
      <c r="AD64" s="21">
        <v>2.8288631398254269E-5</v>
      </c>
      <c r="AE64" s="21">
        <v>2.830670502187892E-5</v>
      </c>
      <c r="AF64" s="21">
        <v>2.8308139201398286E-5</v>
      </c>
      <c r="AG64" s="21">
        <v>2.8322681182035079E-5</v>
      </c>
      <c r="AH64" s="21">
        <v>2.8339166730828296E-5</v>
      </c>
      <c r="AI64" s="21">
        <v>2.8421507513921321E-5</v>
      </c>
      <c r="AJ64" s="21">
        <v>2.8450107610432047E-5</v>
      </c>
      <c r="AK64" s="21">
        <v>2.8474167318227523E-5</v>
      </c>
      <c r="AL64" s="21">
        <v>2.8510682586338119E-5</v>
      </c>
      <c r="AM64" s="21">
        <v>2.8548726292566164E-5</v>
      </c>
      <c r="AN64" s="21">
        <v>2.8597071888229972E-5</v>
      </c>
      <c r="AO64" s="21">
        <v>2.862599098510942E-5</v>
      </c>
      <c r="AP64" s="21">
        <v>2.8656117203507521E-5</v>
      </c>
      <c r="AQ64" s="21">
        <v>2.8687452281096342E-5</v>
      </c>
      <c r="AR64" s="21">
        <v>2.8717820004634727E-5</v>
      </c>
      <c r="AS64" s="21">
        <v>2.8745232561628602E-5</v>
      </c>
      <c r="AT64" s="21">
        <v>2.8770947494200141E-5</v>
      </c>
      <c r="AU64" s="21">
        <v>2.8795487750663532E-5</v>
      </c>
      <c r="AV64" s="21">
        <v>2.8818994531544189E-5</v>
      </c>
      <c r="AW64" s="21">
        <v>2.8840227950597835E-5</v>
      </c>
      <c r="AX64" s="21">
        <v>2.8859146355031921E-5</v>
      </c>
      <c r="AY64" s="21">
        <v>2.8875224678557487E-5</v>
      </c>
      <c r="AZ64" s="21">
        <v>2.888938852113807E-5</v>
      </c>
      <c r="BA64" s="21">
        <v>2.8901373968784298E-5</v>
      </c>
      <c r="BB64" s="21">
        <v>2.8910941138121726E-5</v>
      </c>
      <c r="BC64" s="21"/>
    </row>
    <row r="65" spans="1:73" ht="14.4" hidden="1" x14ac:dyDescent="0.3">
      <c r="B65" s="364"/>
      <c r="C65" s="9" t="s">
        <v>99</v>
      </c>
      <c r="D65" s="365"/>
      <c r="E65" s="351"/>
      <c r="F65" s="21">
        <v>1.783866916067522E-4</v>
      </c>
      <c r="G65" s="21">
        <v>1.4828053547933528E-4</v>
      </c>
      <c r="H65" s="21">
        <v>2.0057096530884538E-4</v>
      </c>
      <c r="I65" s="21">
        <v>1.9891013983404008E-4</v>
      </c>
      <c r="J65" s="21">
        <v>2.0809705155420437E-4</v>
      </c>
      <c r="K65" s="21">
        <v>2.2232651887678029E-4</v>
      </c>
      <c r="L65" s="21">
        <v>2.3588937318325408E-4</v>
      </c>
      <c r="M65" s="21">
        <v>2.5125932957891309E-4</v>
      </c>
      <c r="N65" s="21">
        <v>2.6573359495621606E-4</v>
      </c>
      <c r="O65" s="21">
        <v>2.168634874871279E-4</v>
      </c>
      <c r="P65" s="21">
        <v>2.1961425841922211E-4</v>
      </c>
      <c r="Q65" s="21">
        <v>2.1850247035402244E-4</v>
      </c>
      <c r="R65" s="21">
        <v>2.1657839161852869E-4</v>
      </c>
      <c r="S65" s="21">
        <v>2.1175652943415497E-4</v>
      </c>
      <c r="T65" s="21">
        <v>2.073843555503609E-4</v>
      </c>
      <c r="U65" s="21">
        <v>2.082369987989677E-4</v>
      </c>
      <c r="V65" s="21">
        <v>2.0637685080180344E-4</v>
      </c>
      <c r="W65" s="21">
        <v>2.0766340778301061E-4</v>
      </c>
      <c r="X65" s="21">
        <v>2.081425476282798E-4</v>
      </c>
      <c r="Y65" s="21">
        <v>2.0791962429210126E-4</v>
      </c>
      <c r="Z65" s="21">
        <v>2.0825993603140879E-4</v>
      </c>
      <c r="AA65" s="21">
        <v>2.0813692381404646E-4</v>
      </c>
      <c r="AB65" s="21">
        <v>2.0783121996365556E-4</v>
      </c>
      <c r="AC65" s="21">
        <v>2.0762394418441513E-4</v>
      </c>
      <c r="AD65" s="21">
        <v>2.078577317706893E-4</v>
      </c>
      <c r="AE65" s="21">
        <v>2.0802290278243554E-4</v>
      </c>
      <c r="AF65" s="21">
        <v>2.0800605721201553E-4</v>
      </c>
      <c r="AG65" s="21">
        <v>2.0794421225648564E-4</v>
      </c>
      <c r="AH65" s="21">
        <v>2.0789268232712982E-4</v>
      </c>
      <c r="AI65" s="21">
        <v>2.0787996543626693E-4</v>
      </c>
      <c r="AJ65" s="21">
        <v>2.0790272607839962E-4</v>
      </c>
      <c r="AK65" s="21">
        <v>2.0793410809777442E-4</v>
      </c>
      <c r="AL65" s="21">
        <v>2.0793477784548497E-4</v>
      </c>
      <c r="AM65" s="21">
        <v>2.0792473559932769E-4</v>
      </c>
      <c r="AN65" s="21">
        <v>2.079174728586107E-4</v>
      </c>
      <c r="AO65" s="21">
        <v>2.0791444349934233E-4</v>
      </c>
      <c r="AP65" s="21">
        <v>2.079153415352982E-4</v>
      </c>
      <c r="AQ65" s="21">
        <v>2.0791944214508794E-4</v>
      </c>
      <c r="AR65" s="21">
        <v>2.0792273406320861E-4</v>
      </c>
      <c r="AS65" s="21">
        <v>2.0792168517451458E-4</v>
      </c>
      <c r="AT65" s="21">
        <v>2.0791963585454712E-4</v>
      </c>
      <c r="AU65" s="21">
        <v>2.0791853444097268E-4</v>
      </c>
      <c r="AV65" s="21">
        <v>2.0791868079814499E-4</v>
      </c>
      <c r="AW65" s="21">
        <v>2.0791947058395468E-4</v>
      </c>
      <c r="AX65" s="21">
        <v>2.0792010106869091E-4</v>
      </c>
      <c r="AY65" s="21">
        <v>2.0792012875169518E-4</v>
      </c>
      <c r="AZ65" s="21">
        <v>2.0791971264851462E-4</v>
      </c>
      <c r="BA65" s="21">
        <v>2.0791945273762464E-4</v>
      </c>
      <c r="BB65" s="21">
        <v>2.0791945388856767E-4</v>
      </c>
      <c r="BC65" s="21"/>
    </row>
    <row r="66" spans="1:73" ht="14.4" hidden="1" x14ac:dyDescent="0.3">
      <c r="B66" s="364"/>
      <c r="C66" s="9" t="s">
        <v>100</v>
      </c>
      <c r="D66" s="365"/>
      <c r="E66" s="351"/>
      <c r="F66" s="21">
        <v>0.91023472382813586</v>
      </c>
      <c r="G66" s="21">
        <v>0.88389055296130359</v>
      </c>
      <c r="H66" s="21">
        <v>0.92694664482149458</v>
      </c>
      <c r="I66" s="21">
        <v>0.9189796088791945</v>
      </c>
      <c r="J66" s="21">
        <v>0.96676873880798708</v>
      </c>
      <c r="K66" s="21">
        <v>0.9774751164439438</v>
      </c>
      <c r="L66" s="21">
        <v>0.98811242330631499</v>
      </c>
      <c r="M66" s="21">
        <v>0.99625382259983453</v>
      </c>
      <c r="N66" s="21">
        <v>1.0056446478847003</v>
      </c>
      <c r="O66" s="21">
        <v>0.97826208024742123</v>
      </c>
      <c r="P66" s="21">
        <v>0.98336726143411057</v>
      </c>
      <c r="Q66" s="21">
        <v>0.9893384732861481</v>
      </c>
      <c r="R66" s="21">
        <v>0.99135439441012463</v>
      </c>
      <c r="S66" s="21">
        <v>0.99257873448750966</v>
      </c>
      <c r="T66" s="21">
        <v>0.99291796469221483</v>
      </c>
      <c r="U66" s="21">
        <v>0.99282584959241904</v>
      </c>
      <c r="V66" s="21">
        <v>0.99186145820503868</v>
      </c>
      <c r="W66" s="21">
        <v>0.99302438332454834</v>
      </c>
      <c r="X66" s="21">
        <v>0.99389340555907779</v>
      </c>
      <c r="Y66" s="21">
        <v>0.99435575880513238</v>
      </c>
      <c r="Z66" s="21">
        <v>0.99471101281864505</v>
      </c>
      <c r="AA66" s="21">
        <v>0.99497595325654653</v>
      </c>
      <c r="AB66" s="21">
        <v>0.99521437765251175</v>
      </c>
      <c r="AC66" s="21">
        <v>0.9954820841333778</v>
      </c>
      <c r="AD66" s="21">
        <v>0.9958533195947985</v>
      </c>
      <c r="AE66" s="21">
        <v>0.99615405920733391</v>
      </c>
      <c r="AF66" s="21">
        <v>0.99640018336918712</v>
      </c>
      <c r="AG66" s="21">
        <v>0.99662338173690534</v>
      </c>
      <c r="AH66" s="21">
        <v>0.9968332920320867</v>
      </c>
      <c r="AI66" s="21">
        <v>0.9969762876635373</v>
      </c>
      <c r="AJ66" s="21">
        <v>0.99712593943750294</v>
      </c>
      <c r="AK66" s="21">
        <v>0.9972731750499686</v>
      </c>
      <c r="AL66" s="21">
        <v>0.99740630798348295</v>
      </c>
      <c r="AM66" s="21">
        <v>0.99753075376188927</v>
      </c>
      <c r="AN66" s="21">
        <v>0.99764902424261526</v>
      </c>
      <c r="AO66" s="21">
        <v>0.99776439708433717</v>
      </c>
      <c r="AP66" s="21">
        <v>0.99787526904754376</v>
      </c>
      <c r="AQ66" s="21">
        <v>0.99798134374628</v>
      </c>
      <c r="AR66" s="21">
        <v>0.99808231629984023</v>
      </c>
      <c r="AS66" s="21">
        <v>0.9981781126305318</v>
      </c>
      <c r="AT66" s="21">
        <v>0.99826940268008069</v>
      </c>
      <c r="AU66" s="21">
        <v>0.99835657873518513</v>
      </c>
      <c r="AV66" s="21">
        <v>0.99843979074708245</v>
      </c>
      <c r="AW66" s="21">
        <v>0.99851919038107229</v>
      </c>
      <c r="AX66" s="21">
        <v>0.99859485057806019</v>
      </c>
      <c r="AY66" s="21">
        <v>0.99866690727341234</v>
      </c>
      <c r="AZ66" s="21">
        <v>0.99873548424269387</v>
      </c>
      <c r="BA66" s="21">
        <v>0.99880079681613132</v>
      </c>
      <c r="BB66" s="21">
        <v>0.99886300213089518</v>
      </c>
      <c r="BC66" s="21"/>
    </row>
    <row r="67" spans="1:73" ht="14.4" hidden="1" x14ac:dyDescent="0.3">
      <c r="B67" s="364"/>
      <c r="C67" s="9" t="s">
        <v>101</v>
      </c>
      <c r="D67" s="365"/>
      <c r="E67" s="351"/>
      <c r="F67" s="21">
        <v>3.7847043726334005E-3</v>
      </c>
      <c r="G67" s="21">
        <v>3.6871611255269937E-3</v>
      </c>
      <c r="H67" s="21">
        <v>3.7368061032479619E-3</v>
      </c>
      <c r="I67" s="21">
        <v>4.200443678212493E-3</v>
      </c>
      <c r="J67" s="21">
        <v>4.5184759617421981E-3</v>
      </c>
      <c r="K67" s="21">
        <v>4.5139685488778149E-3</v>
      </c>
      <c r="L67" s="21">
        <v>4.5094656213652568E-3</v>
      </c>
      <c r="M67" s="21">
        <v>4.5049671747631123E-3</v>
      </c>
      <c r="N67" s="21">
        <v>4.5004732046343204E-3</v>
      </c>
      <c r="O67" s="21">
        <v>4.4959837065461708E-3</v>
      </c>
      <c r="P67" s="21">
        <v>4.4914986760703013E-3</v>
      </c>
      <c r="Q67" s="21">
        <v>4.4870181087826883E-3</v>
      </c>
      <c r="R67" s="21">
        <v>4.4825420002636467E-3</v>
      </c>
      <c r="S67" s="21">
        <v>4.4780703460978264E-3</v>
      </c>
      <c r="T67" s="21">
        <v>4.4736031418742038E-3</v>
      </c>
      <c r="U67" s="21">
        <v>4.46914038318608E-3</v>
      </c>
      <c r="V67" s="21">
        <v>4.464682065631078E-3</v>
      </c>
      <c r="W67" s="21">
        <v>4.4602281848111379E-3</v>
      </c>
      <c r="X67" s="21">
        <v>4.4557787363325128E-3</v>
      </c>
      <c r="Y67" s="21">
        <v>4.4513337158057593E-3</v>
      </c>
      <c r="Z67" s="21">
        <v>4.4468931188457461E-3</v>
      </c>
      <c r="AA67" s="21">
        <v>4.4424569410716347E-3</v>
      </c>
      <c r="AB67" s="21">
        <v>4.438025178106886E-3</v>
      </c>
      <c r="AC67" s="21">
        <v>4.4335978255792517E-3</v>
      </c>
      <c r="AD67" s="21">
        <v>4.4291748791207711E-3</v>
      </c>
      <c r="AE67" s="21">
        <v>4.424756334367768E-3</v>
      </c>
      <c r="AF67" s="21">
        <v>4.4203421869608442E-3</v>
      </c>
      <c r="AG67" s="21">
        <v>4.4159324325448775E-3</v>
      </c>
      <c r="AH67" s="21">
        <v>4.4115270667690176E-3</v>
      </c>
      <c r="AI67" s="21">
        <v>4.4071260852866804E-3</v>
      </c>
      <c r="AJ67" s="21">
        <v>4.4027294837555436E-3</v>
      </c>
      <c r="AK67" s="21">
        <v>4.398337257837546E-3</v>
      </c>
      <c r="AL67" s="21">
        <v>4.3939494031988808E-3</v>
      </c>
      <c r="AM67" s="21">
        <v>4.3895659155099905E-3</v>
      </c>
      <c r="AN67" s="21">
        <v>4.3851867904455642E-3</v>
      </c>
      <c r="AO67" s="21">
        <v>4.3808120236845348E-3</v>
      </c>
      <c r="AP67" s="21">
        <v>4.3764416109100743E-3</v>
      </c>
      <c r="AQ67" s="21">
        <v>4.3720755478095863E-3</v>
      </c>
      <c r="AR67" s="21">
        <v>4.3677138300747074E-3</v>
      </c>
      <c r="AS67" s="21">
        <v>4.3633564534012988E-3</v>
      </c>
      <c r="AT67" s="21">
        <v>4.3590034134894443E-3</v>
      </c>
      <c r="AU67" s="21">
        <v>4.3546547060434463E-3</v>
      </c>
      <c r="AV67" s="21">
        <v>4.3503103267718201E-3</v>
      </c>
      <c r="AW67" s="21">
        <v>4.3459702713872931E-3</v>
      </c>
      <c r="AX67" s="21">
        <v>4.3416345356067964E-3</v>
      </c>
      <c r="AY67" s="21">
        <v>4.3373031151514637E-3</v>
      </c>
      <c r="AZ67" s="21">
        <v>4.3329760057466268E-3</v>
      </c>
      <c r="BA67" s="21">
        <v>4.3286532031218111E-3</v>
      </c>
      <c r="BB67" s="21">
        <v>4.324334703010733E-3</v>
      </c>
      <c r="BC67" s="21"/>
    </row>
    <row r="68" spans="1:73" ht="14.4" hidden="1" x14ac:dyDescent="0.3">
      <c r="B68" s="364"/>
      <c r="C68" s="9" t="s">
        <v>102</v>
      </c>
      <c r="D68" s="365"/>
      <c r="E68" s="351"/>
      <c r="F68" s="21">
        <v>3.3651023733088321E-2</v>
      </c>
      <c r="G68" s="21">
        <v>3.2807559741118188E-2</v>
      </c>
      <c r="H68" s="21">
        <v>3.323885167903505E-2</v>
      </c>
      <c r="I68" s="21">
        <v>3.7224949491691944E-2</v>
      </c>
      <c r="J68" s="21">
        <v>3.9946674239919822E-2</v>
      </c>
      <c r="K68" s="21">
        <v>4.4404437211593789E-2</v>
      </c>
      <c r="L68" s="21">
        <v>4.859534763259344E-2</v>
      </c>
      <c r="M68" s="21">
        <v>5.2687342835091758E-2</v>
      </c>
      <c r="N68" s="21">
        <v>5.6856794420733957E-2</v>
      </c>
      <c r="O68" s="21">
        <v>4.8528694538491943E-2</v>
      </c>
      <c r="P68" s="21">
        <v>5.0228309950282671E-2</v>
      </c>
      <c r="Q68" s="21">
        <v>5.1387584167473375E-2</v>
      </c>
      <c r="R68" s="21">
        <v>5.1945183006104484E-2</v>
      </c>
      <c r="S68" s="21">
        <v>5.1797978911505102E-2</v>
      </c>
      <c r="T68" s="21">
        <v>5.0781649711155875E-2</v>
      </c>
      <c r="U68" s="21">
        <v>5.1229285952164819E-2</v>
      </c>
      <c r="V68" s="21">
        <v>5.1427156590043044E-2</v>
      </c>
      <c r="W68" s="21">
        <v>5.1435781377696374E-2</v>
      </c>
      <c r="X68" s="21">
        <v>5.1334423288175557E-2</v>
      </c>
      <c r="Y68" s="21">
        <v>5.1241898833824295E-2</v>
      </c>
      <c r="Z68" s="21">
        <v>5.1334007021357812E-2</v>
      </c>
      <c r="AA68" s="21">
        <v>5.1354886492786134E-2</v>
      </c>
      <c r="AB68" s="21">
        <v>5.1340109893701066E-2</v>
      </c>
      <c r="AC68" s="21">
        <v>5.1320855963853267E-2</v>
      </c>
      <c r="AD68" s="21">
        <v>5.13183065485266E-2</v>
      </c>
      <c r="AE68" s="21">
        <v>5.1333672765393842E-2</v>
      </c>
      <c r="AF68" s="21">
        <v>5.1333620718399364E-2</v>
      </c>
      <c r="AG68" s="21">
        <v>5.1329350130126822E-2</v>
      </c>
      <c r="AH68" s="21">
        <v>5.1327162137496031E-2</v>
      </c>
      <c r="AI68" s="21">
        <v>5.1328391047697403E-2</v>
      </c>
      <c r="AJ68" s="21">
        <v>5.1330416818933543E-2</v>
      </c>
      <c r="AK68" s="21">
        <v>5.1329792539822644E-2</v>
      </c>
      <c r="AL68" s="21">
        <v>5.1329034212230826E-2</v>
      </c>
      <c r="AM68" s="21">
        <v>5.1328967068067707E-2</v>
      </c>
      <c r="AN68" s="21">
        <v>5.1329321412379669E-2</v>
      </c>
      <c r="AO68" s="21">
        <v>5.1329502369774904E-2</v>
      </c>
      <c r="AP68" s="21">
        <v>5.1329318777540038E-2</v>
      </c>
      <c r="AQ68" s="21">
        <v>5.1329227839526974E-2</v>
      </c>
      <c r="AR68" s="21">
        <v>5.1329269653315836E-2</v>
      </c>
      <c r="AS68" s="21">
        <v>5.1329329855337932E-2</v>
      </c>
      <c r="AT68" s="21">
        <v>5.1329330139447321E-2</v>
      </c>
      <c r="AU68" s="21">
        <v>5.1329294654048598E-2</v>
      </c>
      <c r="AV68" s="21">
        <v>5.1329289590277639E-2</v>
      </c>
      <c r="AW68" s="21">
        <v>5.1329302397969373E-2</v>
      </c>
      <c r="AX68" s="21">
        <v>5.1329309570113772E-2</v>
      </c>
      <c r="AY68" s="21">
        <v>5.1329305680386954E-2</v>
      </c>
      <c r="AZ68" s="21">
        <v>5.1329300538602657E-2</v>
      </c>
      <c r="BA68" s="21">
        <v>5.1329301474831425E-2</v>
      </c>
      <c r="BB68" s="21">
        <v>5.1329303777317155E-2</v>
      </c>
      <c r="BC68" s="21"/>
    </row>
    <row r="69" spans="1:73" ht="14.4" hidden="1" x14ac:dyDescent="0.3">
      <c r="B69" s="364"/>
      <c r="C69" s="9" t="s">
        <v>103</v>
      </c>
      <c r="D69" s="365"/>
      <c r="E69" s="351"/>
      <c r="F69" s="21">
        <v>6.8646059623988544E-3</v>
      </c>
      <c r="G69" s="21">
        <v>6.6649371994662284E-3</v>
      </c>
      <c r="H69" s="21">
        <v>6.7948216380684387E-3</v>
      </c>
      <c r="I69" s="21">
        <v>7.6167377150725369E-3</v>
      </c>
      <c r="J69" s="21">
        <v>8.2469993805561834E-3</v>
      </c>
      <c r="K69" s="21">
        <v>9.2124218878833139E-3</v>
      </c>
      <c r="L69" s="21">
        <v>1.013272098036924E-2</v>
      </c>
      <c r="M69" s="21">
        <v>1.1038644565373106E-2</v>
      </c>
      <c r="N69" s="21">
        <v>1.197698463943035E-2</v>
      </c>
      <c r="O69" s="21">
        <v>1.0094867387401658E-2</v>
      </c>
      <c r="P69" s="21">
        <v>1.0470369985945697E-2</v>
      </c>
      <c r="Q69" s="21">
        <v>1.0734398668794764E-2</v>
      </c>
      <c r="R69" s="21">
        <v>1.0859420459790778E-2</v>
      </c>
      <c r="S69" s="21">
        <v>1.0829417893235643E-2</v>
      </c>
      <c r="T69" s="21">
        <v>1.0607948613798764E-2</v>
      </c>
      <c r="U69" s="21">
        <v>1.0703358496259592E-2</v>
      </c>
      <c r="V69" s="21">
        <v>1.0741103533367199E-2</v>
      </c>
      <c r="W69" s="21">
        <v>1.0745477544958904E-2</v>
      </c>
      <c r="X69" s="21">
        <v>1.0725195593096325E-2</v>
      </c>
      <c r="Y69" s="21">
        <v>1.0705377760692209E-2</v>
      </c>
      <c r="Z69" s="21">
        <v>1.0725339296031441E-2</v>
      </c>
      <c r="AA69" s="21">
        <v>1.0729470779353172E-2</v>
      </c>
      <c r="AB69" s="21">
        <v>1.0725772998602754E-2</v>
      </c>
      <c r="AC69" s="21">
        <v>1.072133122250833E-2</v>
      </c>
      <c r="AD69" s="21">
        <v>1.0721258843523911E-2</v>
      </c>
      <c r="AE69" s="21">
        <v>1.0724802799268544E-2</v>
      </c>
      <c r="AF69" s="21">
        <v>1.0724758707069659E-2</v>
      </c>
      <c r="AG69" s="21">
        <v>1.0723742350107394E-2</v>
      </c>
      <c r="AH69" s="21">
        <v>1.0723182488986349E-2</v>
      </c>
      <c r="AI69" s="21">
        <v>1.0723414794198954E-2</v>
      </c>
      <c r="AJ69" s="21">
        <v>1.0723883965438814E-2</v>
      </c>
      <c r="AK69" s="21">
        <v>1.0723815092109632E-2</v>
      </c>
      <c r="AL69" s="21">
        <v>1.0723657584061739E-2</v>
      </c>
      <c r="AM69" s="21">
        <v>1.0723623722860974E-2</v>
      </c>
      <c r="AN69" s="21">
        <v>1.0723683618731697E-2</v>
      </c>
      <c r="AO69" s="21">
        <v>1.0723715546007099E-2</v>
      </c>
      <c r="AP69" s="21">
        <v>1.0723678864428833E-2</v>
      </c>
      <c r="AQ69" s="21">
        <v>1.0723667903293726E-2</v>
      </c>
      <c r="AR69" s="21">
        <v>1.0723683151528728E-2</v>
      </c>
      <c r="AS69" s="21">
        <v>1.0723693692482683E-2</v>
      </c>
      <c r="AT69" s="21">
        <v>1.0723689711385091E-2</v>
      </c>
      <c r="AU69" s="21">
        <v>1.0723680107499854E-2</v>
      </c>
      <c r="AV69" s="21">
        <v>1.0723679335495799E-2</v>
      </c>
      <c r="AW69" s="21">
        <v>1.0723683575221354E-2</v>
      </c>
      <c r="AX69" s="21">
        <v>1.072368632051056E-2</v>
      </c>
      <c r="AY69" s="21">
        <v>1.0723685560410767E-2</v>
      </c>
      <c r="AZ69" s="21">
        <v>1.0723683663065217E-2</v>
      </c>
      <c r="BA69" s="21">
        <v>1.07236833466876E-2</v>
      </c>
      <c r="BB69" s="21">
        <v>1.072368383119986E-2</v>
      </c>
      <c r="BC69" s="21"/>
      <c r="BU69" s="9" t="s">
        <v>69</v>
      </c>
    </row>
    <row r="70" spans="1:73" ht="14.4" hidden="1" x14ac:dyDescent="0.3">
      <c r="B70" s="364"/>
      <c r="C70" s="9" t="s">
        <v>104</v>
      </c>
      <c r="D70" s="365"/>
      <c r="E70" s="351"/>
      <c r="F70" s="21">
        <v>0</v>
      </c>
      <c r="G70" s="21">
        <v>0</v>
      </c>
      <c r="H70" s="21">
        <v>0</v>
      </c>
      <c r="I70" s="21">
        <v>0</v>
      </c>
      <c r="J70" s="21">
        <v>0</v>
      </c>
      <c r="K70" s="21">
        <v>0</v>
      </c>
      <c r="L70" s="21">
        <v>0</v>
      </c>
      <c r="M70" s="21">
        <v>0</v>
      </c>
      <c r="N70" s="21">
        <v>0</v>
      </c>
      <c r="O70" s="21">
        <v>0</v>
      </c>
      <c r="P70" s="21">
        <v>0</v>
      </c>
      <c r="Q70" s="21">
        <v>0</v>
      </c>
      <c r="R70" s="21">
        <v>0</v>
      </c>
      <c r="S70" s="21">
        <v>0</v>
      </c>
      <c r="T70" s="21">
        <v>0</v>
      </c>
      <c r="U70" s="21">
        <v>0</v>
      </c>
      <c r="V70" s="21">
        <v>0</v>
      </c>
      <c r="W70" s="21">
        <v>0</v>
      </c>
      <c r="X70" s="21">
        <v>0</v>
      </c>
      <c r="Y70" s="21">
        <v>0</v>
      </c>
      <c r="Z70" s="21">
        <v>0</v>
      </c>
      <c r="AA70" s="21">
        <v>0</v>
      </c>
      <c r="AB70" s="21">
        <v>0</v>
      </c>
      <c r="AC70" s="21">
        <v>0</v>
      </c>
      <c r="AD70" s="21">
        <v>0</v>
      </c>
      <c r="AE70" s="21">
        <v>0</v>
      </c>
      <c r="AF70" s="21">
        <v>0</v>
      </c>
      <c r="AG70" s="21">
        <v>0</v>
      </c>
      <c r="AH70" s="21">
        <v>0</v>
      </c>
      <c r="AI70" s="21">
        <v>0</v>
      </c>
      <c r="AJ70" s="21">
        <v>0</v>
      </c>
      <c r="AK70" s="21">
        <v>0</v>
      </c>
      <c r="AL70" s="21">
        <v>0</v>
      </c>
      <c r="AM70" s="21">
        <v>0</v>
      </c>
      <c r="AN70" s="21">
        <v>0</v>
      </c>
      <c r="AO70" s="21">
        <v>0</v>
      </c>
      <c r="AP70" s="21">
        <v>0</v>
      </c>
      <c r="AQ70" s="21">
        <v>0</v>
      </c>
      <c r="AR70" s="21">
        <v>0</v>
      </c>
      <c r="AS70" s="21">
        <v>0</v>
      </c>
      <c r="AT70" s="21">
        <v>0</v>
      </c>
      <c r="AU70" s="21">
        <v>0</v>
      </c>
      <c r="AV70" s="21">
        <v>0</v>
      </c>
      <c r="AW70" s="21">
        <v>0</v>
      </c>
      <c r="AX70" s="21">
        <v>0</v>
      </c>
      <c r="AY70" s="21">
        <v>0</v>
      </c>
      <c r="AZ70" s="21">
        <v>0</v>
      </c>
      <c r="BA70" s="21">
        <v>0</v>
      </c>
      <c r="BB70" s="21">
        <v>0</v>
      </c>
      <c r="BC70" s="21"/>
    </row>
    <row r="71" spans="1:73" ht="14.4" hidden="1" customHeight="1" x14ac:dyDescent="0.3">
      <c r="B71" s="364"/>
      <c r="C71" s="9" t="s">
        <v>105</v>
      </c>
      <c r="D71" s="365"/>
      <c r="E71" s="351"/>
      <c r="F71" s="21">
        <v>2.8550836223820997</v>
      </c>
      <c r="G71" s="21">
        <v>2.3464983677162197</v>
      </c>
      <c r="H71" s="21">
        <v>3.6138820880811173</v>
      </c>
      <c r="I71" s="21">
        <v>2.4226264031279041</v>
      </c>
      <c r="J71" s="21">
        <v>3.2552413803406082</v>
      </c>
      <c r="K71" s="21">
        <v>2.8113080475031076</v>
      </c>
      <c r="L71" s="21">
        <v>2.5892682372611211</v>
      </c>
      <c r="M71" s="21">
        <v>2.4168427112025506</v>
      </c>
      <c r="N71" s="21">
        <v>2.1407459840284391</v>
      </c>
      <c r="O71" s="21">
        <v>2.0027480344170847</v>
      </c>
      <c r="P71" s="21">
        <v>1.8550366295830525</v>
      </c>
      <c r="Q71" s="21">
        <v>1.7697452988296549</v>
      </c>
      <c r="R71" s="21">
        <v>1.6827044429017703</v>
      </c>
      <c r="S71" s="21">
        <v>1.6193627218447415</v>
      </c>
      <c r="T71" s="21">
        <v>1.5748134895823853</v>
      </c>
      <c r="U71" s="21">
        <v>1.5061655541804335</v>
      </c>
      <c r="V71" s="21">
        <v>1.4455576955887524</v>
      </c>
      <c r="W71" s="21">
        <v>1.4084477197658543</v>
      </c>
      <c r="X71" s="21">
        <v>1.3753939830242663</v>
      </c>
      <c r="Y71" s="21">
        <v>1.3437305578927488</v>
      </c>
      <c r="Z71" s="21">
        <v>1.3132796484574998</v>
      </c>
      <c r="AA71" s="21">
        <v>1.2863249874074854</v>
      </c>
      <c r="AB71" s="21">
        <v>1.2623391474061201</v>
      </c>
      <c r="AC71" s="21">
        <v>1.2409552811622508</v>
      </c>
      <c r="AD71" s="21">
        <v>1.2220706992482917</v>
      </c>
      <c r="AE71" s="21">
        <v>1.2046255051138113</v>
      </c>
      <c r="AF71" s="21">
        <v>1.1886926580736983</v>
      </c>
      <c r="AG71" s="21">
        <v>1.1741676744968699</v>
      </c>
      <c r="AH71" s="21">
        <v>1.1609055488539184</v>
      </c>
      <c r="AI71" s="21">
        <v>1.1487916190401832</v>
      </c>
      <c r="AJ71" s="21">
        <v>1.1377224861455215</v>
      </c>
      <c r="AK71" s="21">
        <v>1.1275915933251783</v>
      </c>
      <c r="AL71" s="21">
        <v>1.1182622238864022</v>
      </c>
      <c r="AM71" s="21">
        <v>1.109670648056712</v>
      </c>
      <c r="AN71" s="21">
        <v>1.1017596582564255</v>
      </c>
      <c r="AO71" s="21">
        <v>1.0944710482580957</v>
      </c>
      <c r="AP71" s="21">
        <v>1.0877496112824168</v>
      </c>
      <c r="AQ71" s="21">
        <v>1.0815431911285824</v>
      </c>
      <c r="AR71" s="21">
        <v>1.0758055069889854</v>
      </c>
      <c r="AS71" s="21">
        <v>1.070496032477823</v>
      </c>
      <c r="AT71" s="21">
        <v>1.0655809120262765</v>
      </c>
      <c r="AU71" s="21">
        <v>1.0610284526508102</v>
      </c>
      <c r="AV71" s="21">
        <v>1.0568091864905078</v>
      </c>
      <c r="AW71" s="21">
        <v>1.0528963165060232</v>
      </c>
      <c r="AX71" s="21">
        <v>1.0492654868222382</v>
      </c>
      <c r="AY71" s="21">
        <v>1.0458946092098009</v>
      </c>
      <c r="AZ71" s="21">
        <v>1.0427636717412709</v>
      </c>
      <c r="BA71" s="21">
        <v>1.0398544904192977</v>
      </c>
      <c r="BB71" s="21">
        <v>1.0371503215200915</v>
      </c>
      <c r="BC71" s="21"/>
    </row>
    <row r="72" spans="1:73" ht="14.4" hidden="1" x14ac:dyDescent="0.3">
      <c r="B72" s="364"/>
      <c r="C72" s="9" t="s">
        <v>106</v>
      </c>
      <c r="D72" s="365"/>
      <c r="E72" s="351"/>
      <c r="F72" s="21">
        <v>5.8573347337664103E-2</v>
      </c>
      <c r="G72" s="21">
        <v>5.6572835251313326E-2</v>
      </c>
      <c r="H72" s="21">
        <v>5.8289835876409395E-2</v>
      </c>
      <c r="I72" s="21">
        <v>6.4633200797909171E-2</v>
      </c>
      <c r="J72" s="21">
        <v>7.057288084894188E-2</v>
      </c>
      <c r="K72" s="21">
        <v>7.8447375896694801E-2</v>
      </c>
      <c r="L72" s="21">
        <v>8.5947712303322904E-2</v>
      </c>
      <c r="M72" s="21">
        <v>9.3246990123235354E-2</v>
      </c>
      <c r="N72" s="21">
        <v>0.10084664811479835</v>
      </c>
      <c r="O72" s="21">
        <v>8.5261378422348669E-2</v>
      </c>
      <c r="P72" s="21">
        <v>8.8301926545449841E-2</v>
      </c>
      <c r="Q72" s="21">
        <v>9.054804193545149E-2</v>
      </c>
      <c r="R72" s="21">
        <v>9.1574532936924774E-2</v>
      </c>
      <c r="S72" s="21">
        <v>9.1376965500761492E-2</v>
      </c>
      <c r="T72" s="21">
        <v>8.9657679031724183E-2</v>
      </c>
      <c r="U72" s="21">
        <v>9.036435690824432E-2</v>
      </c>
      <c r="V72" s="21">
        <v>9.0568301550157423E-2</v>
      </c>
      <c r="W72" s="21">
        <v>9.0643544518034608E-2</v>
      </c>
      <c r="X72" s="21">
        <v>9.051609522599012E-2</v>
      </c>
      <c r="Y72" s="21">
        <v>9.0367936220434555E-2</v>
      </c>
      <c r="Z72" s="21">
        <v>9.052109969684724E-2</v>
      </c>
      <c r="AA72" s="21">
        <v>9.0546224723350804E-2</v>
      </c>
      <c r="AB72" s="21">
        <v>9.0509600434263954E-2</v>
      </c>
      <c r="AC72" s="21">
        <v>9.0471040112014511E-2</v>
      </c>
      <c r="AD72" s="21">
        <v>9.0478491139859826E-2</v>
      </c>
      <c r="AE72" s="21">
        <v>9.0509243482817123E-2</v>
      </c>
      <c r="AF72" s="21">
        <v>9.0508357987563667E-2</v>
      </c>
      <c r="AG72" s="21">
        <v>9.0499046551685891E-2</v>
      </c>
      <c r="AH72" s="21">
        <v>9.049332282394161E-2</v>
      </c>
      <c r="AI72" s="21">
        <v>9.0494537473720507E-2</v>
      </c>
      <c r="AJ72" s="21">
        <v>9.0498639309213341E-2</v>
      </c>
      <c r="AK72" s="21">
        <v>9.0499218690509267E-2</v>
      </c>
      <c r="AL72" s="21">
        <v>9.0498124446047434E-2</v>
      </c>
      <c r="AM72" s="21">
        <v>9.0497542650721588E-2</v>
      </c>
      <c r="AN72" s="21">
        <v>9.0497720311330757E-2</v>
      </c>
      <c r="AO72" s="21">
        <v>9.0497843655291427E-2</v>
      </c>
      <c r="AP72" s="21">
        <v>9.0497614074180721E-2</v>
      </c>
      <c r="AQ72" s="21">
        <v>9.0497675866099581E-2</v>
      </c>
      <c r="AR72" s="21">
        <v>9.0497896010313536E-2</v>
      </c>
      <c r="AS72" s="21">
        <v>9.0497935077265057E-2</v>
      </c>
      <c r="AT72" s="21">
        <v>9.0497837116222613E-2</v>
      </c>
      <c r="AU72" s="21">
        <v>9.0497731531292022E-2</v>
      </c>
      <c r="AV72" s="21">
        <v>9.0497731036240384E-2</v>
      </c>
      <c r="AW72" s="21">
        <v>9.049778797628498E-2</v>
      </c>
      <c r="AX72" s="21">
        <v>9.0497828897678892E-2</v>
      </c>
      <c r="AY72" s="21">
        <v>9.0497824449097583E-2</v>
      </c>
      <c r="AZ72" s="21">
        <v>9.0497796835534064E-2</v>
      </c>
      <c r="BA72" s="21">
        <v>9.0497785748339998E-2</v>
      </c>
      <c r="BB72" s="21">
        <v>9.0497789223575806E-2</v>
      </c>
      <c r="BC72" s="21"/>
    </row>
    <row r="73" spans="1:73" ht="14.4" hidden="1" x14ac:dyDescent="0.3">
      <c r="B73" s="364"/>
      <c r="C73" s="9" t="s">
        <v>107</v>
      </c>
      <c r="D73" s="365"/>
      <c r="E73" s="351"/>
      <c r="F73" s="21">
        <v>0.98498700217717439</v>
      </c>
      <c r="G73" s="21">
        <v>0.98453311138852451</v>
      </c>
      <c r="H73" s="21">
        <v>0.9848397199611626</v>
      </c>
      <c r="I73" s="21">
        <v>0.98645970431518148</v>
      </c>
      <c r="J73" s="21">
        <v>0.98750213521624042</v>
      </c>
      <c r="K73" s="21">
        <v>0.98881006120742643</v>
      </c>
      <c r="L73" s="21">
        <v>0.9898278190344989</v>
      </c>
      <c r="M73" s="21">
        <v>0.99066528905930373</v>
      </c>
      <c r="N73" s="21">
        <v>0.99156819487528602</v>
      </c>
      <c r="O73" s="21">
        <v>0.99017876379338488</v>
      </c>
      <c r="P73" s="21">
        <v>0.99071612451298652</v>
      </c>
      <c r="Q73" s="21">
        <v>0.99112231224466529</v>
      </c>
      <c r="R73" s="21">
        <v>0.99139573304329098</v>
      </c>
      <c r="S73" s="21">
        <v>0.99153984337464562</v>
      </c>
      <c r="T73" s="21">
        <v>0.99153074659642304</v>
      </c>
      <c r="U73" s="21">
        <v>0.9917693875609781</v>
      </c>
      <c r="V73" s="21">
        <v>0.99195728524087612</v>
      </c>
      <c r="W73" s="21">
        <v>0.99211724424004955</v>
      </c>
      <c r="X73" s="21">
        <v>0.99225615321008587</v>
      </c>
      <c r="Y73" s="21">
        <v>0.99239277686920735</v>
      </c>
      <c r="Z73" s="21">
        <v>0.99255474262385024</v>
      </c>
      <c r="AA73" s="21">
        <v>0.99270243917415091</v>
      </c>
      <c r="AB73" s="21">
        <v>0.99284197952894815</v>
      </c>
      <c r="AC73" s="21">
        <v>0.99297840406586724</v>
      </c>
      <c r="AD73" s="21">
        <v>0.99311513585849509</v>
      </c>
      <c r="AE73" s="21">
        <v>0.99325148069046221</v>
      </c>
      <c r="AF73" s="21">
        <v>0.99338289855632067</v>
      </c>
      <c r="AG73" s="21">
        <v>0.99351117820768464</v>
      </c>
      <c r="AH73" s="21">
        <v>0.99363725921885393</v>
      </c>
      <c r="AI73" s="21">
        <v>0.99363637029993912</v>
      </c>
      <c r="AJ73" s="21">
        <v>0.99364888644402249</v>
      </c>
      <c r="AK73" s="21">
        <v>0.9936633155659409</v>
      </c>
      <c r="AL73" s="21">
        <v>0.9936761183427667</v>
      </c>
      <c r="AM73" s="21">
        <v>0.99368981033329185</v>
      </c>
      <c r="AN73" s="21">
        <v>0.99370242028324063</v>
      </c>
      <c r="AO73" s="21">
        <v>0.99372034517185814</v>
      </c>
      <c r="AP73" s="21">
        <v>0.99373899397420273</v>
      </c>
      <c r="AQ73" s="21">
        <v>0.99375838717522624</v>
      </c>
      <c r="AR73" s="21">
        <v>0.99377895968683794</v>
      </c>
      <c r="AS73" s="21">
        <v>0.99380108072561268</v>
      </c>
      <c r="AT73" s="21">
        <v>0.99382443366405659</v>
      </c>
      <c r="AU73" s="21">
        <v>0.99384887391151944</v>
      </c>
      <c r="AV73" s="21">
        <v>0.99387434311022105</v>
      </c>
      <c r="AW73" s="21">
        <v>0.99390106380174104</v>
      </c>
      <c r="AX73" s="21">
        <v>0.99392900173662158</v>
      </c>
      <c r="AY73" s="21">
        <v>0.99395822620694774</v>
      </c>
      <c r="AZ73" s="21">
        <v>0.99398850716631071</v>
      </c>
      <c r="BA73" s="21">
        <v>0.99401986423220845</v>
      </c>
      <c r="BB73" s="21">
        <v>0.99405230938911049</v>
      </c>
      <c r="BC73" s="21"/>
    </row>
    <row r="74" spans="1:73" ht="14.4" hidden="1" x14ac:dyDescent="0.3">
      <c r="B74" s="364"/>
      <c r="C74" s="9" t="s">
        <v>108</v>
      </c>
      <c r="D74" s="365"/>
      <c r="E74" s="351"/>
      <c r="F74" s="21">
        <v>4.3831139605698441E-2</v>
      </c>
      <c r="G74" s="21">
        <v>4.2746665989666088E-2</v>
      </c>
      <c r="H74" s="21">
        <v>4.3297804900355633E-2</v>
      </c>
      <c r="I74" s="21">
        <v>4.8431982513491748E-2</v>
      </c>
      <c r="J74" s="21">
        <v>5.1922236880988931E-2</v>
      </c>
      <c r="K74" s="21">
        <v>5.763481841866247E-2</v>
      </c>
      <c r="L74" s="21">
        <v>6.2990257671875299E-2</v>
      </c>
      <c r="M74" s="21">
        <v>6.8205716685681081E-2</v>
      </c>
      <c r="N74" s="21">
        <v>7.3505264786434724E-2</v>
      </c>
      <c r="O74" s="21">
        <v>6.2907928691189538E-2</v>
      </c>
      <c r="P74" s="21">
        <v>6.5075859903023656E-2</v>
      </c>
      <c r="Q74" s="21">
        <v>6.6552395006722359E-2</v>
      </c>
      <c r="R74" s="21">
        <v>6.7262468156415359E-2</v>
      </c>
      <c r="S74" s="21">
        <v>6.7074682706050992E-2</v>
      </c>
      <c r="T74" s="21">
        <v>6.5779402170538473E-2</v>
      </c>
      <c r="U74" s="21">
        <v>6.6350246428066098E-2</v>
      </c>
      <c r="V74" s="21">
        <v>6.6603050089939095E-2</v>
      </c>
      <c r="W74" s="21">
        <v>6.6613748902257158E-2</v>
      </c>
      <c r="X74" s="21">
        <v>6.6484367038253236E-2</v>
      </c>
      <c r="Y74" s="21">
        <v>6.6366407083974455E-2</v>
      </c>
      <c r="Z74" s="21">
        <v>6.6483809077890296E-2</v>
      </c>
      <c r="AA74" s="21">
        <v>6.6510467454711925E-2</v>
      </c>
      <c r="AB74" s="21">
        <v>6.6491691750234935E-2</v>
      </c>
      <c r="AC74" s="21">
        <v>6.6467182646491457E-2</v>
      </c>
      <c r="AD74" s="21">
        <v>6.646387695350231E-2</v>
      </c>
      <c r="AE74" s="21">
        <v>6.6483437396925818E-2</v>
      </c>
      <c r="AF74" s="21">
        <v>6.6483374902525816E-2</v>
      </c>
      <c r="AG74" s="21">
        <v>6.6477942349943975E-2</v>
      </c>
      <c r="AH74" s="21">
        <v>6.6475163616381172E-2</v>
      </c>
      <c r="AI74" s="21">
        <v>6.6476733945643948E-2</v>
      </c>
      <c r="AJ74" s="21">
        <v>6.6479312418375444E-2</v>
      </c>
      <c r="AK74" s="21">
        <v>6.6478508945850903E-2</v>
      </c>
      <c r="AL74" s="21">
        <v>6.6477541597153356E-2</v>
      </c>
      <c r="AM74" s="21">
        <v>6.6477458278507193E-2</v>
      </c>
      <c r="AN74" s="21">
        <v>6.6477911897467948E-2</v>
      </c>
      <c r="AO74" s="21">
        <v>6.6478143395735767E-2</v>
      </c>
      <c r="AP74" s="21">
        <v>6.6477909029174151E-2</v>
      </c>
      <c r="AQ74" s="21">
        <v>6.6477792096960753E-2</v>
      </c>
      <c r="AR74" s="21">
        <v>6.6477844667264932E-2</v>
      </c>
      <c r="AS74" s="21">
        <v>6.6477921693006481E-2</v>
      </c>
      <c r="AT74" s="21">
        <v>6.6477922528670463E-2</v>
      </c>
      <c r="AU74" s="21">
        <v>6.6477877523889409E-2</v>
      </c>
      <c r="AV74" s="21">
        <v>6.6477871031598385E-2</v>
      </c>
      <c r="AW74" s="21">
        <v>6.6477887184512072E-2</v>
      </c>
      <c r="AX74" s="21">
        <v>6.6477896186469168E-2</v>
      </c>
      <c r="AY74" s="21">
        <v>6.6477891218999108E-2</v>
      </c>
      <c r="AZ74" s="21">
        <v>6.6477884757112207E-2</v>
      </c>
      <c r="BA74" s="21">
        <v>6.6477886011235471E-2</v>
      </c>
      <c r="BB74" s="21">
        <v>6.6477888947630362E-2</v>
      </c>
      <c r="BC74" s="21"/>
    </row>
    <row r="75" spans="1:73" ht="14.4" hidden="1" x14ac:dyDescent="0.3">
      <c r="B75" s="364"/>
      <c r="C75" s="9" t="s">
        <v>109</v>
      </c>
      <c r="D75" s="365"/>
      <c r="E75" s="351"/>
      <c r="F75" s="21">
        <v>4.7551986799253446E-2</v>
      </c>
      <c r="G75" s="21">
        <v>4.1802981108913187E-2</v>
      </c>
      <c r="H75" s="21">
        <v>5.0926625164347129E-2</v>
      </c>
      <c r="I75" s="21">
        <v>5.2664245368809787E-2</v>
      </c>
      <c r="J75" s="21">
        <v>7.1475999320665132E-2</v>
      </c>
      <c r="K75" s="21">
        <v>8.3150199973388225E-2</v>
      </c>
      <c r="L75" s="21">
        <v>9.6790777960421792E-2</v>
      </c>
      <c r="M75" s="21">
        <v>0.11112424062282419</v>
      </c>
      <c r="N75" s="21">
        <v>0.130931575873665</v>
      </c>
      <c r="O75" s="21">
        <v>8.7765071859476698E-2</v>
      </c>
      <c r="P75" s="21">
        <v>9.3235373351930245E-2</v>
      </c>
      <c r="Q75" s="21">
        <v>9.9834895444193994E-2</v>
      </c>
      <c r="R75" s="21">
        <v>0.10226335178283068</v>
      </c>
      <c r="S75" s="21">
        <v>0.10284972854902191</v>
      </c>
      <c r="T75" s="21">
        <v>0.10094162283890143</v>
      </c>
      <c r="U75" s="21">
        <v>0.10092489990877475</v>
      </c>
      <c r="V75" s="21">
        <v>9.9154479548415345E-2</v>
      </c>
      <c r="W75" s="21">
        <v>0.10015361612866611</v>
      </c>
      <c r="X75" s="21">
        <v>0.10068759328681737</v>
      </c>
      <c r="Y75" s="21">
        <v>0.10065263099132656</v>
      </c>
      <c r="Z75" s="21">
        <v>0.10078152276605491</v>
      </c>
      <c r="AA75" s="21">
        <v>0.10065173357185052</v>
      </c>
      <c r="AB75" s="21">
        <v>0.10043182034663641</v>
      </c>
      <c r="AC75" s="21">
        <v>0.10029693368248346</v>
      </c>
      <c r="AD75" s="21">
        <v>0.10048617614170248</v>
      </c>
      <c r="AE75" s="21">
        <v>0.10059373054218165</v>
      </c>
      <c r="AF75" s="21">
        <v>0.10058043813112198</v>
      </c>
      <c r="AG75" s="21">
        <v>0.10053789442652894</v>
      </c>
      <c r="AH75" s="21">
        <v>0.10050035583222426</v>
      </c>
      <c r="AI75" s="21">
        <v>0.10048838722306898</v>
      </c>
      <c r="AJ75" s="21">
        <v>0.10050334449015241</v>
      </c>
      <c r="AK75" s="21">
        <v>0.10052919910242607</v>
      </c>
      <c r="AL75" s="21">
        <v>0.10053089140919985</v>
      </c>
      <c r="AM75" s="21">
        <v>0.10052302560299319</v>
      </c>
      <c r="AN75" s="21">
        <v>0.10051672057826075</v>
      </c>
      <c r="AO75" s="21">
        <v>0.10051404006811525</v>
      </c>
      <c r="AP75" s="21">
        <v>0.10051503354770977</v>
      </c>
      <c r="AQ75" s="21">
        <v>0.10051842630431346</v>
      </c>
      <c r="AR75" s="21">
        <v>0.1005209743069409</v>
      </c>
      <c r="AS75" s="21">
        <v>0.10052004991316557</v>
      </c>
      <c r="AT75" s="21">
        <v>0.10051842343751261</v>
      </c>
      <c r="AU75" s="21">
        <v>0.1005176038330033</v>
      </c>
      <c r="AV75" s="21">
        <v>0.1005177277090855</v>
      </c>
      <c r="AW75" s="21">
        <v>0.1005183347607666</v>
      </c>
      <c r="AX75" s="21">
        <v>0.10051882404230715</v>
      </c>
      <c r="AY75" s="21">
        <v>0.10051885196053144</v>
      </c>
      <c r="AZ75" s="21">
        <v>0.10051852967240184</v>
      </c>
      <c r="BA75" s="21">
        <v>0.10051832201343755</v>
      </c>
      <c r="BB75" s="21">
        <v>0.10051831940280991</v>
      </c>
      <c r="BC75" s="21"/>
    </row>
    <row r="76" spans="1:73" ht="14.4" hidden="1" x14ac:dyDescent="0.3">
      <c r="B76" s="364"/>
      <c r="C76" s="9" t="s">
        <v>110</v>
      </c>
      <c r="D76" s="365"/>
      <c r="E76" s="351"/>
      <c r="F76" s="21">
        <v>2.7561377072066466E-3</v>
      </c>
      <c r="G76" s="21">
        <v>2.6147148439114652E-3</v>
      </c>
      <c r="H76" s="21">
        <v>2.7741183720841195E-3</v>
      </c>
      <c r="I76" s="21">
        <v>3.0612829622454333E-3</v>
      </c>
      <c r="J76" s="21">
        <v>3.474270223376417E-3</v>
      </c>
      <c r="K76" s="21">
        <v>3.9174267513103992E-3</v>
      </c>
      <c r="L76" s="21">
        <v>4.36001936113519E-3</v>
      </c>
      <c r="M76" s="21">
        <v>4.80085567304299E-3</v>
      </c>
      <c r="N76" s="21">
        <v>5.3411170317071233E-3</v>
      </c>
      <c r="O76" s="21">
        <v>4.3461203167697946E-3</v>
      </c>
      <c r="P76" s="21">
        <v>4.5747629414030948E-3</v>
      </c>
      <c r="Q76" s="21">
        <v>4.7800606776780509E-3</v>
      </c>
      <c r="R76" s="21">
        <v>4.8989900387606646E-3</v>
      </c>
      <c r="S76" s="21">
        <v>4.9457700524316011E-3</v>
      </c>
      <c r="T76" s="21">
        <v>4.8973226671692148E-3</v>
      </c>
      <c r="U76" s="21">
        <v>4.9882796221624327E-3</v>
      </c>
      <c r="V76" s="21">
        <v>5.0391709205450863E-3</v>
      </c>
      <c r="W76" s="21">
        <v>5.1130466451564287E-3</v>
      </c>
      <c r="X76" s="21">
        <v>5.1753622698600399E-3</v>
      </c>
      <c r="Y76" s="21">
        <v>5.2335607207831007E-3</v>
      </c>
      <c r="Z76" s="21">
        <v>5.3120599357116124E-3</v>
      </c>
      <c r="AA76" s="21">
        <v>5.3842058418584436E-3</v>
      </c>
      <c r="AB76" s="21">
        <v>5.455288581289853E-3</v>
      </c>
      <c r="AC76" s="21">
        <v>5.5309009340956819E-3</v>
      </c>
      <c r="AD76" s="21">
        <v>5.6176604932700229E-3</v>
      </c>
      <c r="AE76" s="21">
        <v>5.7089243682491124E-3</v>
      </c>
      <c r="AF76" s="21">
        <v>5.8013257309581521E-3</v>
      </c>
      <c r="AG76" s="21">
        <v>5.8977294535462518E-3</v>
      </c>
      <c r="AH76" s="21">
        <v>5.9997124987736152E-3</v>
      </c>
      <c r="AI76" s="21">
        <v>6.108325663922662E-3</v>
      </c>
      <c r="AJ76" s="21">
        <v>6.2239777917861613E-3</v>
      </c>
      <c r="AK76" s="21">
        <v>6.346621810905514E-3</v>
      </c>
      <c r="AL76" s="21">
        <v>6.4761103353606171E-3</v>
      </c>
      <c r="AM76" s="21">
        <v>6.6135153146037661E-3</v>
      </c>
      <c r="AN76" s="21">
        <v>6.7598872492207127E-3</v>
      </c>
      <c r="AO76" s="21">
        <v>6.9161212688529945E-3</v>
      </c>
      <c r="AP76" s="21">
        <v>7.0832059909811448E-3</v>
      </c>
      <c r="AQ76" s="21">
        <v>7.2622657892937956E-3</v>
      </c>
      <c r="AR76" s="21">
        <v>7.4544571556697803E-3</v>
      </c>
      <c r="AS76" s="21">
        <v>7.661103999981253E-3</v>
      </c>
      <c r="AT76" s="21">
        <v>7.8839890821038594E-3</v>
      </c>
      <c r="AU76" s="21">
        <v>8.1251408934202504E-3</v>
      </c>
      <c r="AV76" s="21">
        <v>8.3868605931608029E-3</v>
      </c>
      <c r="AW76" s="21">
        <v>8.6718070053196702E-3</v>
      </c>
      <c r="AX76" s="21">
        <v>8.9831074389842731E-3</v>
      </c>
      <c r="AY76" s="21">
        <v>9.3244983172566936E-3</v>
      </c>
      <c r="AZ76" s="21">
        <v>9.7004968799369769E-3</v>
      </c>
      <c r="BA76" s="21">
        <v>1.0116605112473316E-2</v>
      </c>
      <c r="BB76" s="21">
        <v>1.0579516069031012E-2</v>
      </c>
      <c r="BC76" s="21"/>
      <c r="BU76" s="9" t="s">
        <v>69</v>
      </c>
    </row>
    <row r="77" spans="1:73" ht="14.4" hidden="1" x14ac:dyDescent="0.3">
      <c r="B77" s="364"/>
      <c r="C77" s="9" t="s">
        <v>111</v>
      </c>
      <c r="D77" s="365"/>
      <c r="E77" s="351"/>
      <c r="F77" s="21">
        <v>1.7497319759672309E-4</v>
      </c>
      <c r="G77" s="21">
        <v>1.6311370413141116E-4</v>
      </c>
      <c r="H77" s="21">
        <v>1.7843971793349284E-4</v>
      </c>
      <c r="I77" s="21">
        <v>1.9448805141673503E-4</v>
      </c>
      <c r="J77" s="21">
        <v>2.2925748422906078E-4</v>
      </c>
      <c r="K77" s="21">
        <v>2.6053687523666869E-4</v>
      </c>
      <c r="L77" s="21">
        <v>2.9293142422502356E-4</v>
      </c>
      <c r="M77" s="21">
        <v>3.2558293856118292E-4</v>
      </c>
      <c r="N77" s="21">
        <v>3.7016519343995816E-4</v>
      </c>
      <c r="O77" s="21">
        <v>2.9157621520589113E-4</v>
      </c>
      <c r="P77" s="21">
        <v>3.1060754615702289E-4</v>
      </c>
      <c r="Q77" s="21">
        <v>3.298162581254297E-4</v>
      </c>
      <c r="R77" s="21">
        <v>3.4175278324070267E-4</v>
      </c>
      <c r="S77" s="21">
        <v>3.486644650314156E-4</v>
      </c>
      <c r="T77" s="21">
        <v>3.4848522048292672E-4</v>
      </c>
      <c r="U77" s="21">
        <v>3.5784768275751009E-4</v>
      </c>
      <c r="V77" s="21">
        <v>3.6346822103447245E-4</v>
      </c>
      <c r="W77" s="21">
        <v>3.7364821770763943E-4</v>
      </c>
      <c r="X77" s="21">
        <v>3.832413115375046E-4</v>
      </c>
      <c r="Y77" s="21">
        <v>3.9243491887189756E-4</v>
      </c>
      <c r="Z77" s="21">
        <v>4.0345143063014871E-4</v>
      </c>
      <c r="AA77" s="21">
        <v>4.1435863499079766E-4</v>
      </c>
      <c r="AB77" s="21">
        <v>4.2570803976360171E-4</v>
      </c>
      <c r="AC77" s="21">
        <v>4.381735976977442E-4</v>
      </c>
      <c r="AD77" s="21">
        <v>4.5275976074010454E-4</v>
      </c>
      <c r="AE77" s="21">
        <v>4.6846015195640029E-4</v>
      </c>
      <c r="AF77" s="21">
        <v>4.8512514755519125E-4</v>
      </c>
      <c r="AG77" s="21">
        <v>5.032570391636258E-4</v>
      </c>
      <c r="AH77" s="21">
        <v>5.23232146239012E-4</v>
      </c>
      <c r="AI77" s="21">
        <v>5.2966603432325261E-4</v>
      </c>
      <c r="AJ77" s="21">
        <v>5.3643258395628739E-4</v>
      </c>
      <c r="AK77" s="21">
        <v>5.4346635359657719E-4</v>
      </c>
      <c r="AL77" s="21">
        <v>5.5060575531819462E-4</v>
      </c>
      <c r="AM77" s="21">
        <v>5.5792970437857996E-4</v>
      </c>
      <c r="AN77" s="21">
        <v>5.6550584604930798E-4</v>
      </c>
      <c r="AO77" s="21">
        <v>5.7335822439068512E-4</v>
      </c>
      <c r="AP77" s="21">
        <v>5.8150225948097199E-4</v>
      </c>
      <c r="AQ77" s="21">
        <v>5.8994697572888511E-4</v>
      </c>
      <c r="AR77" s="21">
        <v>5.9868834587526679E-4</v>
      </c>
      <c r="AS77" s="21">
        <v>6.0772457678028578E-4</v>
      </c>
      <c r="AT77" s="21">
        <v>6.1708961262824742E-4</v>
      </c>
      <c r="AU77" s="21">
        <v>6.2681235712262675E-4</v>
      </c>
      <c r="AV77" s="21">
        <v>6.3691451346694901E-4</v>
      </c>
      <c r="AW77" s="21">
        <v>6.4741497348634602E-4</v>
      </c>
      <c r="AX77" s="21">
        <v>6.5833276634961525E-4</v>
      </c>
      <c r="AY77" s="21">
        <v>6.6969021781795694E-4</v>
      </c>
      <c r="AZ77" s="21">
        <v>6.8151516892226349E-4</v>
      </c>
      <c r="BA77" s="21">
        <v>6.9384105921464648E-4</v>
      </c>
      <c r="BB77" s="21">
        <v>7.0670103729520708E-4</v>
      </c>
      <c r="BC77" s="21"/>
    </row>
    <row r="78" spans="1:73" ht="14.4" hidden="1" x14ac:dyDescent="0.3">
      <c r="B78" s="364"/>
      <c r="C78" s="9" t="s">
        <v>112</v>
      </c>
      <c r="D78" s="365"/>
      <c r="E78" s="351"/>
      <c r="F78" s="21">
        <v>4.9523782225506161E-4</v>
      </c>
      <c r="G78" s="21">
        <v>4.8203243768046091E-4</v>
      </c>
      <c r="H78" s="21">
        <v>4.8923804741742764E-4</v>
      </c>
      <c r="I78" s="21">
        <v>5.4984910818575553E-4</v>
      </c>
      <c r="J78" s="21">
        <v>5.925979737033567E-4</v>
      </c>
      <c r="K78" s="21">
        <v>6.6193733021761045E-4</v>
      </c>
      <c r="L78" s="21">
        <v>7.2780937631258932E-4</v>
      </c>
      <c r="M78" s="21">
        <v>7.9269888517931417E-4</v>
      </c>
      <c r="N78" s="21">
        <v>8.595312207692723E-4</v>
      </c>
      <c r="O78" s="21">
        <v>9.2303991675927121E-4</v>
      </c>
      <c r="P78" s="21">
        <v>9.9254947971424653E-4</v>
      </c>
      <c r="Q78" s="21">
        <v>1.0570511073399371E-3</v>
      </c>
      <c r="R78" s="21">
        <v>1.1326768467062734E-3</v>
      </c>
      <c r="S78" s="21">
        <v>1.2199465817488381E-3</v>
      </c>
      <c r="T78" s="21">
        <v>1.3026677329252443E-3</v>
      </c>
      <c r="U78" s="21">
        <v>1.399134408189273E-3</v>
      </c>
      <c r="V78" s="21">
        <v>1.4991294794585411E-3</v>
      </c>
      <c r="W78" s="21">
        <v>1.604793351645163E-3</v>
      </c>
      <c r="X78" s="21">
        <v>1.7230629539724319E-3</v>
      </c>
      <c r="Y78" s="21">
        <v>1.8433525026681737E-3</v>
      </c>
      <c r="Z78" s="21">
        <v>1.9764676378904215E-3</v>
      </c>
      <c r="AA78" s="21">
        <v>2.1250681682725104E-3</v>
      </c>
      <c r="AB78" s="21">
        <v>2.2851491727041155E-3</v>
      </c>
      <c r="AC78" s="21">
        <v>2.4622509552244547E-3</v>
      </c>
      <c r="AD78" s="21">
        <v>2.6467180081170974E-3</v>
      </c>
      <c r="AE78" s="21">
        <v>2.8475552191374897E-3</v>
      </c>
      <c r="AF78" s="21">
        <v>3.0768570140518869E-3</v>
      </c>
      <c r="AG78" s="21">
        <v>3.31359375773561E-3</v>
      </c>
      <c r="AH78" s="21">
        <v>3.576782620087612E-3</v>
      </c>
      <c r="AI78" s="21">
        <v>3.5768663369955896E-3</v>
      </c>
      <c r="AJ78" s="21">
        <v>3.5770195072001871E-3</v>
      </c>
      <c r="AK78" s="21">
        <v>3.5769856225749221E-3</v>
      </c>
      <c r="AL78" s="21">
        <v>3.5769314724416286E-3</v>
      </c>
      <c r="AM78" s="21">
        <v>3.5769231747665854E-3</v>
      </c>
      <c r="AN78" s="21">
        <v>3.5769460671395349E-3</v>
      </c>
      <c r="AO78" s="21">
        <v>3.5769579934956559E-3</v>
      </c>
      <c r="AP78" s="21">
        <v>3.5769451389660156E-3</v>
      </c>
      <c r="AQ78" s="21">
        <v>3.5769400397226989E-3</v>
      </c>
      <c r="AR78" s="21">
        <v>3.5769441800341771E-3</v>
      </c>
      <c r="AS78" s="21">
        <v>3.5769481335534551E-3</v>
      </c>
      <c r="AT78" s="21">
        <v>3.5769474431774405E-3</v>
      </c>
      <c r="AU78" s="21">
        <v>3.5769445163997661E-3</v>
      </c>
      <c r="AV78" s="21">
        <v>3.5769442040206592E-3</v>
      </c>
      <c r="AW78" s="21">
        <v>3.5769453964225231E-3</v>
      </c>
      <c r="AX78" s="21">
        <v>3.5769461294291021E-3</v>
      </c>
      <c r="AY78" s="21">
        <v>3.5769458600848018E-3</v>
      </c>
      <c r="AZ78" s="21">
        <v>3.5769453470352853E-3</v>
      </c>
      <c r="BA78" s="21">
        <v>3.5769453240316221E-3</v>
      </c>
      <c r="BB78" s="21">
        <v>3.5769454895497976E-3</v>
      </c>
      <c r="BC78" s="21"/>
    </row>
    <row r="79" spans="1:73" ht="14.4" x14ac:dyDescent="0.3">
      <c r="A79" s="16" t="s">
        <v>50</v>
      </c>
      <c r="B79" s="16"/>
      <c r="C79" s="31" t="s">
        <v>113</v>
      </c>
      <c r="D79" s="351"/>
      <c r="E79" s="35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row>
    <row r="80" spans="1:73" ht="14.4" customHeight="1" x14ac:dyDescent="0.3">
      <c r="B80" s="30"/>
      <c r="C80" s="9" t="s">
        <v>114</v>
      </c>
      <c r="D80" s="351" t="s">
        <v>53</v>
      </c>
      <c r="E80" s="351"/>
      <c r="F80" s="21">
        <f>BF80</f>
        <v>3</v>
      </c>
      <c r="G80" s="21">
        <f t="shared" si="106"/>
        <v>6</v>
      </c>
      <c r="H80" s="21">
        <f t="shared" si="159"/>
        <v>9</v>
      </c>
      <c r="I80" s="21">
        <f t="shared" si="159"/>
        <v>12</v>
      </c>
      <c r="J80" s="21">
        <f t="shared" si="159"/>
        <v>15</v>
      </c>
      <c r="K80" s="21">
        <f t="shared" si="159"/>
        <v>18</v>
      </c>
      <c r="L80" s="21">
        <f t="shared" si="159"/>
        <v>21</v>
      </c>
      <c r="M80" s="21">
        <f t="shared" si="159"/>
        <v>24</v>
      </c>
      <c r="N80" s="21">
        <f t="shared" si="159"/>
        <v>27</v>
      </c>
      <c r="O80" s="21">
        <f t="shared" si="159"/>
        <v>30</v>
      </c>
      <c r="P80" s="21">
        <f t="shared" si="159"/>
        <v>33</v>
      </c>
      <c r="Q80" s="21">
        <f t="shared" si="159"/>
        <v>36</v>
      </c>
      <c r="R80" s="21">
        <f t="shared" si="159"/>
        <v>39</v>
      </c>
      <c r="S80" s="21">
        <f t="shared" si="159"/>
        <v>42</v>
      </c>
      <c r="T80" s="21">
        <f t="shared" si="159"/>
        <v>45</v>
      </c>
      <c r="U80" s="21">
        <f t="shared" si="159"/>
        <v>48</v>
      </c>
      <c r="V80" s="21">
        <f t="shared" si="159"/>
        <v>51</v>
      </c>
      <c r="W80" s="21">
        <f t="shared" si="159"/>
        <v>54</v>
      </c>
      <c r="X80" s="21">
        <f t="shared" si="159"/>
        <v>57</v>
      </c>
      <c r="Y80" s="21">
        <f t="shared" si="159"/>
        <v>60</v>
      </c>
      <c r="Z80" s="21">
        <f t="shared" si="159"/>
        <v>63</v>
      </c>
      <c r="AA80" s="21">
        <f t="shared" si="159"/>
        <v>66</v>
      </c>
      <c r="AB80" s="21">
        <f t="shared" si="159"/>
        <v>69</v>
      </c>
      <c r="AC80" s="21">
        <f t="shared" si="159"/>
        <v>72</v>
      </c>
      <c r="AD80" s="21">
        <f t="shared" si="159"/>
        <v>75</v>
      </c>
      <c r="AE80" s="21">
        <f t="shared" si="159"/>
        <v>78</v>
      </c>
      <c r="AF80" s="21">
        <f t="shared" si="159"/>
        <v>81</v>
      </c>
      <c r="AG80" s="21">
        <f t="shared" si="159"/>
        <v>84</v>
      </c>
      <c r="AH80" s="21">
        <f t="shared" si="159"/>
        <v>87</v>
      </c>
      <c r="AI80" s="21">
        <f t="shared" si="159"/>
        <v>90</v>
      </c>
      <c r="AJ80" s="21">
        <f t="shared" si="159"/>
        <v>93</v>
      </c>
      <c r="AK80" s="21">
        <f t="shared" si="159"/>
        <v>96</v>
      </c>
      <c r="AL80" s="21">
        <f t="shared" si="159"/>
        <v>99</v>
      </c>
      <c r="AM80" s="21">
        <f t="shared" si="159"/>
        <v>102</v>
      </c>
      <c r="AN80" s="21">
        <f t="shared" si="159"/>
        <v>105</v>
      </c>
      <c r="AO80" s="21">
        <f t="shared" si="159"/>
        <v>108</v>
      </c>
      <c r="AP80" s="21">
        <f t="shared" si="159"/>
        <v>111</v>
      </c>
      <c r="AQ80" s="21">
        <f t="shared" si="159"/>
        <v>114</v>
      </c>
      <c r="AR80" s="21">
        <f t="shared" si="159"/>
        <v>117</v>
      </c>
      <c r="AS80" s="21">
        <f t="shared" si="159"/>
        <v>120</v>
      </c>
      <c r="AT80" s="21">
        <f t="shared" si="159"/>
        <v>123</v>
      </c>
      <c r="AU80" s="21">
        <f t="shared" si="159"/>
        <v>126</v>
      </c>
      <c r="AV80" s="21">
        <f t="shared" si="159"/>
        <v>129</v>
      </c>
      <c r="AW80" s="21">
        <f t="shared" si="159"/>
        <v>132</v>
      </c>
      <c r="AX80" s="21">
        <f t="shared" si="159"/>
        <v>135</v>
      </c>
      <c r="AY80" s="21">
        <f t="shared" si="159"/>
        <v>138</v>
      </c>
      <c r="AZ80" s="21">
        <f t="shared" si="159"/>
        <v>141</v>
      </c>
      <c r="BA80" s="21">
        <f t="shared" si="159"/>
        <v>144</v>
      </c>
      <c r="BB80" s="21">
        <f t="shared" si="159"/>
        <v>147</v>
      </c>
      <c r="BC80" s="21"/>
      <c r="BE80" s="368" t="s">
        <v>54</v>
      </c>
      <c r="BF80" s="353">
        <v>3</v>
      </c>
      <c r="BG80" s="37" t="s">
        <v>59</v>
      </c>
    </row>
    <row r="81" spans="1:59" ht="14.4" customHeight="1" x14ac:dyDescent="0.3">
      <c r="A81" s="16" t="s">
        <v>115</v>
      </c>
      <c r="B81" s="16"/>
      <c r="C81" s="31" t="s">
        <v>116</v>
      </c>
      <c r="D81" s="351"/>
      <c r="E81" s="35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E81" s="368"/>
      <c r="BF81" s="370"/>
      <c r="BG81" s="371"/>
    </row>
    <row r="82" spans="1:59" ht="14.4" customHeight="1" x14ac:dyDescent="0.3">
      <c r="B82" s="16"/>
      <c r="C82" s="9" t="s">
        <v>117</v>
      </c>
      <c r="D82" s="351" t="s">
        <v>53</v>
      </c>
      <c r="F82" s="21">
        <v>0</v>
      </c>
      <c r="G82" s="21">
        <v>0</v>
      </c>
      <c r="H82" s="21">
        <v>0</v>
      </c>
      <c r="I82" s="21">
        <v>0</v>
      </c>
      <c r="J82" s="21">
        <v>0</v>
      </c>
      <c r="K82" s="21">
        <v>0</v>
      </c>
      <c r="L82" s="21">
        <v>0</v>
      </c>
      <c r="M82" s="21">
        <v>0</v>
      </c>
      <c r="N82" s="21">
        <v>0</v>
      </c>
      <c r="O82" s="21">
        <v>0</v>
      </c>
      <c r="P82" s="21">
        <v>0</v>
      </c>
      <c r="Q82" s="21">
        <v>0</v>
      </c>
      <c r="R82" s="21">
        <v>0</v>
      </c>
      <c r="S82" s="21">
        <v>0.5</v>
      </c>
      <c r="T82" s="21">
        <f t="shared" ref="T82:BB89" si="207">S82+$BF82</f>
        <v>1</v>
      </c>
      <c r="U82" s="21">
        <f t="shared" si="207"/>
        <v>1.5</v>
      </c>
      <c r="V82" s="21">
        <f t="shared" si="207"/>
        <v>2</v>
      </c>
      <c r="W82" s="21">
        <f t="shared" si="207"/>
        <v>2.5</v>
      </c>
      <c r="X82" s="21">
        <f t="shared" si="207"/>
        <v>3</v>
      </c>
      <c r="Y82" s="21">
        <f t="shared" si="207"/>
        <v>3.5</v>
      </c>
      <c r="Z82" s="21">
        <f t="shared" si="207"/>
        <v>4</v>
      </c>
      <c r="AA82" s="21">
        <f t="shared" si="207"/>
        <v>4.5</v>
      </c>
      <c r="AB82" s="21">
        <f t="shared" si="207"/>
        <v>5</v>
      </c>
      <c r="AC82" s="21">
        <f t="shared" si="207"/>
        <v>5.5</v>
      </c>
      <c r="AD82" s="21">
        <f t="shared" si="207"/>
        <v>6</v>
      </c>
      <c r="AE82" s="21">
        <f t="shared" si="207"/>
        <v>6.5</v>
      </c>
      <c r="AF82" s="21">
        <f t="shared" si="207"/>
        <v>7</v>
      </c>
      <c r="AG82" s="21">
        <f t="shared" si="207"/>
        <v>7.5</v>
      </c>
      <c r="AH82" s="21">
        <f t="shared" si="207"/>
        <v>8</v>
      </c>
      <c r="AI82" s="21">
        <f t="shared" si="207"/>
        <v>8.5</v>
      </c>
      <c r="AJ82" s="21">
        <f t="shared" si="207"/>
        <v>9</v>
      </c>
      <c r="AK82" s="21">
        <f t="shared" si="207"/>
        <v>9.5</v>
      </c>
      <c r="AL82" s="21">
        <f t="shared" si="207"/>
        <v>10</v>
      </c>
      <c r="AM82" s="21">
        <f t="shared" si="207"/>
        <v>10.5</v>
      </c>
      <c r="AN82" s="21">
        <f t="shared" si="207"/>
        <v>11</v>
      </c>
      <c r="AO82" s="21">
        <f t="shared" si="207"/>
        <v>11.5</v>
      </c>
      <c r="AP82" s="21">
        <f t="shared" si="207"/>
        <v>12</v>
      </c>
      <c r="AQ82" s="21">
        <f t="shared" si="207"/>
        <v>12.5</v>
      </c>
      <c r="AR82" s="21">
        <f t="shared" si="207"/>
        <v>13</v>
      </c>
      <c r="AS82" s="21">
        <f t="shared" si="207"/>
        <v>13.5</v>
      </c>
      <c r="AT82" s="21">
        <f t="shared" si="207"/>
        <v>14</v>
      </c>
      <c r="AU82" s="21">
        <f t="shared" si="207"/>
        <v>14.5</v>
      </c>
      <c r="AV82" s="21">
        <f t="shared" si="207"/>
        <v>15</v>
      </c>
      <c r="AW82" s="21">
        <f t="shared" si="207"/>
        <v>15.5</v>
      </c>
      <c r="AX82" s="21">
        <f t="shared" si="207"/>
        <v>16</v>
      </c>
      <c r="AY82" s="21">
        <f t="shared" si="207"/>
        <v>16.5</v>
      </c>
      <c r="AZ82" s="21">
        <f t="shared" si="207"/>
        <v>17</v>
      </c>
      <c r="BA82" s="21">
        <f t="shared" si="207"/>
        <v>17.5</v>
      </c>
      <c r="BB82" s="21">
        <f t="shared" si="207"/>
        <v>18</v>
      </c>
      <c r="BC82" s="21"/>
      <c r="BE82" s="368"/>
      <c r="BF82" s="353">
        <v>0.5</v>
      </c>
      <c r="BG82" s="37" t="s">
        <v>55</v>
      </c>
    </row>
    <row r="83" spans="1:59" ht="14.4" customHeight="1" x14ac:dyDescent="0.3">
      <c r="C83" s="9" t="s">
        <v>118</v>
      </c>
      <c r="D83" s="351" t="s">
        <v>53</v>
      </c>
      <c r="F83" s="21">
        <v>0</v>
      </c>
      <c r="G83" s="21">
        <v>0</v>
      </c>
      <c r="H83" s="21">
        <v>0</v>
      </c>
      <c r="I83" s="21">
        <v>0</v>
      </c>
      <c r="J83" s="21">
        <v>0</v>
      </c>
      <c r="K83" s="21">
        <v>0</v>
      </c>
      <c r="L83" s="21">
        <v>0</v>
      </c>
      <c r="M83" s="21">
        <v>0</v>
      </c>
      <c r="N83" s="21">
        <v>0</v>
      </c>
      <c r="O83" s="21">
        <v>0</v>
      </c>
      <c r="P83" s="21">
        <v>0</v>
      </c>
      <c r="Q83" s="21">
        <v>0</v>
      </c>
      <c r="R83" s="21">
        <v>0</v>
      </c>
      <c r="S83" s="21">
        <v>0.5</v>
      </c>
      <c r="T83" s="21">
        <f t="shared" si="207"/>
        <v>1</v>
      </c>
      <c r="U83" s="21">
        <f t="shared" si="207"/>
        <v>1.5</v>
      </c>
      <c r="V83" s="21">
        <f t="shared" si="207"/>
        <v>2</v>
      </c>
      <c r="W83" s="21">
        <f t="shared" si="207"/>
        <v>2.5</v>
      </c>
      <c r="X83" s="21">
        <f t="shared" si="207"/>
        <v>3</v>
      </c>
      <c r="Y83" s="21">
        <f t="shared" si="207"/>
        <v>3.5</v>
      </c>
      <c r="Z83" s="21">
        <f t="shared" si="207"/>
        <v>4</v>
      </c>
      <c r="AA83" s="21">
        <f t="shared" si="207"/>
        <v>4.5</v>
      </c>
      <c r="AB83" s="21">
        <f t="shared" si="207"/>
        <v>5</v>
      </c>
      <c r="AC83" s="21">
        <f t="shared" si="207"/>
        <v>5.5</v>
      </c>
      <c r="AD83" s="21">
        <f t="shared" si="207"/>
        <v>6</v>
      </c>
      <c r="AE83" s="21">
        <f t="shared" si="207"/>
        <v>6.5</v>
      </c>
      <c r="AF83" s="21">
        <f t="shared" si="207"/>
        <v>7</v>
      </c>
      <c r="AG83" s="21">
        <f t="shared" si="207"/>
        <v>7.5</v>
      </c>
      <c r="AH83" s="21">
        <f t="shared" si="207"/>
        <v>8</v>
      </c>
      <c r="AI83" s="21">
        <f t="shared" si="207"/>
        <v>8.5</v>
      </c>
      <c r="AJ83" s="21">
        <f t="shared" si="207"/>
        <v>9</v>
      </c>
      <c r="AK83" s="21">
        <f t="shared" si="207"/>
        <v>9.5</v>
      </c>
      <c r="AL83" s="21">
        <f t="shared" si="207"/>
        <v>10</v>
      </c>
      <c r="AM83" s="21">
        <f t="shared" si="207"/>
        <v>10.5</v>
      </c>
      <c r="AN83" s="21">
        <f t="shared" si="207"/>
        <v>11</v>
      </c>
      <c r="AO83" s="21">
        <f t="shared" si="207"/>
        <v>11.5</v>
      </c>
      <c r="AP83" s="21">
        <f t="shared" si="207"/>
        <v>12</v>
      </c>
      <c r="AQ83" s="21">
        <f t="shared" si="207"/>
        <v>12.5</v>
      </c>
      <c r="AR83" s="21">
        <f t="shared" si="207"/>
        <v>13</v>
      </c>
      <c r="AS83" s="21">
        <f t="shared" si="207"/>
        <v>13.5</v>
      </c>
      <c r="AT83" s="21">
        <f t="shared" si="207"/>
        <v>14</v>
      </c>
      <c r="AU83" s="21">
        <f t="shared" si="207"/>
        <v>14.5</v>
      </c>
      <c r="AV83" s="21">
        <f t="shared" si="207"/>
        <v>15</v>
      </c>
      <c r="AW83" s="21">
        <f t="shared" si="207"/>
        <v>15.5</v>
      </c>
      <c r="AX83" s="21">
        <f t="shared" si="207"/>
        <v>16</v>
      </c>
      <c r="AY83" s="21">
        <f t="shared" si="207"/>
        <v>16.5</v>
      </c>
      <c r="AZ83" s="21">
        <f t="shared" si="207"/>
        <v>17</v>
      </c>
      <c r="BA83" s="21">
        <f t="shared" si="207"/>
        <v>17.5</v>
      </c>
      <c r="BB83" s="21">
        <f t="shared" si="207"/>
        <v>18</v>
      </c>
      <c r="BC83" s="21"/>
      <c r="BE83" s="368"/>
      <c r="BF83" s="353">
        <v>0.5</v>
      </c>
      <c r="BG83" s="37" t="s">
        <v>55</v>
      </c>
    </row>
    <row r="84" spans="1:59" ht="14.4" customHeight="1" x14ac:dyDescent="0.3">
      <c r="A84" s="16" t="s">
        <v>115</v>
      </c>
      <c r="B84" s="16"/>
      <c r="C84" s="31" t="s">
        <v>119</v>
      </c>
      <c r="D84" s="351"/>
      <c r="E84" s="35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E84" s="368"/>
      <c r="BF84" s="370"/>
      <c r="BG84" s="371"/>
    </row>
    <row r="85" spans="1:59" ht="14.4" customHeight="1" x14ac:dyDescent="0.3">
      <c r="C85" s="9" t="s">
        <v>120</v>
      </c>
      <c r="D85" s="351" t="s">
        <v>53</v>
      </c>
      <c r="F85" s="21">
        <v>0</v>
      </c>
      <c r="G85" s="21">
        <v>0</v>
      </c>
      <c r="H85" s="21">
        <v>0</v>
      </c>
      <c r="I85" s="21">
        <v>0</v>
      </c>
      <c r="J85" s="21">
        <v>0</v>
      </c>
      <c r="K85" s="21">
        <v>0</v>
      </c>
      <c r="L85" s="21">
        <v>0</v>
      </c>
      <c r="M85" s="21">
        <v>0</v>
      </c>
      <c r="N85" s="21">
        <v>0</v>
      </c>
      <c r="O85" s="21">
        <v>0</v>
      </c>
      <c r="P85" s="21">
        <v>0</v>
      </c>
      <c r="Q85" s="21">
        <v>0</v>
      </c>
      <c r="R85" s="21">
        <v>0</v>
      </c>
      <c r="S85" s="21">
        <v>1</v>
      </c>
      <c r="T85" s="21">
        <f t="shared" si="207"/>
        <v>2</v>
      </c>
      <c r="U85" s="21">
        <f t="shared" si="207"/>
        <v>3</v>
      </c>
      <c r="V85" s="21">
        <f t="shared" si="207"/>
        <v>4</v>
      </c>
      <c r="W85" s="21">
        <f t="shared" si="207"/>
        <v>5</v>
      </c>
      <c r="X85" s="21">
        <f t="shared" si="207"/>
        <v>6</v>
      </c>
      <c r="Y85" s="21">
        <f t="shared" si="207"/>
        <v>7</v>
      </c>
      <c r="Z85" s="21">
        <f t="shared" si="207"/>
        <v>8</v>
      </c>
      <c r="AA85" s="21">
        <f t="shared" si="207"/>
        <v>9</v>
      </c>
      <c r="AB85" s="21">
        <f t="shared" si="207"/>
        <v>10</v>
      </c>
      <c r="AC85" s="21">
        <f t="shared" si="207"/>
        <v>11</v>
      </c>
      <c r="AD85" s="21">
        <f t="shared" si="207"/>
        <v>12</v>
      </c>
      <c r="AE85" s="21">
        <f t="shared" si="207"/>
        <v>13</v>
      </c>
      <c r="AF85" s="21">
        <f t="shared" si="207"/>
        <v>14</v>
      </c>
      <c r="AG85" s="21">
        <f t="shared" si="207"/>
        <v>15</v>
      </c>
      <c r="AH85" s="21">
        <f t="shared" si="207"/>
        <v>16</v>
      </c>
      <c r="AI85" s="21">
        <f t="shared" si="207"/>
        <v>17</v>
      </c>
      <c r="AJ85" s="21">
        <f t="shared" si="207"/>
        <v>18</v>
      </c>
      <c r="AK85" s="21">
        <f t="shared" si="207"/>
        <v>19</v>
      </c>
      <c r="AL85" s="21">
        <f t="shared" si="207"/>
        <v>20</v>
      </c>
      <c r="AM85" s="21">
        <f t="shared" si="207"/>
        <v>21</v>
      </c>
      <c r="AN85" s="21">
        <f t="shared" si="207"/>
        <v>22</v>
      </c>
      <c r="AO85" s="21">
        <f t="shared" si="207"/>
        <v>23</v>
      </c>
      <c r="AP85" s="21">
        <f t="shared" si="207"/>
        <v>24</v>
      </c>
      <c r="AQ85" s="21">
        <f t="shared" si="207"/>
        <v>25</v>
      </c>
      <c r="AR85" s="21">
        <f t="shared" si="207"/>
        <v>26</v>
      </c>
      <c r="AS85" s="21">
        <f t="shared" si="207"/>
        <v>27</v>
      </c>
      <c r="AT85" s="21">
        <f t="shared" si="207"/>
        <v>28</v>
      </c>
      <c r="AU85" s="21">
        <f t="shared" si="207"/>
        <v>29</v>
      </c>
      <c r="AV85" s="21">
        <f t="shared" si="207"/>
        <v>30</v>
      </c>
      <c r="AW85" s="21">
        <f t="shared" si="207"/>
        <v>31</v>
      </c>
      <c r="AX85" s="21">
        <f t="shared" si="207"/>
        <v>32</v>
      </c>
      <c r="AY85" s="21">
        <f t="shared" si="207"/>
        <v>33</v>
      </c>
      <c r="AZ85" s="21">
        <f t="shared" si="207"/>
        <v>34</v>
      </c>
      <c r="BA85" s="21">
        <f t="shared" si="207"/>
        <v>35</v>
      </c>
      <c r="BB85" s="21">
        <f t="shared" si="207"/>
        <v>36</v>
      </c>
      <c r="BC85" s="21"/>
      <c r="BE85" s="368"/>
      <c r="BF85" s="353">
        <v>1</v>
      </c>
      <c r="BG85" s="37" t="s">
        <v>55</v>
      </c>
    </row>
    <row r="86" spans="1:59" ht="14.4" customHeight="1" x14ac:dyDescent="0.3">
      <c r="C86" s="9" t="s">
        <v>121</v>
      </c>
      <c r="D86" s="351" t="s">
        <v>53</v>
      </c>
      <c r="F86" s="21">
        <v>0</v>
      </c>
      <c r="G86" s="21">
        <v>0</v>
      </c>
      <c r="H86" s="21">
        <v>0</v>
      </c>
      <c r="I86" s="21">
        <v>0</v>
      </c>
      <c r="J86" s="21">
        <v>0</v>
      </c>
      <c r="K86" s="21">
        <v>0</v>
      </c>
      <c r="L86" s="21">
        <v>0</v>
      </c>
      <c r="M86" s="21">
        <v>0</v>
      </c>
      <c r="N86" s="21">
        <v>0</v>
      </c>
      <c r="O86" s="21">
        <v>0</v>
      </c>
      <c r="P86" s="21">
        <v>0</v>
      </c>
      <c r="Q86" s="21">
        <v>0</v>
      </c>
      <c r="R86" s="21">
        <v>0</v>
      </c>
      <c r="S86" s="21">
        <v>1</v>
      </c>
      <c r="T86" s="21">
        <f t="shared" si="207"/>
        <v>2</v>
      </c>
      <c r="U86" s="21">
        <f t="shared" si="207"/>
        <v>3</v>
      </c>
      <c r="V86" s="21">
        <f t="shared" si="207"/>
        <v>4</v>
      </c>
      <c r="W86" s="21">
        <f t="shared" si="207"/>
        <v>5</v>
      </c>
      <c r="X86" s="21">
        <f t="shared" si="207"/>
        <v>6</v>
      </c>
      <c r="Y86" s="21">
        <f t="shared" si="207"/>
        <v>7</v>
      </c>
      <c r="Z86" s="21">
        <f t="shared" si="207"/>
        <v>8</v>
      </c>
      <c r="AA86" s="21">
        <f t="shared" si="207"/>
        <v>9</v>
      </c>
      <c r="AB86" s="21">
        <f t="shared" si="207"/>
        <v>10</v>
      </c>
      <c r="AC86" s="21">
        <f t="shared" si="207"/>
        <v>11</v>
      </c>
      <c r="AD86" s="21">
        <f t="shared" si="207"/>
        <v>12</v>
      </c>
      <c r="AE86" s="21">
        <f t="shared" si="207"/>
        <v>13</v>
      </c>
      <c r="AF86" s="21">
        <f t="shared" si="207"/>
        <v>14</v>
      </c>
      <c r="AG86" s="21">
        <f t="shared" si="207"/>
        <v>15</v>
      </c>
      <c r="AH86" s="21">
        <f t="shared" si="207"/>
        <v>16</v>
      </c>
      <c r="AI86" s="21">
        <f t="shared" si="207"/>
        <v>17</v>
      </c>
      <c r="AJ86" s="21">
        <f t="shared" si="207"/>
        <v>18</v>
      </c>
      <c r="AK86" s="21">
        <f t="shared" si="207"/>
        <v>19</v>
      </c>
      <c r="AL86" s="21">
        <f t="shared" si="207"/>
        <v>20</v>
      </c>
      <c r="AM86" s="21">
        <f t="shared" si="207"/>
        <v>21</v>
      </c>
      <c r="AN86" s="21">
        <f t="shared" si="207"/>
        <v>22</v>
      </c>
      <c r="AO86" s="21">
        <f t="shared" si="207"/>
        <v>23</v>
      </c>
      <c r="AP86" s="21">
        <f t="shared" si="207"/>
        <v>24</v>
      </c>
      <c r="AQ86" s="21">
        <f t="shared" si="207"/>
        <v>25</v>
      </c>
      <c r="AR86" s="21">
        <f t="shared" si="207"/>
        <v>26</v>
      </c>
      <c r="AS86" s="21">
        <f t="shared" si="207"/>
        <v>27</v>
      </c>
      <c r="AT86" s="21">
        <f t="shared" si="207"/>
        <v>28</v>
      </c>
      <c r="AU86" s="21">
        <f t="shared" si="207"/>
        <v>29</v>
      </c>
      <c r="AV86" s="21">
        <f t="shared" si="207"/>
        <v>30</v>
      </c>
      <c r="AW86" s="21">
        <f t="shared" si="207"/>
        <v>31</v>
      </c>
      <c r="AX86" s="21">
        <f t="shared" si="207"/>
        <v>32</v>
      </c>
      <c r="AY86" s="21">
        <f t="shared" si="207"/>
        <v>33</v>
      </c>
      <c r="AZ86" s="21">
        <f t="shared" si="207"/>
        <v>34</v>
      </c>
      <c r="BA86" s="21">
        <f t="shared" si="207"/>
        <v>35</v>
      </c>
      <c r="BB86" s="21">
        <f t="shared" si="207"/>
        <v>36</v>
      </c>
      <c r="BC86" s="21"/>
      <c r="BE86" s="368"/>
      <c r="BF86" s="353">
        <v>1</v>
      </c>
      <c r="BG86" s="37" t="s">
        <v>55</v>
      </c>
    </row>
    <row r="87" spans="1:59" ht="14.4" customHeight="1" x14ac:dyDescent="0.3">
      <c r="A87" s="16" t="s">
        <v>115</v>
      </c>
      <c r="B87" s="16"/>
      <c r="C87" s="31" t="s">
        <v>122</v>
      </c>
      <c r="D87" s="351"/>
      <c r="E87" s="35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E87" s="368"/>
      <c r="BF87" s="370"/>
      <c r="BG87" s="371"/>
    </row>
    <row r="88" spans="1:59" ht="14.4" customHeight="1" x14ac:dyDescent="0.3">
      <c r="B88" s="369" t="s">
        <v>123</v>
      </c>
      <c r="C88" s="9" t="s">
        <v>124</v>
      </c>
      <c r="D88" s="351" t="s">
        <v>53</v>
      </c>
      <c r="F88" s="21">
        <v>0</v>
      </c>
      <c r="G88" s="21">
        <v>0</v>
      </c>
      <c r="H88" s="21">
        <v>0</v>
      </c>
      <c r="I88" s="21">
        <v>0</v>
      </c>
      <c r="J88" s="21">
        <v>0</v>
      </c>
      <c r="K88" s="21">
        <v>0</v>
      </c>
      <c r="L88" s="21">
        <v>0</v>
      </c>
      <c r="M88" s="21">
        <v>0</v>
      </c>
      <c r="N88" s="21">
        <v>0</v>
      </c>
      <c r="O88" s="21">
        <v>0</v>
      </c>
      <c r="P88" s="21">
        <v>0</v>
      </c>
      <c r="Q88" s="21">
        <v>0</v>
      </c>
      <c r="R88" s="21">
        <v>0</v>
      </c>
      <c r="S88" s="21">
        <v>2</v>
      </c>
      <c r="T88" s="21">
        <f t="shared" si="207"/>
        <v>4</v>
      </c>
      <c r="U88" s="21">
        <f t="shared" si="207"/>
        <v>6</v>
      </c>
      <c r="V88" s="21">
        <f t="shared" si="207"/>
        <v>8</v>
      </c>
      <c r="W88" s="21">
        <f t="shared" si="207"/>
        <v>10</v>
      </c>
      <c r="X88" s="21">
        <f t="shared" si="207"/>
        <v>12</v>
      </c>
      <c r="Y88" s="21">
        <f t="shared" si="207"/>
        <v>14</v>
      </c>
      <c r="Z88" s="21">
        <f t="shared" si="207"/>
        <v>16</v>
      </c>
      <c r="AA88" s="21">
        <f t="shared" si="207"/>
        <v>18</v>
      </c>
      <c r="AB88" s="21">
        <f t="shared" si="207"/>
        <v>20</v>
      </c>
      <c r="AC88" s="21">
        <f t="shared" si="207"/>
        <v>22</v>
      </c>
      <c r="AD88" s="21">
        <f t="shared" si="207"/>
        <v>24</v>
      </c>
      <c r="AE88" s="21">
        <f t="shared" si="207"/>
        <v>26</v>
      </c>
      <c r="AF88" s="21">
        <f t="shared" si="207"/>
        <v>28</v>
      </c>
      <c r="AG88" s="21">
        <f t="shared" si="207"/>
        <v>30</v>
      </c>
      <c r="AH88" s="21">
        <f t="shared" si="207"/>
        <v>32</v>
      </c>
      <c r="AI88" s="21">
        <f t="shared" si="207"/>
        <v>34</v>
      </c>
      <c r="AJ88" s="21">
        <f t="shared" si="207"/>
        <v>36</v>
      </c>
      <c r="AK88" s="21">
        <f t="shared" si="207"/>
        <v>38</v>
      </c>
      <c r="AL88" s="21">
        <f t="shared" si="207"/>
        <v>40</v>
      </c>
      <c r="AM88" s="21">
        <f t="shared" si="207"/>
        <v>42</v>
      </c>
      <c r="AN88" s="21">
        <f t="shared" si="207"/>
        <v>44</v>
      </c>
      <c r="AO88" s="21">
        <f t="shared" si="207"/>
        <v>46</v>
      </c>
      <c r="AP88" s="21">
        <f t="shared" si="207"/>
        <v>48</v>
      </c>
      <c r="AQ88" s="21">
        <f t="shared" si="207"/>
        <v>50</v>
      </c>
      <c r="AR88" s="21">
        <f t="shared" si="207"/>
        <v>52</v>
      </c>
      <c r="AS88" s="21">
        <f t="shared" si="207"/>
        <v>54</v>
      </c>
      <c r="AT88" s="21">
        <f t="shared" si="207"/>
        <v>56</v>
      </c>
      <c r="AU88" s="21">
        <f t="shared" si="207"/>
        <v>58</v>
      </c>
      <c r="AV88" s="21">
        <f t="shared" si="207"/>
        <v>60</v>
      </c>
      <c r="AW88" s="21">
        <f t="shared" si="207"/>
        <v>62</v>
      </c>
      <c r="AX88" s="21">
        <f t="shared" si="207"/>
        <v>64</v>
      </c>
      <c r="AY88" s="21">
        <f t="shared" si="207"/>
        <v>66</v>
      </c>
      <c r="AZ88" s="21">
        <f t="shared" si="207"/>
        <v>68</v>
      </c>
      <c r="BA88" s="21">
        <f t="shared" si="207"/>
        <v>70</v>
      </c>
      <c r="BB88" s="21">
        <f t="shared" si="207"/>
        <v>72</v>
      </c>
      <c r="BC88" s="21"/>
      <c r="BE88" s="368"/>
      <c r="BF88" s="353">
        <v>2</v>
      </c>
      <c r="BG88" s="37" t="s">
        <v>59</v>
      </c>
    </row>
    <row r="89" spans="1:59" ht="14.4" customHeight="1" x14ac:dyDescent="0.3">
      <c r="B89" s="369"/>
      <c r="C89" s="9" t="s">
        <v>125</v>
      </c>
      <c r="D89" s="351" t="s">
        <v>53</v>
      </c>
      <c r="F89" s="21">
        <v>0</v>
      </c>
      <c r="G89" s="21">
        <v>0</v>
      </c>
      <c r="H89" s="21">
        <v>0</v>
      </c>
      <c r="I89" s="21">
        <v>0</v>
      </c>
      <c r="J89" s="21">
        <v>0</v>
      </c>
      <c r="K89" s="21">
        <v>0</v>
      </c>
      <c r="L89" s="21">
        <v>0</v>
      </c>
      <c r="M89" s="21">
        <v>0</v>
      </c>
      <c r="N89" s="21">
        <v>0</v>
      </c>
      <c r="O89" s="21">
        <v>0</v>
      </c>
      <c r="P89" s="21">
        <v>0</v>
      </c>
      <c r="Q89" s="21">
        <v>0</v>
      </c>
      <c r="R89" s="21">
        <v>0</v>
      </c>
      <c r="S89" s="21">
        <v>1</v>
      </c>
      <c r="T89" s="21">
        <f t="shared" si="207"/>
        <v>2</v>
      </c>
      <c r="U89" s="21">
        <f t="shared" si="207"/>
        <v>3</v>
      </c>
      <c r="V89" s="21">
        <f t="shared" si="207"/>
        <v>4</v>
      </c>
      <c r="W89" s="21">
        <f t="shared" si="207"/>
        <v>5</v>
      </c>
      <c r="X89" s="21">
        <f t="shared" si="207"/>
        <v>6</v>
      </c>
      <c r="Y89" s="21">
        <f t="shared" si="207"/>
        <v>7</v>
      </c>
      <c r="Z89" s="21">
        <f t="shared" si="207"/>
        <v>8</v>
      </c>
      <c r="AA89" s="21">
        <f t="shared" si="207"/>
        <v>9</v>
      </c>
      <c r="AB89" s="21">
        <f t="shared" si="207"/>
        <v>10</v>
      </c>
      <c r="AC89" s="21">
        <f t="shared" si="207"/>
        <v>11</v>
      </c>
      <c r="AD89" s="21">
        <f t="shared" si="207"/>
        <v>12</v>
      </c>
      <c r="AE89" s="21">
        <f t="shared" si="207"/>
        <v>13</v>
      </c>
      <c r="AF89" s="21">
        <f t="shared" si="207"/>
        <v>14</v>
      </c>
      <c r="AG89" s="21">
        <f t="shared" si="207"/>
        <v>15</v>
      </c>
      <c r="AH89" s="21">
        <f t="shared" si="207"/>
        <v>16</v>
      </c>
      <c r="AI89" s="21">
        <f t="shared" si="207"/>
        <v>17</v>
      </c>
      <c r="AJ89" s="21">
        <f t="shared" ref="T89:BB98" si="208">AI89+$BF89</f>
        <v>18</v>
      </c>
      <c r="AK89" s="21">
        <f t="shared" si="208"/>
        <v>19</v>
      </c>
      <c r="AL89" s="21">
        <f t="shared" si="208"/>
        <v>20</v>
      </c>
      <c r="AM89" s="21">
        <f t="shared" si="208"/>
        <v>21</v>
      </c>
      <c r="AN89" s="21">
        <f t="shared" si="208"/>
        <v>22</v>
      </c>
      <c r="AO89" s="21">
        <f t="shared" si="208"/>
        <v>23</v>
      </c>
      <c r="AP89" s="21">
        <f t="shared" si="208"/>
        <v>24</v>
      </c>
      <c r="AQ89" s="21">
        <f t="shared" si="208"/>
        <v>25</v>
      </c>
      <c r="AR89" s="21">
        <f t="shared" si="208"/>
        <v>26</v>
      </c>
      <c r="AS89" s="21">
        <f t="shared" si="208"/>
        <v>27</v>
      </c>
      <c r="AT89" s="21">
        <f t="shared" si="208"/>
        <v>28</v>
      </c>
      <c r="AU89" s="21">
        <f t="shared" si="208"/>
        <v>29</v>
      </c>
      <c r="AV89" s="21">
        <f t="shared" si="208"/>
        <v>30</v>
      </c>
      <c r="AW89" s="21">
        <f t="shared" si="208"/>
        <v>31</v>
      </c>
      <c r="AX89" s="21">
        <f t="shared" si="208"/>
        <v>32</v>
      </c>
      <c r="AY89" s="21">
        <f t="shared" si="208"/>
        <v>33</v>
      </c>
      <c r="AZ89" s="21">
        <f t="shared" si="208"/>
        <v>34</v>
      </c>
      <c r="BA89" s="21">
        <f t="shared" si="208"/>
        <v>35</v>
      </c>
      <c r="BB89" s="21">
        <f t="shared" si="208"/>
        <v>36</v>
      </c>
      <c r="BC89" s="21"/>
      <c r="BE89" s="368"/>
      <c r="BF89" s="353">
        <v>1</v>
      </c>
      <c r="BG89" s="37" t="s">
        <v>59</v>
      </c>
    </row>
    <row r="90" spans="1:59" ht="14.4" customHeight="1" x14ac:dyDescent="0.3">
      <c r="A90" s="16" t="s">
        <v>115</v>
      </c>
      <c r="B90" s="16"/>
      <c r="C90" s="31" t="s">
        <v>126</v>
      </c>
      <c r="D90" s="351"/>
      <c r="E90" s="35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E90" s="368"/>
      <c r="BF90" s="372"/>
      <c r="BG90" s="373"/>
    </row>
    <row r="91" spans="1:59" ht="14.4" customHeight="1" x14ac:dyDescent="0.3">
      <c r="B91" s="369" t="s">
        <v>127</v>
      </c>
      <c r="C91" s="9" t="s">
        <v>128</v>
      </c>
      <c r="D91" s="365" t="s">
        <v>53</v>
      </c>
      <c r="E91" s="351"/>
      <c r="F91" s="21">
        <v>0.9908220367527375</v>
      </c>
      <c r="G91" s="21">
        <v>0.99094757984813553</v>
      </c>
      <c r="H91" s="21">
        <v>0.99104861458840143</v>
      </c>
      <c r="I91" s="21">
        <v>0.99111718078027866</v>
      </c>
      <c r="J91" s="21">
        <v>0.99126311251527455</v>
      </c>
      <c r="K91" s="21">
        <v>0.99138149464157199</v>
      </c>
      <c r="L91" s="21">
        <v>0.99144751855298241</v>
      </c>
      <c r="M91" s="21">
        <v>0.99153110067120742</v>
      </c>
      <c r="N91" s="21">
        <v>0.99167997984742429</v>
      </c>
      <c r="O91" s="21">
        <v>0.99177352399757046</v>
      </c>
      <c r="P91" s="21">
        <v>0.99190198919009254</v>
      </c>
      <c r="Q91" s="21">
        <v>0.99199057945227631</v>
      </c>
      <c r="R91" s="21">
        <v>0.9920806329115347</v>
      </c>
      <c r="S91" s="21">
        <v>0.99218658441638474</v>
      </c>
      <c r="T91" s="21">
        <v>0.99227234377197515</v>
      </c>
      <c r="U91" s="21">
        <v>0.99236510820986912</v>
      </c>
      <c r="V91" s="21">
        <v>0.99247221496237525</v>
      </c>
      <c r="W91" s="21">
        <v>0.99256223490937923</v>
      </c>
      <c r="X91" s="21">
        <v>0.99265431582397423</v>
      </c>
      <c r="Y91" s="21">
        <v>0.99274369246826855</v>
      </c>
      <c r="Z91" s="21">
        <v>0.99280072382424478</v>
      </c>
      <c r="AA91" s="21">
        <v>0.99289019768212972</v>
      </c>
      <c r="AB91" s="21">
        <v>0.99295793469715887</v>
      </c>
      <c r="AC91" s="21">
        <v>0.99305604857255492</v>
      </c>
      <c r="AD91" s="21">
        <v>0.99312526546187962</v>
      </c>
      <c r="AE91" s="21">
        <v>0.9931923868012611</v>
      </c>
      <c r="AF91" s="21">
        <v>0.99326301676967954</v>
      </c>
      <c r="AG91" s="21">
        <v>0.99333356147013596</v>
      </c>
      <c r="AH91" s="21">
        <v>0.99328690166710276</v>
      </c>
      <c r="AI91" s="21">
        <v>0.9933743284448241</v>
      </c>
      <c r="AJ91" s="21">
        <v>0.993448690894984</v>
      </c>
      <c r="AK91" s="21">
        <v>0.9935220727480889</v>
      </c>
      <c r="AL91" s="21">
        <v>0.99359798865090077</v>
      </c>
      <c r="AM91" s="21">
        <v>0.99367384305686635</v>
      </c>
      <c r="AN91" s="21">
        <v>0.99375158873165792</v>
      </c>
      <c r="AO91" s="21">
        <v>0.99382486141547211</v>
      </c>
      <c r="AP91" s="21">
        <v>0.99389823099663999</v>
      </c>
      <c r="AQ91" s="21">
        <v>0.99397164420689899</v>
      </c>
      <c r="AR91" s="21">
        <v>0.99404465007129916</v>
      </c>
      <c r="AS91" s="21">
        <v>0.9941168765449715</v>
      </c>
      <c r="AT91" s="21">
        <v>0.99418861786042212</v>
      </c>
      <c r="AU91" s="21">
        <v>0.99425999468061199</v>
      </c>
      <c r="AV91" s="21">
        <v>0.99433104087731428</v>
      </c>
      <c r="AW91" s="21">
        <v>0.99440152995638365</v>
      </c>
      <c r="AX91" s="21">
        <v>0.9944714758739096</v>
      </c>
      <c r="AY91" s="21">
        <v>0.99454079829820607</v>
      </c>
      <c r="AZ91" s="21">
        <v>0.99460968799946314</v>
      </c>
      <c r="BA91" s="21">
        <v>0.99467810767150833</v>
      </c>
      <c r="BB91" s="21">
        <v>0.99474602685143421</v>
      </c>
      <c r="BC91" s="21"/>
      <c r="BE91" s="368"/>
      <c r="BF91" s="374"/>
      <c r="BG91" s="375"/>
    </row>
    <row r="92" spans="1:59" ht="14.4" customHeight="1" x14ac:dyDescent="0.3">
      <c r="B92" s="369"/>
      <c r="C92" s="9" t="s">
        <v>129</v>
      </c>
      <c r="D92" s="365"/>
      <c r="E92" s="351"/>
      <c r="F92" s="21">
        <v>1.0001415545783827</v>
      </c>
      <c r="G92" s="21">
        <v>1.0000840867505132</v>
      </c>
      <c r="H92" s="21">
        <v>1.0000501460157571</v>
      </c>
      <c r="I92" s="21">
        <v>1.0000291790286462</v>
      </c>
      <c r="J92" s="21">
        <v>1.0000161412897348</v>
      </c>
      <c r="K92" s="21">
        <v>1.000009119861115</v>
      </c>
      <c r="L92" s="21">
        <v>1.0000053509284348</v>
      </c>
      <c r="M92" s="21">
        <v>1.0000030862559959</v>
      </c>
      <c r="N92" s="21">
        <v>1.0000017615014711</v>
      </c>
      <c r="O92" s="21">
        <v>1.0000010160993678</v>
      </c>
      <c r="P92" s="21">
        <v>1.0000005842889215</v>
      </c>
      <c r="Q92" s="21">
        <v>1.0000003419582404</v>
      </c>
      <c r="R92" s="21">
        <v>1.0000001980480964</v>
      </c>
      <c r="S92" s="21">
        <v>1.0000001146489161</v>
      </c>
      <c r="T92" s="21">
        <v>1.0000000667535331</v>
      </c>
      <c r="U92" s="21">
        <v>1.000000038707175</v>
      </c>
      <c r="V92" s="21">
        <v>1.0000000224690353</v>
      </c>
      <c r="W92" s="21">
        <v>1.0000000131075653</v>
      </c>
      <c r="X92" s="21">
        <v>1.0000000076109186</v>
      </c>
      <c r="Y92" s="21">
        <v>1.0000000044321036</v>
      </c>
      <c r="Z92" s="21">
        <v>1.0000000025924318</v>
      </c>
      <c r="AA92" s="21">
        <v>1.0000000015023449</v>
      </c>
      <c r="AB92" s="21">
        <v>1.0000000008783274</v>
      </c>
      <c r="AC92" s="21">
        <v>1.0000000005092244</v>
      </c>
      <c r="AD92" s="21">
        <v>1.0000000002987224</v>
      </c>
      <c r="AE92" s="21">
        <v>1.0000000001740625</v>
      </c>
      <c r="AF92" s="21">
        <v>1.0000000001015441</v>
      </c>
      <c r="AG92" s="21">
        <v>1.000000000059303</v>
      </c>
      <c r="AH92" s="21">
        <v>1.000000000035264</v>
      </c>
      <c r="AI92" s="21">
        <v>1.000000000035262</v>
      </c>
      <c r="AJ92" s="21">
        <v>1.0000000000353342</v>
      </c>
      <c r="AK92" s="21">
        <v>1.0000000000354177</v>
      </c>
      <c r="AL92" s="21">
        <v>1.0000000000354925</v>
      </c>
      <c r="AM92" s="21">
        <v>1.0000000000355727</v>
      </c>
      <c r="AN92" s="21">
        <v>1.0000000000356473</v>
      </c>
      <c r="AO92" s="21">
        <v>1.0000000000357523</v>
      </c>
      <c r="AP92" s="21">
        <v>1.000000000035862</v>
      </c>
      <c r="AQ92" s="21">
        <v>1.000000000035977</v>
      </c>
      <c r="AR92" s="21">
        <v>1.0000000000360993</v>
      </c>
      <c r="AS92" s="21">
        <v>1.0000000000362317</v>
      </c>
      <c r="AT92" s="21">
        <v>1.0000000000363725</v>
      </c>
      <c r="AU92" s="21">
        <v>1.0000000000365206</v>
      </c>
      <c r="AV92" s="21">
        <v>1.000000000036676</v>
      </c>
      <c r="AW92" s="21">
        <v>1.0000000000368405</v>
      </c>
      <c r="AX92" s="21">
        <v>1.0000000000370137</v>
      </c>
      <c r="AY92" s="21">
        <v>1.0000000000371967</v>
      </c>
      <c r="AZ92" s="21">
        <v>1.0000000000373881</v>
      </c>
      <c r="BA92" s="21">
        <v>1.0000000000375879</v>
      </c>
      <c r="BB92" s="21">
        <v>1.0000000000377971</v>
      </c>
      <c r="BC92" s="21"/>
      <c r="BE92" s="368"/>
      <c r="BF92" s="374"/>
      <c r="BG92" s="375"/>
    </row>
    <row r="93" spans="1:59" ht="14.4" customHeight="1" x14ac:dyDescent="0.3">
      <c r="A93" s="16" t="s">
        <v>115</v>
      </c>
      <c r="B93" s="16"/>
      <c r="C93" s="31" t="s">
        <v>130</v>
      </c>
      <c r="D93" s="351"/>
      <c r="E93" s="35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E93" s="368"/>
      <c r="BF93" s="374"/>
      <c r="BG93" s="375"/>
    </row>
    <row r="94" spans="1:59" ht="14.4" customHeight="1" x14ac:dyDescent="0.3">
      <c r="B94" s="369" t="s">
        <v>131</v>
      </c>
      <c r="C94" s="9" t="s">
        <v>132</v>
      </c>
      <c r="D94" s="365" t="s">
        <v>53</v>
      </c>
      <c r="E94" s="351"/>
      <c r="F94" s="21">
        <v>9.1779632472625411E-3</v>
      </c>
      <c r="G94" s="21">
        <v>9.0524201518644414E-3</v>
      </c>
      <c r="H94" s="21">
        <v>8.9513854115986519E-3</v>
      </c>
      <c r="I94" s="21">
        <v>8.882819219721361E-3</v>
      </c>
      <c r="J94" s="21">
        <v>8.7368874847254113E-3</v>
      </c>
      <c r="K94" s="21">
        <v>8.6185053584280583E-3</v>
      </c>
      <c r="L94" s="21">
        <v>8.5524814470176024E-3</v>
      </c>
      <c r="M94" s="21">
        <v>8.4688993287925281E-3</v>
      </c>
      <c r="N94" s="21">
        <v>8.3200201525757637E-3</v>
      </c>
      <c r="O94" s="21">
        <v>8.2264760024295201E-3</v>
      </c>
      <c r="P94" s="21">
        <v>8.0980108099074997E-3</v>
      </c>
      <c r="Q94" s="21">
        <v>8.0094205477236769E-3</v>
      </c>
      <c r="R94" s="21">
        <v>7.9193670884653566E-3</v>
      </c>
      <c r="S94" s="21">
        <v>7.8134155836152679E-3</v>
      </c>
      <c r="T94" s="21">
        <v>7.7276562280248267E-3</v>
      </c>
      <c r="U94" s="21">
        <v>7.6348917901308171E-3</v>
      </c>
      <c r="V94" s="21">
        <v>7.5277850376246737E-3</v>
      </c>
      <c r="W94" s="21">
        <v>7.43776509062072E-3</v>
      </c>
      <c r="X94" s="21">
        <v>7.3456841760257824E-3</v>
      </c>
      <c r="Y94" s="21">
        <v>7.2563075317314037E-3</v>
      </c>
      <c r="Z94" s="21">
        <v>7.19927617575521E-3</v>
      </c>
      <c r="AA94" s="21">
        <v>7.1098023178703005E-3</v>
      </c>
      <c r="AB94" s="21">
        <v>7.04206530284111E-3</v>
      </c>
      <c r="AC94" s="21">
        <v>6.9439514274450683E-3</v>
      </c>
      <c r="AD94" s="21">
        <v>6.8747345381203291E-3</v>
      </c>
      <c r="AE94" s="21">
        <v>6.807613198738992E-3</v>
      </c>
      <c r="AF94" s="21">
        <v>6.7369832303204322E-3</v>
      </c>
      <c r="AG94" s="21">
        <v>6.6664385298640869E-3</v>
      </c>
      <c r="AH94" s="21">
        <v>6.7130983328971714E-3</v>
      </c>
      <c r="AI94" s="21">
        <v>6.6256715551759856E-3</v>
      </c>
      <c r="AJ94" s="21">
        <v>6.551309105015949E-3</v>
      </c>
      <c r="AK94" s="21">
        <v>6.4779272519110793E-3</v>
      </c>
      <c r="AL94" s="21">
        <v>6.4020113490991497E-3</v>
      </c>
      <c r="AM94" s="21">
        <v>6.3261569431337095E-3</v>
      </c>
      <c r="AN94" s="21">
        <v>6.24841126834208E-3</v>
      </c>
      <c r="AO94" s="21">
        <v>6.1751385845279505E-3</v>
      </c>
      <c r="AP94" s="21">
        <v>6.1017690033600032E-3</v>
      </c>
      <c r="AQ94" s="21">
        <v>6.0283557931010397E-3</v>
      </c>
      <c r="AR94" s="21">
        <v>5.9553499287008154E-3</v>
      </c>
      <c r="AS94" s="21">
        <v>5.8831234550285536E-3</v>
      </c>
      <c r="AT94" s="21">
        <v>5.8113821395778323E-3</v>
      </c>
      <c r="AU94" s="21">
        <v>5.7400053193880562E-3</v>
      </c>
      <c r="AV94" s="21">
        <v>5.6689591226857568E-3</v>
      </c>
      <c r="AW94" s="21">
        <v>5.5984700436164268E-3</v>
      </c>
      <c r="AX94" s="21">
        <v>5.5285241260904878E-3</v>
      </c>
      <c r="AY94" s="21">
        <v>5.4592017017940008E-3</v>
      </c>
      <c r="AZ94" s="21">
        <v>5.3903120005367776E-3</v>
      </c>
      <c r="BA94" s="21">
        <v>5.321892328491621E-3</v>
      </c>
      <c r="BB94" s="21">
        <v>5.2539731485657147E-3</v>
      </c>
      <c r="BC94" s="21"/>
      <c r="BE94" s="368"/>
      <c r="BF94" s="374"/>
      <c r="BG94" s="375"/>
    </row>
    <row r="95" spans="1:59" ht="14.4" customHeight="1" x14ac:dyDescent="0.3">
      <c r="B95" s="369"/>
      <c r="C95" s="9" t="s">
        <v>133</v>
      </c>
      <c r="D95" s="365"/>
      <c r="E95" s="351"/>
      <c r="F95" s="21">
        <v>0</v>
      </c>
      <c r="G95" s="21">
        <v>0</v>
      </c>
      <c r="H95" s="21">
        <v>0</v>
      </c>
      <c r="I95" s="21">
        <v>0</v>
      </c>
      <c r="J95" s="21">
        <v>0</v>
      </c>
      <c r="K95" s="21">
        <v>0</v>
      </c>
      <c r="L95" s="21">
        <v>0</v>
      </c>
      <c r="M95" s="21">
        <v>0</v>
      </c>
      <c r="N95" s="21">
        <v>0</v>
      </c>
      <c r="O95" s="21">
        <v>0</v>
      </c>
      <c r="P95" s="21">
        <v>0</v>
      </c>
      <c r="Q95" s="21">
        <v>0</v>
      </c>
      <c r="R95" s="21">
        <v>0</v>
      </c>
      <c r="S95" s="21">
        <v>0</v>
      </c>
      <c r="T95" s="21">
        <v>0</v>
      </c>
      <c r="U95" s="21">
        <v>0</v>
      </c>
      <c r="V95" s="21">
        <v>0</v>
      </c>
      <c r="W95" s="21">
        <v>0</v>
      </c>
      <c r="X95" s="21">
        <v>0</v>
      </c>
      <c r="Y95" s="21">
        <v>0</v>
      </c>
      <c r="Z95" s="21">
        <v>0</v>
      </c>
      <c r="AA95" s="21">
        <v>0</v>
      </c>
      <c r="AB95" s="21">
        <v>0</v>
      </c>
      <c r="AC95" s="21">
        <v>0</v>
      </c>
      <c r="AD95" s="21">
        <v>0</v>
      </c>
      <c r="AE95" s="21">
        <v>0</v>
      </c>
      <c r="AF95" s="21">
        <v>0</v>
      </c>
      <c r="AG95" s="21">
        <v>0</v>
      </c>
      <c r="AH95" s="21">
        <v>0</v>
      </c>
      <c r="AI95" s="21">
        <v>0</v>
      </c>
      <c r="AJ95" s="21">
        <v>0</v>
      </c>
      <c r="AK95" s="21">
        <v>0</v>
      </c>
      <c r="AL95" s="21">
        <v>0</v>
      </c>
      <c r="AM95" s="21">
        <v>0</v>
      </c>
      <c r="AN95" s="21">
        <v>0</v>
      </c>
      <c r="AO95" s="21">
        <v>0</v>
      </c>
      <c r="AP95" s="21">
        <v>0</v>
      </c>
      <c r="AQ95" s="21">
        <v>0</v>
      </c>
      <c r="AR95" s="21">
        <v>0</v>
      </c>
      <c r="AS95" s="21">
        <v>0</v>
      </c>
      <c r="AT95" s="21">
        <v>0</v>
      </c>
      <c r="AU95" s="21">
        <v>0</v>
      </c>
      <c r="AV95" s="21">
        <v>0</v>
      </c>
      <c r="AW95" s="21">
        <v>0</v>
      </c>
      <c r="AX95" s="21">
        <v>0</v>
      </c>
      <c r="AY95" s="21">
        <v>0</v>
      </c>
      <c r="AZ95" s="21">
        <v>0</v>
      </c>
      <c r="BA95" s="21">
        <v>0</v>
      </c>
      <c r="BB95" s="21">
        <v>0</v>
      </c>
      <c r="BC95" s="21"/>
      <c r="BE95" s="368"/>
      <c r="BF95" s="374"/>
      <c r="BG95" s="375"/>
    </row>
    <row r="96" spans="1:59" ht="14.4" customHeight="1" x14ac:dyDescent="0.3">
      <c r="A96" s="16" t="s">
        <v>115</v>
      </c>
      <c r="B96" s="16"/>
      <c r="C96" s="31" t="s">
        <v>134</v>
      </c>
      <c r="D96" s="351"/>
      <c r="E96" s="35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E96" s="368"/>
      <c r="BF96" s="376"/>
      <c r="BG96" s="377"/>
    </row>
    <row r="97" spans="1:59" ht="14.4" customHeight="1" x14ac:dyDescent="0.3">
      <c r="A97" s="16"/>
      <c r="B97" s="16"/>
      <c r="C97" s="9" t="s">
        <v>135</v>
      </c>
      <c r="D97" s="351" t="s">
        <v>53</v>
      </c>
      <c r="F97" s="21">
        <v>0</v>
      </c>
      <c r="G97" s="21">
        <v>0</v>
      </c>
      <c r="H97" s="21">
        <v>0</v>
      </c>
      <c r="I97" s="21">
        <v>0</v>
      </c>
      <c r="J97" s="21">
        <v>0</v>
      </c>
      <c r="K97" s="21">
        <v>0</v>
      </c>
      <c r="L97" s="21">
        <v>0</v>
      </c>
      <c r="M97" s="21">
        <v>0</v>
      </c>
      <c r="N97" s="21">
        <v>0</v>
      </c>
      <c r="O97" s="21">
        <v>0</v>
      </c>
      <c r="P97" s="21">
        <v>0</v>
      </c>
      <c r="Q97" s="21">
        <v>0</v>
      </c>
      <c r="R97" s="21">
        <v>0</v>
      </c>
      <c r="S97" s="21">
        <v>0.05</v>
      </c>
      <c r="T97" s="21">
        <f t="shared" ref="T97:BB97" si="209">S97+$BF97</f>
        <v>0.1</v>
      </c>
      <c r="U97" s="21">
        <f t="shared" si="209"/>
        <v>0.15000000000000002</v>
      </c>
      <c r="V97" s="21">
        <f t="shared" si="209"/>
        <v>0.2</v>
      </c>
      <c r="W97" s="21">
        <f t="shared" si="209"/>
        <v>0.25</v>
      </c>
      <c r="X97" s="21">
        <f t="shared" si="209"/>
        <v>0.3</v>
      </c>
      <c r="Y97" s="21">
        <f t="shared" si="209"/>
        <v>0.35</v>
      </c>
      <c r="Z97" s="21">
        <f t="shared" si="209"/>
        <v>0.39999999999999997</v>
      </c>
      <c r="AA97" s="21">
        <f t="shared" si="209"/>
        <v>0.44999999999999996</v>
      </c>
      <c r="AB97" s="21">
        <f t="shared" si="209"/>
        <v>0.49999999999999994</v>
      </c>
      <c r="AC97" s="21">
        <f t="shared" si="209"/>
        <v>0.54999999999999993</v>
      </c>
      <c r="AD97" s="21">
        <f t="shared" si="209"/>
        <v>0.6</v>
      </c>
      <c r="AE97" s="21">
        <f t="shared" si="209"/>
        <v>0.65</v>
      </c>
      <c r="AF97" s="21">
        <f t="shared" si="209"/>
        <v>0.70000000000000007</v>
      </c>
      <c r="AG97" s="21">
        <f t="shared" si="209"/>
        <v>0.75000000000000011</v>
      </c>
      <c r="AH97" s="21">
        <f t="shared" si="209"/>
        <v>0.80000000000000016</v>
      </c>
      <c r="AI97" s="21">
        <f t="shared" si="209"/>
        <v>0.8500000000000002</v>
      </c>
      <c r="AJ97" s="21">
        <f t="shared" si="209"/>
        <v>0.90000000000000024</v>
      </c>
      <c r="AK97" s="21">
        <f t="shared" si="209"/>
        <v>0.95000000000000029</v>
      </c>
      <c r="AL97" s="21">
        <f t="shared" si="209"/>
        <v>1.0000000000000002</v>
      </c>
      <c r="AM97" s="21">
        <f t="shared" si="209"/>
        <v>1.0500000000000003</v>
      </c>
      <c r="AN97" s="21">
        <f t="shared" si="209"/>
        <v>1.1000000000000003</v>
      </c>
      <c r="AO97" s="21">
        <f t="shared" si="209"/>
        <v>1.1500000000000004</v>
      </c>
      <c r="AP97" s="21">
        <f t="shared" si="209"/>
        <v>1.2000000000000004</v>
      </c>
      <c r="AQ97" s="21">
        <f t="shared" si="209"/>
        <v>1.2500000000000004</v>
      </c>
      <c r="AR97" s="21">
        <f t="shared" si="209"/>
        <v>1.3000000000000005</v>
      </c>
      <c r="AS97" s="21">
        <f t="shared" si="209"/>
        <v>1.3500000000000005</v>
      </c>
      <c r="AT97" s="21">
        <f t="shared" si="209"/>
        <v>1.4000000000000006</v>
      </c>
      <c r="AU97" s="21">
        <f t="shared" si="209"/>
        <v>1.4500000000000006</v>
      </c>
      <c r="AV97" s="21">
        <f t="shared" si="209"/>
        <v>1.5000000000000007</v>
      </c>
      <c r="AW97" s="21">
        <f t="shared" si="209"/>
        <v>1.5500000000000007</v>
      </c>
      <c r="AX97" s="21">
        <f t="shared" si="209"/>
        <v>1.6000000000000008</v>
      </c>
      <c r="AY97" s="21">
        <f t="shared" si="209"/>
        <v>1.6500000000000008</v>
      </c>
      <c r="AZ97" s="21">
        <f t="shared" si="209"/>
        <v>1.7000000000000008</v>
      </c>
      <c r="BA97" s="21">
        <f t="shared" si="209"/>
        <v>1.7500000000000009</v>
      </c>
      <c r="BB97" s="21">
        <f t="shared" si="209"/>
        <v>1.8000000000000009</v>
      </c>
      <c r="BC97" s="21"/>
      <c r="BE97" s="368"/>
      <c r="BF97" s="353">
        <v>0.05</v>
      </c>
      <c r="BG97" s="37" t="s">
        <v>59</v>
      </c>
    </row>
    <row r="98" spans="1:59" ht="14.4" customHeight="1" x14ac:dyDescent="0.3">
      <c r="C98" s="9" t="s">
        <v>136</v>
      </c>
      <c r="D98" s="351" t="s">
        <v>53</v>
      </c>
      <c r="E98" s="351"/>
      <c r="F98" s="21">
        <v>0</v>
      </c>
      <c r="G98" s="21">
        <v>0</v>
      </c>
      <c r="H98" s="21">
        <v>0</v>
      </c>
      <c r="I98" s="21">
        <v>0</v>
      </c>
      <c r="J98" s="21">
        <v>0</v>
      </c>
      <c r="K98" s="21">
        <v>0</v>
      </c>
      <c r="L98" s="21">
        <v>0</v>
      </c>
      <c r="M98" s="21">
        <v>0</v>
      </c>
      <c r="N98" s="21">
        <v>0</v>
      </c>
      <c r="O98" s="21">
        <v>0</v>
      </c>
      <c r="P98" s="21">
        <v>0</v>
      </c>
      <c r="Q98" s="21">
        <v>0</v>
      </c>
      <c r="R98" s="21">
        <v>0</v>
      </c>
      <c r="S98" s="21">
        <v>3</v>
      </c>
      <c r="T98" s="21">
        <f t="shared" si="208"/>
        <v>6</v>
      </c>
      <c r="U98" s="21">
        <f t="shared" si="208"/>
        <v>9</v>
      </c>
      <c r="V98" s="21">
        <f t="shared" si="208"/>
        <v>12</v>
      </c>
      <c r="W98" s="21">
        <f t="shared" si="208"/>
        <v>15</v>
      </c>
      <c r="X98" s="21">
        <f t="shared" si="208"/>
        <v>18</v>
      </c>
      <c r="Y98" s="21">
        <f t="shared" si="208"/>
        <v>21</v>
      </c>
      <c r="Z98" s="21">
        <f t="shared" si="208"/>
        <v>24</v>
      </c>
      <c r="AA98" s="21">
        <f t="shared" si="208"/>
        <v>27</v>
      </c>
      <c r="AB98" s="21">
        <f t="shared" si="208"/>
        <v>30</v>
      </c>
      <c r="AC98" s="21">
        <f t="shared" si="208"/>
        <v>33</v>
      </c>
      <c r="AD98" s="21">
        <f t="shared" si="208"/>
        <v>36</v>
      </c>
      <c r="AE98" s="21">
        <f t="shared" si="208"/>
        <v>39</v>
      </c>
      <c r="AF98" s="21">
        <f t="shared" si="208"/>
        <v>42</v>
      </c>
      <c r="AG98" s="21">
        <f t="shared" si="208"/>
        <v>45</v>
      </c>
      <c r="AH98" s="21">
        <f t="shared" si="208"/>
        <v>48</v>
      </c>
      <c r="AI98" s="21">
        <f t="shared" si="208"/>
        <v>51</v>
      </c>
      <c r="AJ98" s="21">
        <f t="shared" si="208"/>
        <v>54</v>
      </c>
      <c r="AK98" s="21">
        <f t="shared" si="208"/>
        <v>57</v>
      </c>
      <c r="AL98" s="21">
        <f t="shared" si="208"/>
        <v>60</v>
      </c>
      <c r="AM98" s="21">
        <f t="shared" si="208"/>
        <v>63</v>
      </c>
      <c r="AN98" s="21">
        <f t="shared" si="208"/>
        <v>66</v>
      </c>
      <c r="AO98" s="21">
        <f t="shared" si="208"/>
        <v>69</v>
      </c>
      <c r="AP98" s="21">
        <f t="shared" si="208"/>
        <v>72</v>
      </c>
      <c r="AQ98" s="21">
        <f t="shared" si="208"/>
        <v>75</v>
      </c>
      <c r="AR98" s="21">
        <f t="shared" si="208"/>
        <v>78</v>
      </c>
      <c r="AS98" s="21">
        <f t="shared" si="208"/>
        <v>81</v>
      </c>
      <c r="AT98" s="21">
        <f t="shared" si="208"/>
        <v>84</v>
      </c>
      <c r="AU98" s="21">
        <f t="shared" si="208"/>
        <v>87</v>
      </c>
      <c r="AV98" s="21">
        <f t="shared" si="208"/>
        <v>90</v>
      </c>
      <c r="AW98" s="21">
        <f t="shared" si="208"/>
        <v>93</v>
      </c>
      <c r="AX98" s="21">
        <f t="shared" si="208"/>
        <v>96</v>
      </c>
      <c r="AY98" s="21">
        <f t="shared" si="208"/>
        <v>99</v>
      </c>
      <c r="AZ98" s="21">
        <f t="shared" si="208"/>
        <v>102</v>
      </c>
      <c r="BA98" s="21">
        <f t="shared" si="208"/>
        <v>105</v>
      </c>
      <c r="BB98" s="21">
        <f t="shared" si="208"/>
        <v>108</v>
      </c>
      <c r="BC98" s="21"/>
      <c r="BE98" s="368"/>
      <c r="BF98" s="353">
        <v>3</v>
      </c>
      <c r="BG98" s="37" t="s">
        <v>59</v>
      </c>
    </row>
    <row r="100" spans="1:59" ht="15" customHeight="1" x14ac:dyDescent="0.3">
      <c r="F100" s="21"/>
    </row>
    <row r="103" spans="1:59" ht="14.4" x14ac:dyDescent="0.3">
      <c r="D103" s="28"/>
      <c r="E103" s="28"/>
    </row>
    <row r="106" spans="1:59" ht="14.4" x14ac:dyDescent="0.3">
      <c r="A106" s="28"/>
      <c r="B106" s="28"/>
    </row>
    <row r="107" spans="1:59" ht="14.4" x14ac:dyDescent="0.3">
      <c r="A107" s="28"/>
      <c r="B107" s="28"/>
    </row>
    <row r="108" spans="1:59" ht="14.4" x14ac:dyDescent="0.3">
      <c r="A108" s="28"/>
      <c r="B108" s="28"/>
    </row>
    <row r="109" spans="1:59" ht="14.4" x14ac:dyDescent="0.3">
      <c r="A109" s="28"/>
      <c r="B109" s="28"/>
    </row>
    <row r="110" spans="1:59" ht="14.4" x14ac:dyDescent="0.3">
      <c r="A110" s="28"/>
      <c r="B110" s="28"/>
    </row>
    <row r="111" spans="1:59" ht="14.4" x14ac:dyDescent="0.3">
      <c r="A111" s="28"/>
      <c r="B111" s="28"/>
    </row>
    <row r="112" spans="1:59" ht="14.4" x14ac:dyDescent="0.3">
      <c r="A112" s="28"/>
      <c r="B112" s="28"/>
      <c r="C112" s="28"/>
    </row>
    <row r="113" spans="1:3" ht="14.4" x14ac:dyDescent="0.3">
      <c r="A113" s="28"/>
      <c r="B113" s="28"/>
      <c r="C113" s="28"/>
    </row>
    <row r="114" spans="1:3" ht="14.4" x14ac:dyDescent="0.3">
      <c r="A114" s="28"/>
      <c r="B114" s="28"/>
      <c r="C114" s="28"/>
    </row>
    <row r="115" spans="1:3" ht="14.4" x14ac:dyDescent="0.3">
      <c r="A115" s="28"/>
      <c r="B115" s="28"/>
    </row>
    <row r="116" spans="1:3" ht="14.4" x14ac:dyDescent="0.3">
      <c r="A116" s="28"/>
      <c r="B116" s="28"/>
      <c r="C116" s="28"/>
    </row>
    <row r="117" spans="1:3" ht="14.4" x14ac:dyDescent="0.3">
      <c r="A117" s="28"/>
      <c r="B117" s="28"/>
      <c r="C117" s="28"/>
    </row>
    <row r="118" spans="1:3" ht="14.4" x14ac:dyDescent="0.3">
      <c r="A118" s="28"/>
      <c r="B118" s="28"/>
    </row>
    <row r="119" spans="1:3" ht="14.4" x14ac:dyDescent="0.3">
      <c r="A119" s="28"/>
      <c r="B119" s="28"/>
    </row>
    <row r="125" spans="1:3" ht="14.4" x14ac:dyDescent="0.3">
      <c r="C125" s="28"/>
    </row>
    <row r="128" spans="1:3" ht="14.4" x14ac:dyDescent="0.3">
      <c r="C128" s="28"/>
    </row>
    <row r="129" spans="3:3" ht="14.4" x14ac:dyDescent="0.3">
      <c r="C129" s="28"/>
    </row>
    <row r="130" spans="3:3" ht="14.4" x14ac:dyDescent="0.3">
      <c r="C130" s="28"/>
    </row>
  </sheetData>
  <mergeCells count="18">
    <mergeCell ref="BE80:BE98"/>
    <mergeCell ref="BF81:BG81"/>
    <mergeCell ref="BF84:BG84"/>
    <mergeCell ref="BF87:BG87"/>
    <mergeCell ref="BF90:BG96"/>
    <mergeCell ref="B91:B92"/>
    <mergeCell ref="D91:D92"/>
    <mergeCell ref="B94:B95"/>
    <mergeCell ref="D94:D95"/>
    <mergeCell ref="B64:B78"/>
    <mergeCell ref="D64:D78"/>
    <mergeCell ref="B88:B89"/>
    <mergeCell ref="B32:B46"/>
    <mergeCell ref="D32:D46"/>
    <mergeCell ref="BJ2:BM2"/>
    <mergeCell ref="B48:B62"/>
    <mergeCell ref="D48:D62"/>
    <mergeCell ref="BE26:BE46"/>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59A46-C1D1-458D-84CE-8F11289E4872}">
  <sheetPr>
    <tabColor theme="8" tint="0.79998168889431442"/>
  </sheetPr>
  <dimension ref="A1:DD245"/>
  <sheetViews>
    <sheetView zoomScale="70" zoomScaleNormal="70" workbookViewId="0">
      <pane xSplit="4" ySplit="1" topLeftCell="E2" activePane="bottomRight" state="frozen"/>
      <selection pane="topRight" activeCell="E1" sqref="E1"/>
      <selection pane="bottomLeft" activeCell="A2" sqref="A2"/>
      <selection pane="bottomRight" activeCell="A5" sqref="A5:XFD5"/>
    </sheetView>
  </sheetViews>
  <sheetFormatPr baseColWidth="10" defaultColWidth="8.88671875" defaultRowHeight="15" customHeight="1" x14ac:dyDescent="0.3"/>
  <cols>
    <col min="1" max="1" width="18.33203125" style="9" bestFit="1" customWidth="1"/>
    <col min="2" max="2" width="18.33203125" style="9" hidden="1" customWidth="1"/>
    <col min="3" max="3" width="87.44140625" style="9" bestFit="1" customWidth="1"/>
    <col min="4" max="4" width="41" style="9" bestFit="1" customWidth="1"/>
    <col min="5" max="5" width="12" style="9" customWidth="1"/>
    <col min="6" max="53" width="10.6640625" style="59" customWidth="1"/>
    <col min="54" max="54" width="10.6640625" style="262" customWidth="1"/>
    <col min="55" max="55" width="8.109375" style="9" customWidth="1"/>
    <col min="56" max="56" width="8.88671875" style="9"/>
    <col min="57" max="57" width="41.109375" style="9" customWidth="1"/>
    <col min="58" max="58" width="13.6640625" style="9" bestFit="1" customWidth="1"/>
    <col min="59" max="59" width="15" style="9" customWidth="1"/>
    <col min="60" max="60" width="9" style="9" bestFit="1" customWidth="1"/>
  </cols>
  <sheetData>
    <row r="1" spans="1:108" s="36" customFormat="1" ht="17.399999999999999" x14ac:dyDescent="0.35">
      <c r="A1" s="32" t="s">
        <v>14</v>
      </c>
      <c r="B1" s="32"/>
      <c r="C1" s="32" t="s">
        <v>15</v>
      </c>
      <c r="D1" s="32" t="s">
        <v>16</v>
      </c>
      <c r="E1" s="54"/>
      <c r="F1" s="65">
        <v>2022</v>
      </c>
      <c r="G1" s="65">
        <v>2023</v>
      </c>
      <c r="H1" s="65">
        <v>2024</v>
      </c>
      <c r="I1" s="65">
        <v>2025</v>
      </c>
      <c r="J1" s="65">
        <v>2026</v>
      </c>
      <c r="K1" s="65">
        <v>2027</v>
      </c>
      <c r="L1" s="65">
        <v>2028</v>
      </c>
      <c r="M1" s="65">
        <v>2029</v>
      </c>
      <c r="N1" s="65">
        <v>2030</v>
      </c>
      <c r="O1" s="65">
        <v>2031</v>
      </c>
      <c r="P1" s="65">
        <v>2032</v>
      </c>
      <c r="Q1" s="65">
        <v>2033</v>
      </c>
      <c r="R1" s="65">
        <v>2034</v>
      </c>
      <c r="S1" s="65">
        <v>2035</v>
      </c>
      <c r="T1" s="65">
        <v>2036</v>
      </c>
      <c r="U1" s="65">
        <v>2037</v>
      </c>
      <c r="V1" s="65">
        <v>2038</v>
      </c>
      <c r="W1" s="65">
        <v>2039</v>
      </c>
      <c r="X1" s="65">
        <v>2040</v>
      </c>
      <c r="Y1" s="65">
        <v>2041</v>
      </c>
      <c r="Z1" s="65">
        <v>2042</v>
      </c>
      <c r="AA1" s="65">
        <v>2043</v>
      </c>
      <c r="AB1" s="65">
        <v>2044</v>
      </c>
      <c r="AC1" s="65">
        <v>2045</v>
      </c>
      <c r="AD1" s="65">
        <v>2046</v>
      </c>
      <c r="AE1" s="65">
        <v>2047</v>
      </c>
      <c r="AF1" s="65">
        <v>2048</v>
      </c>
      <c r="AG1" s="65">
        <v>2049</v>
      </c>
      <c r="AH1" s="65">
        <v>2050</v>
      </c>
      <c r="AI1" s="65">
        <v>2051</v>
      </c>
      <c r="AJ1" s="65">
        <v>2052</v>
      </c>
      <c r="AK1" s="65">
        <v>2053</v>
      </c>
      <c r="AL1" s="65">
        <v>2054</v>
      </c>
      <c r="AM1" s="65">
        <v>2055</v>
      </c>
      <c r="AN1" s="65">
        <v>2056</v>
      </c>
      <c r="AO1" s="65">
        <v>2057</v>
      </c>
      <c r="AP1" s="65">
        <v>2058</v>
      </c>
      <c r="AQ1" s="65">
        <v>2059</v>
      </c>
      <c r="AR1" s="65">
        <v>2060</v>
      </c>
      <c r="AS1" s="65">
        <v>2061</v>
      </c>
      <c r="AT1" s="65">
        <v>2062</v>
      </c>
      <c r="AU1" s="65">
        <v>2063</v>
      </c>
      <c r="AV1" s="65">
        <v>2064</v>
      </c>
      <c r="AW1" s="65">
        <v>2065</v>
      </c>
      <c r="AX1" s="65">
        <v>2066</v>
      </c>
      <c r="AY1" s="65">
        <v>2067</v>
      </c>
      <c r="AZ1" s="65">
        <v>2068</v>
      </c>
      <c r="BA1" s="65">
        <v>2069</v>
      </c>
      <c r="BB1" s="261">
        <v>2070</v>
      </c>
      <c r="BC1" s="32"/>
      <c r="BD1" s="34"/>
      <c r="BE1" s="34"/>
      <c r="BF1" s="53"/>
      <c r="BG1" s="53"/>
      <c r="BH1" s="53"/>
    </row>
    <row r="2" spans="1:108" ht="14.4" x14ac:dyDescent="0.3">
      <c r="A2" s="16" t="s">
        <v>50</v>
      </c>
      <c r="B2" s="16"/>
      <c r="C2" s="31" t="s">
        <v>51</v>
      </c>
      <c r="D2" s="16"/>
      <c r="E2" s="16"/>
      <c r="F2" s="64"/>
      <c r="G2" s="64"/>
      <c r="H2" s="64"/>
      <c r="I2" s="64"/>
      <c r="J2" s="64"/>
      <c r="K2" s="64"/>
      <c r="L2" s="64"/>
      <c r="M2" s="64"/>
      <c r="N2" s="64"/>
      <c r="O2" s="64"/>
      <c r="P2" s="64"/>
      <c r="Q2" s="64"/>
      <c r="R2" s="64"/>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16"/>
      <c r="BF2" s="43"/>
      <c r="BG2" s="18"/>
      <c r="BH2" s="18"/>
      <c r="BI2" s="13"/>
      <c r="BJ2" s="13"/>
      <c r="BK2" s="9"/>
      <c r="BL2" s="9"/>
      <c r="BM2" s="9"/>
    </row>
    <row r="3" spans="1:108" ht="14.4" hidden="1" x14ac:dyDescent="0.3">
      <c r="A3" s="16"/>
      <c r="B3" s="16"/>
      <c r="C3" s="351" t="s">
        <v>137</v>
      </c>
      <c r="D3" s="351" t="s">
        <v>53</v>
      </c>
      <c r="E3" s="351"/>
      <c r="F3" s="62">
        <f>BF3</f>
        <v>1</v>
      </c>
      <c r="G3" s="62">
        <f>F3+$BF3</f>
        <v>2</v>
      </c>
      <c r="H3" s="62">
        <f t="shared" ref="H3:BB31" si="0">G3+$BF3</f>
        <v>3</v>
      </c>
      <c r="I3" s="62">
        <f t="shared" si="0"/>
        <v>4</v>
      </c>
      <c r="J3" s="62">
        <f t="shared" si="0"/>
        <v>5</v>
      </c>
      <c r="K3" s="62">
        <f t="shared" si="0"/>
        <v>6</v>
      </c>
      <c r="L3" s="62">
        <f t="shared" si="0"/>
        <v>7</v>
      </c>
      <c r="M3" s="62">
        <f t="shared" si="0"/>
        <v>8</v>
      </c>
      <c r="N3" s="62">
        <f t="shared" si="0"/>
        <v>9</v>
      </c>
      <c r="O3" s="62">
        <f t="shared" si="0"/>
        <v>10</v>
      </c>
      <c r="P3" s="62">
        <f t="shared" si="0"/>
        <v>11</v>
      </c>
      <c r="Q3" s="62">
        <f t="shared" si="0"/>
        <v>12</v>
      </c>
      <c r="R3" s="62">
        <f t="shared" si="0"/>
        <v>13</v>
      </c>
      <c r="S3" s="62">
        <f t="shared" si="0"/>
        <v>14</v>
      </c>
      <c r="T3" s="62">
        <f t="shared" si="0"/>
        <v>15</v>
      </c>
      <c r="U3" s="62">
        <f t="shared" si="0"/>
        <v>16</v>
      </c>
      <c r="V3" s="62">
        <f t="shared" si="0"/>
        <v>17</v>
      </c>
      <c r="W3" s="62">
        <f t="shared" si="0"/>
        <v>18</v>
      </c>
      <c r="X3" s="62">
        <f t="shared" si="0"/>
        <v>19</v>
      </c>
      <c r="Y3" s="62">
        <f t="shared" si="0"/>
        <v>20</v>
      </c>
      <c r="Z3" s="62">
        <f t="shared" si="0"/>
        <v>21</v>
      </c>
      <c r="AA3" s="62">
        <f t="shared" si="0"/>
        <v>22</v>
      </c>
      <c r="AB3" s="62">
        <f t="shared" si="0"/>
        <v>23</v>
      </c>
      <c r="AC3" s="62">
        <f t="shared" si="0"/>
        <v>24</v>
      </c>
      <c r="AD3" s="62">
        <f t="shared" si="0"/>
        <v>25</v>
      </c>
      <c r="AE3" s="62">
        <f t="shared" si="0"/>
        <v>26</v>
      </c>
      <c r="AF3" s="62">
        <f t="shared" si="0"/>
        <v>27</v>
      </c>
      <c r="AG3" s="62">
        <f t="shared" si="0"/>
        <v>28</v>
      </c>
      <c r="AH3" s="62">
        <f>AG3+$BF3/4</f>
        <v>28.25</v>
      </c>
      <c r="AI3" s="62">
        <f t="shared" ref="AI3:BB3" si="1">AH3+$BF3/4</f>
        <v>28.5</v>
      </c>
      <c r="AJ3" s="62">
        <f t="shared" si="1"/>
        <v>28.75</v>
      </c>
      <c r="AK3" s="62">
        <f t="shared" si="1"/>
        <v>29</v>
      </c>
      <c r="AL3" s="62">
        <f t="shared" si="1"/>
        <v>29.25</v>
      </c>
      <c r="AM3" s="62">
        <f t="shared" si="1"/>
        <v>29.5</v>
      </c>
      <c r="AN3" s="62">
        <f t="shared" si="1"/>
        <v>29.75</v>
      </c>
      <c r="AO3" s="62">
        <f t="shared" si="1"/>
        <v>30</v>
      </c>
      <c r="AP3" s="62">
        <f t="shared" si="1"/>
        <v>30.25</v>
      </c>
      <c r="AQ3" s="62">
        <f t="shared" si="1"/>
        <v>30.5</v>
      </c>
      <c r="AR3" s="62">
        <f t="shared" si="1"/>
        <v>30.75</v>
      </c>
      <c r="AS3" s="62">
        <f t="shared" si="1"/>
        <v>31</v>
      </c>
      <c r="AT3" s="62">
        <f t="shared" si="1"/>
        <v>31.25</v>
      </c>
      <c r="AU3" s="62">
        <f t="shared" si="1"/>
        <v>31.5</v>
      </c>
      <c r="AV3" s="62">
        <f t="shared" si="1"/>
        <v>31.75</v>
      </c>
      <c r="AW3" s="62">
        <f t="shared" si="1"/>
        <v>32</v>
      </c>
      <c r="AX3" s="62">
        <f t="shared" si="1"/>
        <v>32.25</v>
      </c>
      <c r="AY3" s="62">
        <f t="shared" si="1"/>
        <v>32.5</v>
      </c>
      <c r="AZ3" s="62">
        <f t="shared" si="1"/>
        <v>32.75</v>
      </c>
      <c r="BA3" s="62">
        <f t="shared" si="1"/>
        <v>33</v>
      </c>
      <c r="BB3" s="79">
        <f t="shared" si="1"/>
        <v>33.25</v>
      </c>
      <c r="BC3" s="354"/>
      <c r="BE3" s="379" t="s">
        <v>54</v>
      </c>
      <c r="BF3" s="353">
        <v>1</v>
      </c>
      <c r="BG3" s="353" t="s">
        <v>55</v>
      </c>
    </row>
    <row r="4" spans="1:108" ht="14.4" hidden="1" x14ac:dyDescent="0.3">
      <c r="A4" s="16"/>
      <c r="B4" s="16"/>
      <c r="C4" s="351" t="s">
        <v>138</v>
      </c>
      <c r="D4" s="351" t="s">
        <v>53</v>
      </c>
      <c r="E4" s="351"/>
      <c r="F4" s="62">
        <f>BF4</f>
        <v>1</v>
      </c>
      <c r="G4" s="62">
        <f t="shared" ref="G4:V54" si="2">F4+$BF4</f>
        <v>2</v>
      </c>
      <c r="H4" s="62">
        <f t="shared" si="2"/>
        <v>3</v>
      </c>
      <c r="I4" s="62">
        <f t="shared" si="2"/>
        <v>4</v>
      </c>
      <c r="J4" s="62">
        <f t="shared" si="2"/>
        <v>5</v>
      </c>
      <c r="K4" s="62">
        <f t="shared" si="2"/>
        <v>6</v>
      </c>
      <c r="L4" s="62">
        <f t="shared" si="2"/>
        <v>7</v>
      </c>
      <c r="M4" s="62">
        <f t="shared" si="2"/>
        <v>8</v>
      </c>
      <c r="N4" s="62">
        <f t="shared" si="2"/>
        <v>9</v>
      </c>
      <c r="O4" s="62">
        <f t="shared" si="2"/>
        <v>10</v>
      </c>
      <c r="P4" s="62">
        <f t="shared" si="2"/>
        <v>11</v>
      </c>
      <c r="Q4" s="62">
        <f t="shared" si="2"/>
        <v>12</v>
      </c>
      <c r="R4" s="62">
        <f t="shared" si="2"/>
        <v>13</v>
      </c>
      <c r="S4" s="62">
        <f t="shared" si="2"/>
        <v>14</v>
      </c>
      <c r="T4" s="62">
        <f t="shared" si="2"/>
        <v>15</v>
      </c>
      <c r="U4" s="62">
        <f t="shared" si="2"/>
        <v>16</v>
      </c>
      <c r="V4" s="62">
        <f t="shared" si="2"/>
        <v>17</v>
      </c>
      <c r="W4" s="62">
        <f t="shared" si="0"/>
        <v>18</v>
      </c>
      <c r="X4" s="62">
        <f t="shared" si="0"/>
        <v>19</v>
      </c>
      <c r="Y4" s="62">
        <f t="shared" si="0"/>
        <v>20</v>
      </c>
      <c r="Z4" s="62">
        <f t="shared" si="0"/>
        <v>21</v>
      </c>
      <c r="AA4" s="62">
        <f t="shared" si="0"/>
        <v>22</v>
      </c>
      <c r="AB4" s="62">
        <f t="shared" si="0"/>
        <v>23</v>
      </c>
      <c r="AC4" s="62">
        <f t="shared" si="0"/>
        <v>24</v>
      </c>
      <c r="AD4" s="62">
        <f t="shared" si="0"/>
        <v>25</v>
      </c>
      <c r="AE4" s="62">
        <f t="shared" si="0"/>
        <v>26</v>
      </c>
      <c r="AF4" s="62">
        <f t="shared" si="0"/>
        <v>27</v>
      </c>
      <c r="AG4" s="62">
        <f t="shared" si="0"/>
        <v>28</v>
      </c>
      <c r="AH4" s="62">
        <f>AG4+$BF4/4</f>
        <v>28.25</v>
      </c>
      <c r="AI4" s="62">
        <f t="shared" ref="AI4:BB5" si="3">AH4+$BF4/4</f>
        <v>28.5</v>
      </c>
      <c r="AJ4" s="62">
        <f t="shared" si="3"/>
        <v>28.75</v>
      </c>
      <c r="AK4" s="62">
        <f t="shared" si="3"/>
        <v>29</v>
      </c>
      <c r="AL4" s="62">
        <f t="shared" si="3"/>
        <v>29.25</v>
      </c>
      <c r="AM4" s="62">
        <f t="shared" si="3"/>
        <v>29.5</v>
      </c>
      <c r="AN4" s="62">
        <f t="shared" si="3"/>
        <v>29.75</v>
      </c>
      <c r="AO4" s="62">
        <f t="shared" si="3"/>
        <v>30</v>
      </c>
      <c r="AP4" s="62">
        <f t="shared" si="3"/>
        <v>30.25</v>
      </c>
      <c r="AQ4" s="62">
        <f t="shared" si="3"/>
        <v>30.5</v>
      </c>
      <c r="AR4" s="62">
        <f t="shared" si="3"/>
        <v>30.75</v>
      </c>
      <c r="AS4" s="62">
        <f t="shared" si="3"/>
        <v>31</v>
      </c>
      <c r="AT4" s="62">
        <f t="shared" si="3"/>
        <v>31.25</v>
      </c>
      <c r="AU4" s="62">
        <f t="shared" si="3"/>
        <v>31.5</v>
      </c>
      <c r="AV4" s="62">
        <f t="shared" si="3"/>
        <v>31.75</v>
      </c>
      <c r="AW4" s="62">
        <f t="shared" si="3"/>
        <v>32</v>
      </c>
      <c r="AX4" s="62">
        <f t="shared" si="3"/>
        <v>32.25</v>
      </c>
      <c r="AY4" s="62">
        <f t="shared" si="3"/>
        <v>32.5</v>
      </c>
      <c r="AZ4" s="62">
        <f t="shared" si="3"/>
        <v>32.75</v>
      </c>
      <c r="BA4" s="62">
        <f t="shared" si="3"/>
        <v>33</v>
      </c>
      <c r="BB4" s="79">
        <f t="shared" si="3"/>
        <v>33.25</v>
      </c>
      <c r="BC4" s="354"/>
      <c r="BE4" s="380"/>
      <c r="BF4" s="353">
        <v>1</v>
      </c>
      <c r="BG4" s="353" t="s">
        <v>55</v>
      </c>
    </row>
    <row r="5" spans="1:108" ht="14.4" x14ac:dyDescent="0.3">
      <c r="A5" s="16"/>
      <c r="B5" s="16"/>
      <c r="C5" s="351" t="s">
        <v>139</v>
      </c>
      <c r="D5" s="351" t="s">
        <v>53</v>
      </c>
      <c r="E5" s="351"/>
      <c r="F5" s="62">
        <f>BF5</f>
        <v>1</v>
      </c>
      <c r="G5" s="62">
        <f>F5+$BF5</f>
        <v>2</v>
      </c>
      <c r="H5" s="62">
        <f t="shared" si="2"/>
        <v>3</v>
      </c>
      <c r="I5" s="62">
        <f t="shared" si="2"/>
        <v>4</v>
      </c>
      <c r="J5" s="62">
        <f t="shared" si="2"/>
        <v>5</v>
      </c>
      <c r="K5" s="62">
        <f t="shared" si="2"/>
        <v>6</v>
      </c>
      <c r="L5" s="62">
        <f t="shared" si="2"/>
        <v>7</v>
      </c>
      <c r="M5" s="62">
        <f t="shared" si="2"/>
        <v>8</v>
      </c>
      <c r="N5" s="62">
        <f t="shared" si="2"/>
        <v>9</v>
      </c>
      <c r="O5" s="62">
        <f t="shared" si="2"/>
        <v>10</v>
      </c>
      <c r="P5" s="62">
        <f t="shared" si="2"/>
        <v>11</v>
      </c>
      <c r="Q5" s="62">
        <f t="shared" si="2"/>
        <v>12</v>
      </c>
      <c r="R5" s="62">
        <f t="shared" si="2"/>
        <v>13</v>
      </c>
      <c r="S5" s="62">
        <f t="shared" si="2"/>
        <v>14</v>
      </c>
      <c r="T5" s="62">
        <f t="shared" si="2"/>
        <v>15</v>
      </c>
      <c r="U5" s="62">
        <f t="shared" si="2"/>
        <v>16</v>
      </c>
      <c r="V5" s="62">
        <f t="shared" si="2"/>
        <v>17</v>
      </c>
      <c r="W5" s="62">
        <f t="shared" si="0"/>
        <v>18</v>
      </c>
      <c r="X5" s="62">
        <f t="shared" si="0"/>
        <v>19</v>
      </c>
      <c r="Y5" s="62">
        <f t="shared" si="0"/>
        <v>20</v>
      </c>
      <c r="Z5" s="62">
        <f t="shared" si="0"/>
        <v>21</v>
      </c>
      <c r="AA5" s="62">
        <f t="shared" si="0"/>
        <v>22</v>
      </c>
      <c r="AB5" s="62">
        <f t="shared" si="0"/>
        <v>23</v>
      </c>
      <c r="AC5" s="62">
        <f t="shared" si="0"/>
        <v>24</v>
      </c>
      <c r="AD5" s="62">
        <f t="shared" si="0"/>
        <v>25</v>
      </c>
      <c r="AE5" s="62">
        <f t="shared" si="0"/>
        <v>26</v>
      </c>
      <c r="AF5" s="62">
        <f t="shared" si="0"/>
        <v>27</v>
      </c>
      <c r="AG5" s="62">
        <f t="shared" si="0"/>
        <v>28</v>
      </c>
      <c r="AH5" s="62">
        <f>AG5+$BF5/4</f>
        <v>28.25</v>
      </c>
      <c r="AI5" s="62">
        <f t="shared" si="3"/>
        <v>28.5</v>
      </c>
      <c r="AJ5" s="62">
        <f t="shared" si="3"/>
        <v>28.75</v>
      </c>
      <c r="AK5" s="62">
        <f t="shared" si="3"/>
        <v>29</v>
      </c>
      <c r="AL5" s="62">
        <f t="shared" si="3"/>
        <v>29.25</v>
      </c>
      <c r="AM5" s="62">
        <f t="shared" si="3"/>
        <v>29.5</v>
      </c>
      <c r="AN5" s="62">
        <f t="shared" si="3"/>
        <v>29.75</v>
      </c>
      <c r="AO5" s="62">
        <f t="shared" si="3"/>
        <v>30</v>
      </c>
      <c r="AP5" s="62">
        <f t="shared" si="3"/>
        <v>30.25</v>
      </c>
      <c r="AQ5" s="62">
        <f t="shared" si="3"/>
        <v>30.5</v>
      </c>
      <c r="AR5" s="62">
        <f t="shared" si="3"/>
        <v>30.75</v>
      </c>
      <c r="AS5" s="62">
        <f t="shared" si="3"/>
        <v>31</v>
      </c>
      <c r="AT5" s="62">
        <f t="shared" si="3"/>
        <v>31.25</v>
      </c>
      <c r="AU5" s="62">
        <f t="shared" si="3"/>
        <v>31.5</v>
      </c>
      <c r="AV5" s="62">
        <f t="shared" si="3"/>
        <v>31.75</v>
      </c>
      <c r="AW5" s="62">
        <f t="shared" si="3"/>
        <v>32</v>
      </c>
      <c r="AX5" s="62">
        <f t="shared" si="3"/>
        <v>32.25</v>
      </c>
      <c r="AY5" s="62">
        <f t="shared" si="3"/>
        <v>32.5</v>
      </c>
      <c r="AZ5" s="62">
        <f t="shared" si="3"/>
        <v>32.75</v>
      </c>
      <c r="BA5" s="62">
        <f t="shared" si="3"/>
        <v>33</v>
      </c>
      <c r="BB5" s="79">
        <f t="shared" si="3"/>
        <v>33.25</v>
      </c>
      <c r="BC5" s="354"/>
      <c r="BE5" s="380"/>
      <c r="BF5" s="353">
        <v>1</v>
      </c>
      <c r="BG5" s="353" t="s">
        <v>55</v>
      </c>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row>
    <row r="6" spans="1:108" ht="14.4" customHeight="1" x14ac:dyDescent="0.3">
      <c r="B6" s="364" t="s">
        <v>62</v>
      </c>
      <c r="C6" s="9" t="s">
        <v>140</v>
      </c>
      <c r="D6" s="365" t="s">
        <v>141</v>
      </c>
      <c r="E6" s="351"/>
      <c r="F6" s="62">
        <f t="shared" ref="F6:F20" si="4">BF6</f>
        <v>0.25</v>
      </c>
      <c r="G6" s="62">
        <f t="shared" ref="G6:G20" si="5">F6+$BF6</f>
        <v>0.5</v>
      </c>
      <c r="H6" s="62">
        <f t="shared" ref="H6:H20" si="6">G6+$BF6</f>
        <v>0.75</v>
      </c>
      <c r="I6" s="62">
        <f t="shared" ref="I6:I20" si="7">H6+$BF6</f>
        <v>1</v>
      </c>
      <c r="J6" s="62">
        <f t="shared" ref="J6:J20" si="8">I6+$BF6</f>
        <v>1.25</v>
      </c>
      <c r="K6" s="62">
        <f t="shared" ref="K6:K20" si="9">J6+$BF6</f>
        <v>1.5</v>
      </c>
      <c r="L6" s="62">
        <f t="shared" ref="L6:L20" si="10">K6+$BF6</f>
        <v>1.75</v>
      </c>
      <c r="M6" s="62">
        <f t="shared" ref="M6:M20" si="11">L6+$BF6</f>
        <v>2</v>
      </c>
      <c r="N6" s="62">
        <f t="shared" ref="N6:N20" si="12">M6+$BF6</f>
        <v>2.25</v>
      </c>
      <c r="O6" s="62">
        <f t="shared" ref="O6:O20" si="13">N6+$BF6</f>
        <v>2.5</v>
      </c>
      <c r="P6" s="62">
        <f t="shared" ref="P6:P20" si="14">O6+$BF6</f>
        <v>2.75</v>
      </c>
      <c r="Q6" s="62">
        <f t="shared" ref="Q6:Q20" si="15">P6+$BF6</f>
        <v>3</v>
      </c>
      <c r="R6" s="62">
        <f t="shared" ref="R6:R20" si="16">Q6+$BF6</f>
        <v>3.25</v>
      </c>
      <c r="S6" s="62">
        <f t="shared" ref="S6:S20" si="17">R6+$BF6</f>
        <v>3.5</v>
      </c>
      <c r="T6" s="62">
        <f t="shared" ref="T6:T20" si="18">S6+$BF6</f>
        <v>3.75</v>
      </c>
      <c r="U6" s="62">
        <f t="shared" ref="U6:U20" si="19">T6+$BF6</f>
        <v>4</v>
      </c>
      <c r="V6" s="62">
        <f t="shared" ref="V6:V20" si="20">U6+$BF6</f>
        <v>4.25</v>
      </c>
      <c r="W6" s="62">
        <f t="shared" ref="W6:W20" si="21">V6+$BF6</f>
        <v>4.5</v>
      </c>
      <c r="X6" s="62">
        <f t="shared" ref="X6:X20" si="22">W6+$BF6</f>
        <v>4.75</v>
      </c>
      <c r="Y6" s="62">
        <f t="shared" ref="Y6:Y20" si="23">X6+$BF6</f>
        <v>5</v>
      </c>
      <c r="Z6" s="62">
        <f t="shared" ref="Z6:Z20" si="24">Y6+$BF6</f>
        <v>5.25</v>
      </c>
      <c r="AA6" s="62">
        <f t="shared" ref="AA6:AA20" si="25">Z6+$BF6</f>
        <v>5.5</v>
      </c>
      <c r="AB6" s="62">
        <f t="shared" ref="AB6:AB20" si="26">AA6+$BF6</f>
        <v>5.75</v>
      </c>
      <c r="AC6" s="62">
        <f t="shared" ref="AC6:AC20" si="27">AB6+$BF6</f>
        <v>6</v>
      </c>
      <c r="AD6" s="62">
        <f t="shared" ref="AD6:AD20" si="28">AC6+$BF6</f>
        <v>6.25</v>
      </c>
      <c r="AE6" s="62">
        <f t="shared" ref="AE6:AE20" si="29">AD6+$BF6</f>
        <v>6.5</v>
      </c>
      <c r="AF6" s="62">
        <f t="shared" ref="AF6:AF20" si="30">AE6+$BF6</f>
        <v>6.75</v>
      </c>
      <c r="AG6" s="62">
        <f t="shared" ref="AG6:AG20" si="31">AF6+$BF6</f>
        <v>7</v>
      </c>
      <c r="AH6" s="62">
        <f t="shared" ref="AH6:AH20" si="32">AG6+$BF6</f>
        <v>7.25</v>
      </c>
      <c r="AI6" s="62">
        <f t="shared" ref="AI6:AI20" si="33">AH6+$BF6</f>
        <v>7.5</v>
      </c>
      <c r="AJ6" s="62">
        <f t="shared" ref="AJ6:AJ20" si="34">AI6+$BF6</f>
        <v>7.75</v>
      </c>
      <c r="AK6" s="62">
        <f t="shared" ref="AK6:AK20" si="35">AJ6+$BF6</f>
        <v>8</v>
      </c>
      <c r="AL6" s="62">
        <f t="shared" ref="AL6:AL20" si="36">AK6+$BF6</f>
        <v>8.25</v>
      </c>
      <c r="AM6" s="62">
        <f t="shared" ref="AM6:AM20" si="37">AL6+$BF6</f>
        <v>8.5</v>
      </c>
      <c r="AN6" s="62">
        <f t="shared" ref="AN6:AN20" si="38">AM6+$BF6</f>
        <v>8.75</v>
      </c>
      <c r="AO6" s="62">
        <f t="shared" ref="AO6:AO20" si="39">AN6+$BF6</f>
        <v>9</v>
      </c>
      <c r="AP6" s="62">
        <f t="shared" ref="AP6:AP20" si="40">AO6+$BF6</f>
        <v>9.25</v>
      </c>
      <c r="AQ6" s="62">
        <f t="shared" ref="AQ6:AQ20" si="41">AP6+$BF6</f>
        <v>9.5</v>
      </c>
      <c r="AR6" s="62">
        <f t="shared" ref="AR6:AR20" si="42">AQ6+$BF6</f>
        <v>9.75</v>
      </c>
      <c r="AS6" s="62">
        <f t="shared" ref="AS6:AS20" si="43">AR6+$BF6</f>
        <v>10</v>
      </c>
      <c r="AT6" s="62">
        <f t="shared" ref="AT6:AT20" si="44">AS6+$BF6</f>
        <v>10.25</v>
      </c>
      <c r="AU6" s="62">
        <f t="shared" ref="AU6:AU20" si="45">AT6+$BF6</f>
        <v>10.5</v>
      </c>
      <c r="AV6" s="62">
        <f t="shared" ref="AV6:AV20" si="46">AU6+$BF6</f>
        <v>10.75</v>
      </c>
      <c r="AW6" s="62">
        <f t="shared" ref="AW6:AW20" si="47">AV6+$BF6</f>
        <v>11</v>
      </c>
      <c r="AX6" s="62">
        <f t="shared" ref="AX6:AX20" si="48">AW6+$BF6</f>
        <v>11.25</v>
      </c>
      <c r="AY6" s="62">
        <f t="shared" ref="AY6:AY20" si="49">AX6+$BF6</f>
        <v>11.5</v>
      </c>
      <c r="AZ6" s="62">
        <f t="shared" ref="AZ6:AZ20" si="50">AY6+$BF6</f>
        <v>11.75</v>
      </c>
      <c r="BA6" s="62">
        <f t="shared" ref="BA6:BA20" si="51">AZ6+$BF6</f>
        <v>12</v>
      </c>
      <c r="BB6" s="79">
        <f t="shared" ref="BB6:BB20" si="52">BA6+$BF6</f>
        <v>12.25</v>
      </c>
      <c r="BC6" s="354"/>
      <c r="BE6" s="380"/>
      <c r="BF6" s="353">
        <v>0.25</v>
      </c>
      <c r="BG6" s="353" t="s">
        <v>59</v>
      </c>
    </row>
    <row r="7" spans="1:108" ht="14.4" x14ac:dyDescent="0.3">
      <c r="B7" s="364"/>
      <c r="C7" s="9" t="s">
        <v>142</v>
      </c>
      <c r="D7" s="365"/>
      <c r="E7" s="351"/>
      <c r="F7" s="62">
        <f t="shared" si="4"/>
        <v>0.2</v>
      </c>
      <c r="G7" s="62">
        <f t="shared" si="5"/>
        <v>0.4</v>
      </c>
      <c r="H7" s="62">
        <f t="shared" si="6"/>
        <v>0.60000000000000009</v>
      </c>
      <c r="I7" s="62">
        <f t="shared" si="7"/>
        <v>0.8</v>
      </c>
      <c r="J7" s="62">
        <f t="shared" si="8"/>
        <v>1</v>
      </c>
      <c r="K7" s="62">
        <f t="shared" si="9"/>
        <v>1.2</v>
      </c>
      <c r="L7" s="62">
        <f t="shared" si="10"/>
        <v>1.4</v>
      </c>
      <c r="M7" s="62">
        <f t="shared" si="11"/>
        <v>1.5999999999999999</v>
      </c>
      <c r="N7" s="62">
        <f t="shared" si="12"/>
        <v>1.7999999999999998</v>
      </c>
      <c r="O7" s="62">
        <f t="shared" si="13"/>
        <v>1.9999999999999998</v>
      </c>
      <c r="P7" s="62">
        <f t="shared" si="14"/>
        <v>2.1999999999999997</v>
      </c>
      <c r="Q7" s="62">
        <f t="shared" si="15"/>
        <v>2.4</v>
      </c>
      <c r="R7" s="62">
        <f t="shared" si="16"/>
        <v>2.6</v>
      </c>
      <c r="S7" s="62">
        <f t="shared" si="17"/>
        <v>2.8000000000000003</v>
      </c>
      <c r="T7" s="62">
        <f t="shared" si="18"/>
        <v>3.0000000000000004</v>
      </c>
      <c r="U7" s="62">
        <f t="shared" si="19"/>
        <v>3.2000000000000006</v>
      </c>
      <c r="V7" s="62">
        <f t="shared" si="20"/>
        <v>3.4000000000000008</v>
      </c>
      <c r="W7" s="62">
        <f t="shared" si="21"/>
        <v>3.600000000000001</v>
      </c>
      <c r="X7" s="62">
        <f t="shared" si="22"/>
        <v>3.8000000000000012</v>
      </c>
      <c r="Y7" s="62">
        <f t="shared" si="23"/>
        <v>4.0000000000000009</v>
      </c>
      <c r="Z7" s="62">
        <f t="shared" si="24"/>
        <v>4.2000000000000011</v>
      </c>
      <c r="AA7" s="62">
        <f t="shared" si="25"/>
        <v>4.4000000000000012</v>
      </c>
      <c r="AB7" s="62">
        <f t="shared" si="26"/>
        <v>4.6000000000000014</v>
      </c>
      <c r="AC7" s="62">
        <f t="shared" si="27"/>
        <v>4.8000000000000016</v>
      </c>
      <c r="AD7" s="62">
        <f t="shared" si="28"/>
        <v>5.0000000000000018</v>
      </c>
      <c r="AE7" s="62">
        <f t="shared" si="29"/>
        <v>5.200000000000002</v>
      </c>
      <c r="AF7" s="62">
        <f t="shared" si="30"/>
        <v>5.4000000000000021</v>
      </c>
      <c r="AG7" s="62">
        <f t="shared" si="31"/>
        <v>5.6000000000000023</v>
      </c>
      <c r="AH7" s="62">
        <f t="shared" si="32"/>
        <v>5.8000000000000025</v>
      </c>
      <c r="AI7" s="62">
        <f t="shared" si="33"/>
        <v>6.0000000000000027</v>
      </c>
      <c r="AJ7" s="62">
        <f t="shared" si="34"/>
        <v>6.2000000000000028</v>
      </c>
      <c r="AK7" s="62">
        <f t="shared" si="35"/>
        <v>6.400000000000003</v>
      </c>
      <c r="AL7" s="62">
        <f t="shared" si="36"/>
        <v>6.6000000000000032</v>
      </c>
      <c r="AM7" s="62">
        <f t="shared" si="37"/>
        <v>6.8000000000000034</v>
      </c>
      <c r="AN7" s="62">
        <f t="shared" si="38"/>
        <v>7.0000000000000036</v>
      </c>
      <c r="AO7" s="62">
        <f t="shared" si="39"/>
        <v>7.2000000000000037</v>
      </c>
      <c r="AP7" s="62">
        <f t="shared" si="40"/>
        <v>7.4000000000000039</v>
      </c>
      <c r="AQ7" s="62">
        <f t="shared" si="41"/>
        <v>7.6000000000000041</v>
      </c>
      <c r="AR7" s="62">
        <f t="shared" si="42"/>
        <v>7.8000000000000043</v>
      </c>
      <c r="AS7" s="62">
        <f t="shared" si="43"/>
        <v>8.0000000000000036</v>
      </c>
      <c r="AT7" s="62">
        <f t="shared" si="44"/>
        <v>8.2000000000000028</v>
      </c>
      <c r="AU7" s="62">
        <f t="shared" si="45"/>
        <v>8.4000000000000021</v>
      </c>
      <c r="AV7" s="62">
        <f t="shared" si="46"/>
        <v>8.6000000000000014</v>
      </c>
      <c r="AW7" s="62">
        <f t="shared" si="47"/>
        <v>8.8000000000000007</v>
      </c>
      <c r="AX7" s="62">
        <f t="shared" si="48"/>
        <v>9</v>
      </c>
      <c r="AY7" s="62">
        <f t="shared" si="49"/>
        <v>9.1999999999999993</v>
      </c>
      <c r="AZ7" s="62">
        <f t="shared" si="50"/>
        <v>9.3999999999999986</v>
      </c>
      <c r="BA7" s="62">
        <f t="shared" si="51"/>
        <v>9.5999999999999979</v>
      </c>
      <c r="BB7" s="79">
        <f t="shared" si="52"/>
        <v>9.7999999999999972</v>
      </c>
      <c r="BC7" s="354"/>
      <c r="BE7" s="380"/>
      <c r="BF7" s="353">
        <v>0.2</v>
      </c>
      <c r="BG7" s="353" t="s">
        <v>59</v>
      </c>
    </row>
    <row r="8" spans="1:108" ht="14.4" x14ac:dyDescent="0.3">
      <c r="B8" s="364"/>
      <c r="C8" s="9" t="s">
        <v>143</v>
      </c>
      <c r="D8" s="365"/>
      <c r="E8" s="351"/>
      <c r="F8" s="62">
        <f t="shared" si="4"/>
        <v>0.2</v>
      </c>
      <c r="G8" s="62">
        <f t="shared" si="5"/>
        <v>0.4</v>
      </c>
      <c r="H8" s="62">
        <f t="shared" si="6"/>
        <v>0.60000000000000009</v>
      </c>
      <c r="I8" s="62">
        <f t="shared" si="7"/>
        <v>0.8</v>
      </c>
      <c r="J8" s="62">
        <f t="shared" si="8"/>
        <v>1</v>
      </c>
      <c r="K8" s="62">
        <f t="shared" si="9"/>
        <v>1.2</v>
      </c>
      <c r="L8" s="62">
        <f t="shared" si="10"/>
        <v>1.4</v>
      </c>
      <c r="M8" s="62">
        <f t="shared" si="11"/>
        <v>1.5999999999999999</v>
      </c>
      <c r="N8" s="62">
        <f t="shared" si="12"/>
        <v>1.7999999999999998</v>
      </c>
      <c r="O8" s="62">
        <f t="shared" si="13"/>
        <v>1.9999999999999998</v>
      </c>
      <c r="P8" s="62">
        <f t="shared" si="14"/>
        <v>2.1999999999999997</v>
      </c>
      <c r="Q8" s="62">
        <f t="shared" si="15"/>
        <v>2.4</v>
      </c>
      <c r="R8" s="62">
        <f t="shared" si="16"/>
        <v>2.6</v>
      </c>
      <c r="S8" s="62">
        <f t="shared" si="17"/>
        <v>2.8000000000000003</v>
      </c>
      <c r="T8" s="62">
        <f t="shared" si="18"/>
        <v>3.0000000000000004</v>
      </c>
      <c r="U8" s="62">
        <f t="shared" si="19"/>
        <v>3.2000000000000006</v>
      </c>
      <c r="V8" s="62">
        <f t="shared" si="20"/>
        <v>3.4000000000000008</v>
      </c>
      <c r="W8" s="62">
        <f t="shared" si="21"/>
        <v>3.600000000000001</v>
      </c>
      <c r="X8" s="62">
        <f t="shared" si="22"/>
        <v>3.8000000000000012</v>
      </c>
      <c r="Y8" s="62">
        <f t="shared" si="23"/>
        <v>4.0000000000000009</v>
      </c>
      <c r="Z8" s="62">
        <f t="shared" si="24"/>
        <v>4.2000000000000011</v>
      </c>
      <c r="AA8" s="62">
        <f t="shared" si="25"/>
        <v>4.4000000000000012</v>
      </c>
      <c r="AB8" s="62">
        <f t="shared" si="26"/>
        <v>4.6000000000000014</v>
      </c>
      <c r="AC8" s="62">
        <f t="shared" si="27"/>
        <v>4.8000000000000016</v>
      </c>
      <c r="AD8" s="62">
        <f t="shared" si="28"/>
        <v>5.0000000000000018</v>
      </c>
      <c r="AE8" s="62">
        <f t="shared" si="29"/>
        <v>5.200000000000002</v>
      </c>
      <c r="AF8" s="62">
        <f t="shared" si="30"/>
        <v>5.4000000000000021</v>
      </c>
      <c r="AG8" s="62">
        <f t="shared" si="31"/>
        <v>5.6000000000000023</v>
      </c>
      <c r="AH8" s="62">
        <f t="shared" si="32"/>
        <v>5.8000000000000025</v>
      </c>
      <c r="AI8" s="62">
        <f t="shared" si="33"/>
        <v>6.0000000000000027</v>
      </c>
      <c r="AJ8" s="62">
        <f t="shared" si="34"/>
        <v>6.2000000000000028</v>
      </c>
      <c r="AK8" s="62">
        <f t="shared" si="35"/>
        <v>6.400000000000003</v>
      </c>
      <c r="AL8" s="62">
        <f t="shared" si="36"/>
        <v>6.6000000000000032</v>
      </c>
      <c r="AM8" s="62">
        <f t="shared" si="37"/>
        <v>6.8000000000000034</v>
      </c>
      <c r="AN8" s="62">
        <f t="shared" si="38"/>
        <v>7.0000000000000036</v>
      </c>
      <c r="AO8" s="62">
        <f t="shared" si="39"/>
        <v>7.2000000000000037</v>
      </c>
      <c r="AP8" s="62">
        <f t="shared" si="40"/>
        <v>7.4000000000000039</v>
      </c>
      <c r="AQ8" s="62">
        <f t="shared" si="41"/>
        <v>7.6000000000000041</v>
      </c>
      <c r="AR8" s="62">
        <f t="shared" si="42"/>
        <v>7.8000000000000043</v>
      </c>
      <c r="AS8" s="62">
        <f t="shared" si="43"/>
        <v>8.0000000000000036</v>
      </c>
      <c r="AT8" s="62">
        <f t="shared" si="44"/>
        <v>8.2000000000000028</v>
      </c>
      <c r="AU8" s="62">
        <f t="shared" si="45"/>
        <v>8.4000000000000021</v>
      </c>
      <c r="AV8" s="62">
        <f t="shared" si="46"/>
        <v>8.6000000000000014</v>
      </c>
      <c r="AW8" s="62">
        <f t="shared" si="47"/>
        <v>8.8000000000000007</v>
      </c>
      <c r="AX8" s="62">
        <f t="shared" si="48"/>
        <v>9</v>
      </c>
      <c r="AY8" s="62">
        <f t="shared" si="49"/>
        <v>9.1999999999999993</v>
      </c>
      <c r="AZ8" s="62">
        <f t="shared" si="50"/>
        <v>9.3999999999999986</v>
      </c>
      <c r="BA8" s="62">
        <f t="shared" si="51"/>
        <v>9.5999999999999979</v>
      </c>
      <c r="BB8" s="79">
        <f t="shared" si="52"/>
        <v>9.7999999999999972</v>
      </c>
      <c r="BC8" s="354"/>
      <c r="BE8" s="380"/>
      <c r="BF8" s="353">
        <v>0.2</v>
      </c>
      <c r="BG8" s="353" t="s">
        <v>59</v>
      </c>
    </row>
    <row r="9" spans="1:108" ht="14.4" x14ac:dyDescent="0.3">
      <c r="B9" s="364"/>
      <c r="C9" s="9" t="s">
        <v>144</v>
      </c>
      <c r="D9" s="365"/>
      <c r="E9" s="351"/>
      <c r="F9" s="62">
        <f t="shared" si="4"/>
        <v>0.2</v>
      </c>
      <c r="G9" s="62">
        <f t="shared" si="5"/>
        <v>0.4</v>
      </c>
      <c r="H9" s="62">
        <f t="shared" si="6"/>
        <v>0.60000000000000009</v>
      </c>
      <c r="I9" s="62">
        <f t="shared" si="7"/>
        <v>0.8</v>
      </c>
      <c r="J9" s="62">
        <f t="shared" si="8"/>
        <v>1</v>
      </c>
      <c r="K9" s="62">
        <f t="shared" si="9"/>
        <v>1.2</v>
      </c>
      <c r="L9" s="62">
        <f t="shared" si="10"/>
        <v>1.4</v>
      </c>
      <c r="M9" s="62">
        <f t="shared" si="11"/>
        <v>1.5999999999999999</v>
      </c>
      <c r="N9" s="62">
        <f t="shared" si="12"/>
        <v>1.7999999999999998</v>
      </c>
      <c r="O9" s="62">
        <f t="shared" si="13"/>
        <v>1.9999999999999998</v>
      </c>
      <c r="P9" s="62">
        <f t="shared" si="14"/>
        <v>2.1999999999999997</v>
      </c>
      <c r="Q9" s="62">
        <f t="shared" si="15"/>
        <v>2.4</v>
      </c>
      <c r="R9" s="62">
        <f t="shared" si="16"/>
        <v>2.6</v>
      </c>
      <c r="S9" s="62">
        <f t="shared" si="17"/>
        <v>2.8000000000000003</v>
      </c>
      <c r="T9" s="62">
        <f t="shared" si="18"/>
        <v>3.0000000000000004</v>
      </c>
      <c r="U9" s="62">
        <f t="shared" si="19"/>
        <v>3.2000000000000006</v>
      </c>
      <c r="V9" s="62">
        <f t="shared" si="20"/>
        <v>3.4000000000000008</v>
      </c>
      <c r="W9" s="62">
        <f t="shared" si="21"/>
        <v>3.600000000000001</v>
      </c>
      <c r="X9" s="62">
        <f t="shared" si="22"/>
        <v>3.8000000000000012</v>
      </c>
      <c r="Y9" s="62">
        <f t="shared" si="23"/>
        <v>4.0000000000000009</v>
      </c>
      <c r="Z9" s="62">
        <f t="shared" si="24"/>
        <v>4.2000000000000011</v>
      </c>
      <c r="AA9" s="62">
        <f t="shared" si="25"/>
        <v>4.4000000000000012</v>
      </c>
      <c r="AB9" s="62">
        <f t="shared" si="26"/>
        <v>4.6000000000000014</v>
      </c>
      <c r="AC9" s="62">
        <f t="shared" si="27"/>
        <v>4.8000000000000016</v>
      </c>
      <c r="AD9" s="62">
        <f t="shared" si="28"/>
        <v>5.0000000000000018</v>
      </c>
      <c r="AE9" s="62">
        <f t="shared" si="29"/>
        <v>5.200000000000002</v>
      </c>
      <c r="AF9" s="62">
        <f t="shared" si="30"/>
        <v>5.4000000000000021</v>
      </c>
      <c r="AG9" s="62">
        <f t="shared" si="31"/>
        <v>5.6000000000000023</v>
      </c>
      <c r="AH9" s="62">
        <f t="shared" si="32"/>
        <v>5.8000000000000025</v>
      </c>
      <c r="AI9" s="62">
        <f t="shared" si="33"/>
        <v>6.0000000000000027</v>
      </c>
      <c r="AJ9" s="62">
        <f t="shared" si="34"/>
        <v>6.2000000000000028</v>
      </c>
      <c r="AK9" s="62">
        <f t="shared" si="35"/>
        <v>6.400000000000003</v>
      </c>
      <c r="AL9" s="62">
        <f t="shared" si="36"/>
        <v>6.6000000000000032</v>
      </c>
      <c r="AM9" s="62">
        <f t="shared" si="37"/>
        <v>6.8000000000000034</v>
      </c>
      <c r="AN9" s="62">
        <f t="shared" si="38"/>
        <v>7.0000000000000036</v>
      </c>
      <c r="AO9" s="62">
        <f t="shared" si="39"/>
        <v>7.2000000000000037</v>
      </c>
      <c r="AP9" s="62">
        <f t="shared" si="40"/>
        <v>7.4000000000000039</v>
      </c>
      <c r="AQ9" s="62">
        <f t="shared" si="41"/>
        <v>7.6000000000000041</v>
      </c>
      <c r="AR9" s="62">
        <f t="shared" si="42"/>
        <v>7.8000000000000043</v>
      </c>
      <c r="AS9" s="62">
        <f t="shared" si="43"/>
        <v>8.0000000000000036</v>
      </c>
      <c r="AT9" s="62">
        <f t="shared" si="44"/>
        <v>8.2000000000000028</v>
      </c>
      <c r="AU9" s="62">
        <f t="shared" si="45"/>
        <v>8.4000000000000021</v>
      </c>
      <c r="AV9" s="62">
        <f t="shared" si="46"/>
        <v>8.6000000000000014</v>
      </c>
      <c r="AW9" s="62">
        <f t="shared" si="47"/>
        <v>8.8000000000000007</v>
      </c>
      <c r="AX9" s="62">
        <f t="shared" si="48"/>
        <v>9</v>
      </c>
      <c r="AY9" s="62">
        <f t="shared" si="49"/>
        <v>9.1999999999999993</v>
      </c>
      <c r="AZ9" s="62">
        <f t="shared" si="50"/>
        <v>9.3999999999999986</v>
      </c>
      <c r="BA9" s="62">
        <f t="shared" si="51"/>
        <v>9.5999999999999979</v>
      </c>
      <c r="BB9" s="79">
        <f t="shared" si="52"/>
        <v>9.7999999999999972</v>
      </c>
      <c r="BC9" s="354"/>
      <c r="BE9" s="380"/>
      <c r="BF9" s="353">
        <v>0.2</v>
      </c>
      <c r="BG9" s="353" t="s">
        <v>59</v>
      </c>
    </row>
    <row r="10" spans="1:108" ht="14.4" x14ac:dyDescent="0.3">
      <c r="B10" s="364"/>
      <c r="C10" s="9" t="s">
        <v>145</v>
      </c>
      <c r="D10" s="365"/>
      <c r="E10" s="351"/>
      <c r="F10" s="62">
        <f t="shared" si="4"/>
        <v>0.2</v>
      </c>
      <c r="G10" s="62">
        <f t="shared" si="5"/>
        <v>0.4</v>
      </c>
      <c r="H10" s="62">
        <f t="shared" si="6"/>
        <v>0.60000000000000009</v>
      </c>
      <c r="I10" s="62">
        <f t="shared" si="7"/>
        <v>0.8</v>
      </c>
      <c r="J10" s="62">
        <f t="shared" si="8"/>
        <v>1</v>
      </c>
      <c r="K10" s="62">
        <f t="shared" si="9"/>
        <v>1.2</v>
      </c>
      <c r="L10" s="62">
        <f t="shared" si="10"/>
        <v>1.4</v>
      </c>
      <c r="M10" s="62">
        <f t="shared" si="11"/>
        <v>1.5999999999999999</v>
      </c>
      <c r="N10" s="62">
        <f t="shared" si="12"/>
        <v>1.7999999999999998</v>
      </c>
      <c r="O10" s="62">
        <f t="shared" si="13"/>
        <v>1.9999999999999998</v>
      </c>
      <c r="P10" s="62">
        <f t="shared" si="14"/>
        <v>2.1999999999999997</v>
      </c>
      <c r="Q10" s="62">
        <f t="shared" si="15"/>
        <v>2.4</v>
      </c>
      <c r="R10" s="62">
        <f t="shared" si="16"/>
        <v>2.6</v>
      </c>
      <c r="S10" s="62">
        <f t="shared" si="17"/>
        <v>2.8000000000000003</v>
      </c>
      <c r="T10" s="62">
        <f t="shared" si="18"/>
        <v>3.0000000000000004</v>
      </c>
      <c r="U10" s="62">
        <f t="shared" si="19"/>
        <v>3.2000000000000006</v>
      </c>
      <c r="V10" s="62">
        <f t="shared" si="20"/>
        <v>3.4000000000000008</v>
      </c>
      <c r="W10" s="62">
        <f t="shared" si="21"/>
        <v>3.600000000000001</v>
      </c>
      <c r="X10" s="62">
        <f t="shared" si="22"/>
        <v>3.8000000000000012</v>
      </c>
      <c r="Y10" s="62">
        <f t="shared" si="23"/>
        <v>4.0000000000000009</v>
      </c>
      <c r="Z10" s="62">
        <f t="shared" si="24"/>
        <v>4.2000000000000011</v>
      </c>
      <c r="AA10" s="62">
        <f t="shared" si="25"/>
        <v>4.4000000000000012</v>
      </c>
      <c r="AB10" s="62">
        <f t="shared" si="26"/>
        <v>4.6000000000000014</v>
      </c>
      <c r="AC10" s="62">
        <f t="shared" si="27"/>
        <v>4.8000000000000016</v>
      </c>
      <c r="AD10" s="62">
        <f t="shared" si="28"/>
        <v>5.0000000000000018</v>
      </c>
      <c r="AE10" s="62">
        <f t="shared" si="29"/>
        <v>5.200000000000002</v>
      </c>
      <c r="AF10" s="62">
        <f t="shared" si="30"/>
        <v>5.4000000000000021</v>
      </c>
      <c r="AG10" s="62">
        <f t="shared" si="31"/>
        <v>5.6000000000000023</v>
      </c>
      <c r="AH10" s="62">
        <f t="shared" si="32"/>
        <v>5.8000000000000025</v>
      </c>
      <c r="AI10" s="62">
        <f t="shared" si="33"/>
        <v>6.0000000000000027</v>
      </c>
      <c r="AJ10" s="62">
        <f t="shared" si="34"/>
        <v>6.2000000000000028</v>
      </c>
      <c r="AK10" s="62">
        <f t="shared" si="35"/>
        <v>6.400000000000003</v>
      </c>
      <c r="AL10" s="62">
        <f t="shared" si="36"/>
        <v>6.6000000000000032</v>
      </c>
      <c r="AM10" s="62">
        <f t="shared" si="37"/>
        <v>6.8000000000000034</v>
      </c>
      <c r="AN10" s="62">
        <f t="shared" si="38"/>
        <v>7.0000000000000036</v>
      </c>
      <c r="AO10" s="62">
        <f t="shared" si="39"/>
        <v>7.2000000000000037</v>
      </c>
      <c r="AP10" s="62">
        <f t="shared" si="40"/>
        <v>7.4000000000000039</v>
      </c>
      <c r="AQ10" s="62">
        <f t="shared" si="41"/>
        <v>7.6000000000000041</v>
      </c>
      <c r="AR10" s="62">
        <f t="shared" si="42"/>
        <v>7.8000000000000043</v>
      </c>
      <c r="AS10" s="62">
        <f t="shared" si="43"/>
        <v>8.0000000000000036</v>
      </c>
      <c r="AT10" s="62">
        <f t="shared" si="44"/>
        <v>8.2000000000000028</v>
      </c>
      <c r="AU10" s="62">
        <f t="shared" si="45"/>
        <v>8.4000000000000021</v>
      </c>
      <c r="AV10" s="62">
        <f t="shared" si="46"/>
        <v>8.6000000000000014</v>
      </c>
      <c r="AW10" s="62">
        <f t="shared" si="47"/>
        <v>8.8000000000000007</v>
      </c>
      <c r="AX10" s="62">
        <f t="shared" si="48"/>
        <v>9</v>
      </c>
      <c r="AY10" s="62">
        <f t="shared" si="49"/>
        <v>9.1999999999999993</v>
      </c>
      <c r="AZ10" s="62">
        <f t="shared" si="50"/>
        <v>9.3999999999999986</v>
      </c>
      <c r="BA10" s="62">
        <f t="shared" si="51"/>
        <v>9.5999999999999979</v>
      </c>
      <c r="BB10" s="79">
        <f t="shared" si="52"/>
        <v>9.7999999999999972</v>
      </c>
      <c r="BC10" s="354"/>
      <c r="BE10" s="380"/>
      <c r="BF10" s="353">
        <v>0.2</v>
      </c>
      <c r="BG10" s="353" t="s">
        <v>59</v>
      </c>
    </row>
    <row r="11" spans="1:108" ht="14.4" x14ac:dyDescent="0.3">
      <c r="B11" s="364"/>
      <c r="C11" s="9" t="s">
        <v>146</v>
      </c>
      <c r="D11" s="365"/>
      <c r="E11" s="351"/>
      <c r="F11" s="62">
        <f t="shared" si="4"/>
        <v>0.2</v>
      </c>
      <c r="G11" s="62">
        <f t="shared" si="5"/>
        <v>0.4</v>
      </c>
      <c r="H11" s="62">
        <f t="shared" si="6"/>
        <v>0.60000000000000009</v>
      </c>
      <c r="I11" s="62">
        <f t="shared" si="7"/>
        <v>0.8</v>
      </c>
      <c r="J11" s="62">
        <f t="shared" si="8"/>
        <v>1</v>
      </c>
      <c r="K11" s="62">
        <f t="shared" si="9"/>
        <v>1.2</v>
      </c>
      <c r="L11" s="62">
        <f t="shared" si="10"/>
        <v>1.4</v>
      </c>
      <c r="M11" s="62">
        <f t="shared" si="11"/>
        <v>1.5999999999999999</v>
      </c>
      <c r="N11" s="62">
        <f t="shared" si="12"/>
        <v>1.7999999999999998</v>
      </c>
      <c r="O11" s="62">
        <f t="shared" si="13"/>
        <v>1.9999999999999998</v>
      </c>
      <c r="P11" s="62">
        <f t="shared" si="14"/>
        <v>2.1999999999999997</v>
      </c>
      <c r="Q11" s="62">
        <f t="shared" si="15"/>
        <v>2.4</v>
      </c>
      <c r="R11" s="62">
        <f t="shared" si="16"/>
        <v>2.6</v>
      </c>
      <c r="S11" s="62">
        <f t="shared" si="17"/>
        <v>2.8000000000000003</v>
      </c>
      <c r="T11" s="62">
        <f t="shared" si="18"/>
        <v>3.0000000000000004</v>
      </c>
      <c r="U11" s="62">
        <f t="shared" si="19"/>
        <v>3.2000000000000006</v>
      </c>
      <c r="V11" s="62">
        <f t="shared" si="20"/>
        <v>3.4000000000000008</v>
      </c>
      <c r="W11" s="62">
        <f t="shared" si="21"/>
        <v>3.600000000000001</v>
      </c>
      <c r="X11" s="62">
        <f t="shared" si="22"/>
        <v>3.8000000000000012</v>
      </c>
      <c r="Y11" s="62">
        <f t="shared" si="23"/>
        <v>4.0000000000000009</v>
      </c>
      <c r="Z11" s="62">
        <f t="shared" si="24"/>
        <v>4.2000000000000011</v>
      </c>
      <c r="AA11" s="62">
        <f t="shared" si="25"/>
        <v>4.4000000000000012</v>
      </c>
      <c r="AB11" s="62">
        <f t="shared" si="26"/>
        <v>4.6000000000000014</v>
      </c>
      <c r="AC11" s="62">
        <f t="shared" si="27"/>
        <v>4.8000000000000016</v>
      </c>
      <c r="AD11" s="62">
        <f t="shared" si="28"/>
        <v>5.0000000000000018</v>
      </c>
      <c r="AE11" s="62">
        <f t="shared" si="29"/>
        <v>5.200000000000002</v>
      </c>
      <c r="AF11" s="62">
        <f t="shared" si="30"/>
        <v>5.4000000000000021</v>
      </c>
      <c r="AG11" s="62">
        <f t="shared" si="31"/>
        <v>5.6000000000000023</v>
      </c>
      <c r="AH11" s="62">
        <f t="shared" si="32"/>
        <v>5.8000000000000025</v>
      </c>
      <c r="AI11" s="62">
        <f t="shared" si="33"/>
        <v>6.0000000000000027</v>
      </c>
      <c r="AJ11" s="62">
        <f t="shared" si="34"/>
        <v>6.2000000000000028</v>
      </c>
      <c r="AK11" s="62">
        <f t="shared" si="35"/>
        <v>6.400000000000003</v>
      </c>
      <c r="AL11" s="62">
        <f t="shared" si="36"/>
        <v>6.6000000000000032</v>
      </c>
      <c r="AM11" s="62">
        <f t="shared" si="37"/>
        <v>6.8000000000000034</v>
      </c>
      <c r="AN11" s="62">
        <f t="shared" si="38"/>
        <v>7.0000000000000036</v>
      </c>
      <c r="AO11" s="62">
        <f t="shared" si="39"/>
        <v>7.2000000000000037</v>
      </c>
      <c r="AP11" s="62">
        <f t="shared" si="40"/>
        <v>7.4000000000000039</v>
      </c>
      <c r="AQ11" s="62">
        <f t="shared" si="41"/>
        <v>7.6000000000000041</v>
      </c>
      <c r="AR11" s="62">
        <f t="shared" si="42"/>
        <v>7.8000000000000043</v>
      </c>
      <c r="AS11" s="62">
        <f t="shared" si="43"/>
        <v>8.0000000000000036</v>
      </c>
      <c r="AT11" s="62">
        <f t="shared" si="44"/>
        <v>8.2000000000000028</v>
      </c>
      <c r="AU11" s="62">
        <f t="shared" si="45"/>
        <v>8.4000000000000021</v>
      </c>
      <c r="AV11" s="62">
        <f t="shared" si="46"/>
        <v>8.6000000000000014</v>
      </c>
      <c r="AW11" s="62">
        <f t="shared" si="47"/>
        <v>8.8000000000000007</v>
      </c>
      <c r="AX11" s="62">
        <f t="shared" si="48"/>
        <v>9</v>
      </c>
      <c r="AY11" s="62">
        <f t="shared" si="49"/>
        <v>9.1999999999999993</v>
      </c>
      <c r="AZ11" s="62">
        <f t="shared" si="50"/>
        <v>9.3999999999999986</v>
      </c>
      <c r="BA11" s="62">
        <f t="shared" si="51"/>
        <v>9.5999999999999979</v>
      </c>
      <c r="BB11" s="79">
        <f t="shared" si="52"/>
        <v>9.7999999999999972</v>
      </c>
      <c r="BC11" s="354"/>
      <c r="BE11" s="380"/>
      <c r="BF11" s="353">
        <v>0.2</v>
      </c>
      <c r="BG11" s="353" t="s">
        <v>59</v>
      </c>
    </row>
    <row r="12" spans="1:108" ht="14.4" x14ac:dyDescent="0.3">
      <c r="B12" s="364"/>
      <c r="C12" s="9" t="s">
        <v>147</v>
      </c>
      <c r="D12" s="365"/>
      <c r="E12" s="351"/>
      <c r="F12" s="62">
        <f t="shared" si="4"/>
        <v>0.1</v>
      </c>
      <c r="G12" s="62">
        <f t="shared" si="5"/>
        <v>0.2</v>
      </c>
      <c r="H12" s="62">
        <f t="shared" si="6"/>
        <v>0.30000000000000004</v>
      </c>
      <c r="I12" s="62">
        <f t="shared" si="7"/>
        <v>0.4</v>
      </c>
      <c r="J12" s="62">
        <f t="shared" si="8"/>
        <v>0.5</v>
      </c>
      <c r="K12" s="62">
        <f t="shared" si="9"/>
        <v>0.6</v>
      </c>
      <c r="L12" s="62">
        <f t="shared" si="10"/>
        <v>0.7</v>
      </c>
      <c r="M12" s="62">
        <f t="shared" si="11"/>
        <v>0.79999999999999993</v>
      </c>
      <c r="N12" s="62">
        <f t="shared" si="12"/>
        <v>0.89999999999999991</v>
      </c>
      <c r="O12" s="62">
        <f t="shared" si="13"/>
        <v>0.99999999999999989</v>
      </c>
      <c r="P12" s="62">
        <f t="shared" si="14"/>
        <v>1.0999999999999999</v>
      </c>
      <c r="Q12" s="62">
        <f t="shared" si="15"/>
        <v>1.2</v>
      </c>
      <c r="R12" s="62">
        <f t="shared" si="16"/>
        <v>1.3</v>
      </c>
      <c r="S12" s="62">
        <f t="shared" si="17"/>
        <v>1.4000000000000001</v>
      </c>
      <c r="T12" s="62">
        <f t="shared" si="18"/>
        <v>1.5000000000000002</v>
      </c>
      <c r="U12" s="62">
        <f t="shared" si="19"/>
        <v>1.6000000000000003</v>
      </c>
      <c r="V12" s="62">
        <f t="shared" si="20"/>
        <v>1.7000000000000004</v>
      </c>
      <c r="W12" s="62">
        <f t="shared" si="21"/>
        <v>1.8000000000000005</v>
      </c>
      <c r="X12" s="62">
        <f t="shared" si="22"/>
        <v>1.9000000000000006</v>
      </c>
      <c r="Y12" s="62">
        <f t="shared" si="23"/>
        <v>2.0000000000000004</v>
      </c>
      <c r="Z12" s="62">
        <f t="shared" si="24"/>
        <v>2.1000000000000005</v>
      </c>
      <c r="AA12" s="62">
        <f t="shared" si="25"/>
        <v>2.2000000000000006</v>
      </c>
      <c r="AB12" s="62">
        <f t="shared" si="26"/>
        <v>2.3000000000000007</v>
      </c>
      <c r="AC12" s="62">
        <f t="shared" si="27"/>
        <v>2.4000000000000008</v>
      </c>
      <c r="AD12" s="62">
        <f t="shared" si="28"/>
        <v>2.5000000000000009</v>
      </c>
      <c r="AE12" s="62">
        <f t="shared" si="29"/>
        <v>2.600000000000001</v>
      </c>
      <c r="AF12" s="62">
        <f t="shared" si="30"/>
        <v>2.7000000000000011</v>
      </c>
      <c r="AG12" s="62">
        <f t="shared" si="31"/>
        <v>2.8000000000000012</v>
      </c>
      <c r="AH12" s="62">
        <f t="shared" si="32"/>
        <v>2.9000000000000012</v>
      </c>
      <c r="AI12" s="62">
        <f t="shared" si="33"/>
        <v>3.0000000000000013</v>
      </c>
      <c r="AJ12" s="62">
        <f t="shared" si="34"/>
        <v>3.1000000000000014</v>
      </c>
      <c r="AK12" s="62">
        <f t="shared" si="35"/>
        <v>3.2000000000000015</v>
      </c>
      <c r="AL12" s="62">
        <f t="shared" si="36"/>
        <v>3.3000000000000016</v>
      </c>
      <c r="AM12" s="62">
        <f t="shared" si="37"/>
        <v>3.4000000000000017</v>
      </c>
      <c r="AN12" s="62">
        <f t="shared" si="38"/>
        <v>3.5000000000000018</v>
      </c>
      <c r="AO12" s="62">
        <f t="shared" si="39"/>
        <v>3.6000000000000019</v>
      </c>
      <c r="AP12" s="62">
        <f t="shared" si="40"/>
        <v>3.700000000000002</v>
      </c>
      <c r="AQ12" s="62">
        <f t="shared" si="41"/>
        <v>3.800000000000002</v>
      </c>
      <c r="AR12" s="62">
        <f t="shared" si="42"/>
        <v>3.9000000000000021</v>
      </c>
      <c r="AS12" s="62">
        <f t="shared" si="43"/>
        <v>4.0000000000000018</v>
      </c>
      <c r="AT12" s="62">
        <f t="shared" si="44"/>
        <v>4.1000000000000014</v>
      </c>
      <c r="AU12" s="62">
        <f t="shared" si="45"/>
        <v>4.2000000000000011</v>
      </c>
      <c r="AV12" s="62">
        <f t="shared" si="46"/>
        <v>4.3000000000000007</v>
      </c>
      <c r="AW12" s="62">
        <f t="shared" si="47"/>
        <v>4.4000000000000004</v>
      </c>
      <c r="AX12" s="62">
        <f t="shared" si="48"/>
        <v>4.5</v>
      </c>
      <c r="AY12" s="62">
        <f t="shared" si="49"/>
        <v>4.5999999999999996</v>
      </c>
      <c r="AZ12" s="62">
        <f t="shared" si="50"/>
        <v>4.6999999999999993</v>
      </c>
      <c r="BA12" s="62">
        <f t="shared" si="51"/>
        <v>4.7999999999999989</v>
      </c>
      <c r="BB12" s="79">
        <f t="shared" si="52"/>
        <v>4.8999999999999986</v>
      </c>
      <c r="BC12" s="354"/>
      <c r="BE12" s="380"/>
      <c r="BF12" s="353">
        <v>0.1</v>
      </c>
      <c r="BG12" s="353" t="s">
        <v>59</v>
      </c>
    </row>
    <row r="13" spans="1:108" ht="14.4" customHeight="1" x14ac:dyDescent="0.3">
      <c r="B13" s="364"/>
      <c r="C13" s="9" t="s">
        <v>148</v>
      </c>
      <c r="D13" s="365"/>
      <c r="E13" s="351"/>
      <c r="F13" s="62">
        <f t="shared" si="4"/>
        <v>0.2</v>
      </c>
      <c r="G13" s="62">
        <f t="shared" si="5"/>
        <v>0.4</v>
      </c>
      <c r="H13" s="62">
        <f t="shared" si="6"/>
        <v>0.60000000000000009</v>
      </c>
      <c r="I13" s="62">
        <f t="shared" si="7"/>
        <v>0.8</v>
      </c>
      <c r="J13" s="62">
        <f t="shared" si="8"/>
        <v>1</v>
      </c>
      <c r="K13" s="62">
        <f t="shared" si="9"/>
        <v>1.2</v>
      </c>
      <c r="L13" s="62">
        <f t="shared" si="10"/>
        <v>1.4</v>
      </c>
      <c r="M13" s="62">
        <f t="shared" si="11"/>
        <v>1.5999999999999999</v>
      </c>
      <c r="N13" s="62">
        <f t="shared" si="12"/>
        <v>1.7999999999999998</v>
      </c>
      <c r="O13" s="62">
        <f t="shared" si="13"/>
        <v>1.9999999999999998</v>
      </c>
      <c r="P13" s="62">
        <f t="shared" si="14"/>
        <v>2.1999999999999997</v>
      </c>
      <c r="Q13" s="62">
        <f t="shared" si="15"/>
        <v>2.4</v>
      </c>
      <c r="R13" s="62">
        <f t="shared" si="16"/>
        <v>2.6</v>
      </c>
      <c r="S13" s="62">
        <f t="shared" si="17"/>
        <v>2.8000000000000003</v>
      </c>
      <c r="T13" s="62">
        <f t="shared" si="18"/>
        <v>3.0000000000000004</v>
      </c>
      <c r="U13" s="62">
        <f t="shared" si="19"/>
        <v>3.2000000000000006</v>
      </c>
      <c r="V13" s="62">
        <f t="shared" si="20"/>
        <v>3.4000000000000008</v>
      </c>
      <c r="W13" s="62">
        <f t="shared" si="21"/>
        <v>3.600000000000001</v>
      </c>
      <c r="X13" s="62">
        <f t="shared" si="22"/>
        <v>3.8000000000000012</v>
      </c>
      <c r="Y13" s="62">
        <f t="shared" si="23"/>
        <v>4.0000000000000009</v>
      </c>
      <c r="Z13" s="62">
        <f t="shared" si="24"/>
        <v>4.2000000000000011</v>
      </c>
      <c r="AA13" s="62">
        <f t="shared" si="25"/>
        <v>4.4000000000000012</v>
      </c>
      <c r="AB13" s="62">
        <f t="shared" si="26"/>
        <v>4.6000000000000014</v>
      </c>
      <c r="AC13" s="62">
        <f t="shared" si="27"/>
        <v>4.8000000000000016</v>
      </c>
      <c r="AD13" s="62">
        <f t="shared" si="28"/>
        <v>5.0000000000000018</v>
      </c>
      <c r="AE13" s="62">
        <f t="shared" si="29"/>
        <v>5.200000000000002</v>
      </c>
      <c r="AF13" s="62">
        <f t="shared" si="30"/>
        <v>5.4000000000000021</v>
      </c>
      <c r="AG13" s="62">
        <f t="shared" si="31"/>
        <v>5.6000000000000023</v>
      </c>
      <c r="AH13" s="62">
        <f t="shared" si="32"/>
        <v>5.8000000000000025</v>
      </c>
      <c r="AI13" s="62">
        <f t="shared" si="33"/>
        <v>6.0000000000000027</v>
      </c>
      <c r="AJ13" s="62">
        <f t="shared" si="34"/>
        <v>6.2000000000000028</v>
      </c>
      <c r="AK13" s="62">
        <f t="shared" si="35"/>
        <v>6.400000000000003</v>
      </c>
      <c r="AL13" s="62">
        <f t="shared" si="36"/>
        <v>6.6000000000000032</v>
      </c>
      <c r="AM13" s="62">
        <f t="shared" si="37"/>
        <v>6.8000000000000034</v>
      </c>
      <c r="AN13" s="62">
        <f t="shared" si="38"/>
        <v>7.0000000000000036</v>
      </c>
      <c r="AO13" s="62">
        <f t="shared" si="39"/>
        <v>7.2000000000000037</v>
      </c>
      <c r="AP13" s="62">
        <f t="shared" si="40"/>
        <v>7.4000000000000039</v>
      </c>
      <c r="AQ13" s="62">
        <f t="shared" si="41"/>
        <v>7.6000000000000041</v>
      </c>
      <c r="AR13" s="62">
        <f t="shared" si="42"/>
        <v>7.8000000000000043</v>
      </c>
      <c r="AS13" s="62">
        <f t="shared" si="43"/>
        <v>8.0000000000000036</v>
      </c>
      <c r="AT13" s="62">
        <f t="shared" si="44"/>
        <v>8.2000000000000028</v>
      </c>
      <c r="AU13" s="62">
        <f t="shared" si="45"/>
        <v>8.4000000000000021</v>
      </c>
      <c r="AV13" s="62">
        <f t="shared" si="46"/>
        <v>8.6000000000000014</v>
      </c>
      <c r="AW13" s="62">
        <f t="shared" si="47"/>
        <v>8.8000000000000007</v>
      </c>
      <c r="AX13" s="62">
        <f t="shared" si="48"/>
        <v>9</v>
      </c>
      <c r="AY13" s="62">
        <f t="shared" si="49"/>
        <v>9.1999999999999993</v>
      </c>
      <c r="AZ13" s="62">
        <f t="shared" si="50"/>
        <v>9.3999999999999986</v>
      </c>
      <c r="BA13" s="62">
        <f t="shared" si="51"/>
        <v>9.5999999999999979</v>
      </c>
      <c r="BB13" s="79">
        <f t="shared" si="52"/>
        <v>9.7999999999999972</v>
      </c>
      <c r="BC13" s="354"/>
      <c r="BE13" s="380"/>
      <c r="BF13" s="353">
        <v>0.2</v>
      </c>
      <c r="BG13" s="353" t="s">
        <v>59</v>
      </c>
    </row>
    <row r="14" spans="1:108" ht="14.4" x14ac:dyDescent="0.3">
      <c r="B14" s="364"/>
      <c r="C14" s="9" t="s">
        <v>149</v>
      </c>
      <c r="D14" s="365"/>
      <c r="E14" s="351"/>
      <c r="F14" s="62">
        <f t="shared" si="4"/>
        <v>0.1</v>
      </c>
      <c r="G14" s="62">
        <f t="shared" si="5"/>
        <v>0.2</v>
      </c>
      <c r="H14" s="62">
        <f t="shared" si="6"/>
        <v>0.30000000000000004</v>
      </c>
      <c r="I14" s="62">
        <f t="shared" si="7"/>
        <v>0.4</v>
      </c>
      <c r="J14" s="62">
        <f t="shared" si="8"/>
        <v>0.5</v>
      </c>
      <c r="K14" s="62">
        <f t="shared" si="9"/>
        <v>0.6</v>
      </c>
      <c r="L14" s="62">
        <f t="shared" si="10"/>
        <v>0.7</v>
      </c>
      <c r="M14" s="62">
        <f t="shared" si="11"/>
        <v>0.79999999999999993</v>
      </c>
      <c r="N14" s="62">
        <f t="shared" si="12"/>
        <v>0.89999999999999991</v>
      </c>
      <c r="O14" s="62">
        <f t="shared" si="13"/>
        <v>0.99999999999999989</v>
      </c>
      <c r="P14" s="62">
        <f t="shared" si="14"/>
        <v>1.0999999999999999</v>
      </c>
      <c r="Q14" s="62">
        <f t="shared" si="15"/>
        <v>1.2</v>
      </c>
      <c r="R14" s="62">
        <f t="shared" si="16"/>
        <v>1.3</v>
      </c>
      <c r="S14" s="62">
        <f t="shared" si="17"/>
        <v>1.4000000000000001</v>
      </c>
      <c r="T14" s="62">
        <f t="shared" si="18"/>
        <v>1.5000000000000002</v>
      </c>
      <c r="U14" s="62">
        <f t="shared" si="19"/>
        <v>1.6000000000000003</v>
      </c>
      <c r="V14" s="62">
        <f t="shared" si="20"/>
        <v>1.7000000000000004</v>
      </c>
      <c r="W14" s="62">
        <f t="shared" si="21"/>
        <v>1.8000000000000005</v>
      </c>
      <c r="X14" s="62">
        <f t="shared" si="22"/>
        <v>1.9000000000000006</v>
      </c>
      <c r="Y14" s="62">
        <f t="shared" si="23"/>
        <v>2.0000000000000004</v>
      </c>
      <c r="Z14" s="62">
        <f t="shared" si="24"/>
        <v>2.1000000000000005</v>
      </c>
      <c r="AA14" s="62">
        <f t="shared" si="25"/>
        <v>2.2000000000000006</v>
      </c>
      <c r="AB14" s="62">
        <f t="shared" si="26"/>
        <v>2.3000000000000007</v>
      </c>
      <c r="AC14" s="62">
        <f t="shared" si="27"/>
        <v>2.4000000000000008</v>
      </c>
      <c r="AD14" s="62">
        <f t="shared" si="28"/>
        <v>2.5000000000000009</v>
      </c>
      <c r="AE14" s="62">
        <f t="shared" si="29"/>
        <v>2.600000000000001</v>
      </c>
      <c r="AF14" s="62">
        <f t="shared" si="30"/>
        <v>2.7000000000000011</v>
      </c>
      <c r="AG14" s="62">
        <f t="shared" si="31"/>
        <v>2.8000000000000012</v>
      </c>
      <c r="AH14" s="62">
        <f t="shared" si="32"/>
        <v>2.9000000000000012</v>
      </c>
      <c r="AI14" s="62">
        <f t="shared" si="33"/>
        <v>3.0000000000000013</v>
      </c>
      <c r="AJ14" s="62">
        <f t="shared" si="34"/>
        <v>3.1000000000000014</v>
      </c>
      <c r="AK14" s="62">
        <f t="shared" si="35"/>
        <v>3.2000000000000015</v>
      </c>
      <c r="AL14" s="62">
        <f t="shared" si="36"/>
        <v>3.3000000000000016</v>
      </c>
      <c r="AM14" s="62">
        <f t="shared" si="37"/>
        <v>3.4000000000000017</v>
      </c>
      <c r="AN14" s="62">
        <f t="shared" si="38"/>
        <v>3.5000000000000018</v>
      </c>
      <c r="AO14" s="62">
        <f t="shared" si="39"/>
        <v>3.6000000000000019</v>
      </c>
      <c r="AP14" s="62">
        <f t="shared" si="40"/>
        <v>3.700000000000002</v>
      </c>
      <c r="AQ14" s="62">
        <f t="shared" si="41"/>
        <v>3.800000000000002</v>
      </c>
      <c r="AR14" s="62">
        <f t="shared" si="42"/>
        <v>3.9000000000000021</v>
      </c>
      <c r="AS14" s="62">
        <f t="shared" si="43"/>
        <v>4.0000000000000018</v>
      </c>
      <c r="AT14" s="62">
        <f t="shared" si="44"/>
        <v>4.1000000000000014</v>
      </c>
      <c r="AU14" s="62">
        <f t="shared" si="45"/>
        <v>4.2000000000000011</v>
      </c>
      <c r="AV14" s="62">
        <f t="shared" si="46"/>
        <v>4.3000000000000007</v>
      </c>
      <c r="AW14" s="62">
        <f t="shared" si="47"/>
        <v>4.4000000000000004</v>
      </c>
      <c r="AX14" s="62">
        <f t="shared" si="48"/>
        <v>4.5</v>
      </c>
      <c r="AY14" s="62">
        <f t="shared" si="49"/>
        <v>4.5999999999999996</v>
      </c>
      <c r="AZ14" s="62">
        <f t="shared" si="50"/>
        <v>4.6999999999999993</v>
      </c>
      <c r="BA14" s="62">
        <f t="shared" si="51"/>
        <v>4.7999999999999989</v>
      </c>
      <c r="BB14" s="79">
        <f t="shared" si="52"/>
        <v>4.8999999999999986</v>
      </c>
      <c r="BC14" s="354"/>
      <c r="BE14" s="380"/>
      <c r="BF14" s="353">
        <v>0.1</v>
      </c>
      <c r="BG14" s="353" t="s">
        <v>59</v>
      </c>
    </row>
    <row r="15" spans="1:108" ht="14.4" x14ac:dyDescent="0.3">
      <c r="B15" s="364"/>
      <c r="C15" s="9" t="s">
        <v>150</v>
      </c>
      <c r="D15" s="365"/>
      <c r="E15" s="351"/>
      <c r="F15" s="62">
        <f t="shared" si="4"/>
        <v>0.2</v>
      </c>
      <c r="G15" s="62">
        <f t="shared" si="5"/>
        <v>0.4</v>
      </c>
      <c r="H15" s="62">
        <f t="shared" si="6"/>
        <v>0.60000000000000009</v>
      </c>
      <c r="I15" s="62">
        <f t="shared" si="7"/>
        <v>0.8</v>
      </c>
      <c r="J15" s="62">
        <f t="shared" si="8"/>
        <v>1</v>
      </c>
      <c r="K15" s="62">
        <f t="shared" si="9"/>
        <v>1.2</v>
      </c>
      <c r="L15" s="62">
        <f t="shared" si="10"/>
        <v>1.4</v>
      </c>
      <c r="M15" s="62">
        <f t="shared" si="11"/>
        <v>1.5999999999999999</v>
      </c>
      <c r="N15" s="62">
        <f t="shared" si="12"/>
        <v>1.7999999999999998</v>
      </c>
      <c r="O15" s="62">
        <f t="shared" si="13"/>
        <v>1.9999999999999998</v>
      </c>
      <c r="P15" s="62">
        <f t="shared" si="14"/>
        <v>2.1999999999999997</v>
      </c>
      <c r="Q15" s="62">
        <f t="shared" si="15"/>
        <v>2.4</v>
      </c>
      <c r="R15" s="62">
        <f t="shared" si="16"/>
        <v>2.6</v>
      </c>
      <c r="S15" s="62">
        <f t="shared" si="17"/>
        <v>2.8000000000000003</v>
      </c>
      <c r="T15" s="62">
        <f t="shared" si="18"/>
        <v>3.0000000000000004</v>
      </c>
      <c r="U15" s="62">
        <f t="shared" si="19"/>
        <v>3.2000000000000006</v>
      </c>
      <c r="V15" s="62">
        <f t="shared" si="20"/>
        <v>3.4000000000000008</v>
      </c>
      <c r="W15" s="62">
        <f t="shared" si="21"/>
        <v>3.600000000000001</v>
      </c>
      <c r="X15" s="62">
        <f t="shared" si="22"/>
        <v>3.8000000000000012</v>
      </c>
      <c r="Y15" s="62">
        <f t="shared" si="23"/>
        <v>4.0000000000000009</v>
      </c>
      <c r="Z15" s="62">
        <f t="shared" si="24"/>
        <v>4.2000000000000011</v>
      </c>
      <c r="AA15" s="62">
        <f t="shared" si="25"/>
        <v>4.4000000000000012</v>
      </c>
      <c r="AB15" s="62">
        <f t="shared" si="26"/>
        <v>4.6000000000000014</v>
      </c>
      <c r="AC15" s="62">
        <f t="shared" si="27"/>
        <v>4.8000000000000016</v>
      </c>
      <c r="AD15" s="62">
        <f t="shared" si="28"/>
        <v>5.0000000000000018</v>
      </c>
      <c r="AE15" s="62">
        <f t="shared" si="29"/>
        <v>5.200000000000002</v>
      </c>
      <c r="AF15" s="62">
        <f t="shared" si="30"/>
        <v>5.4000000000000021</v>
      </c>
      <c r="AG15" s="62">
        <f t="shared" si="31"/>
        <v>5.6000000000000023</v>
      </c>
      <c r="AH15" s="62">
        <f t="shared" si="32"/>
        <v>5.8000000000000025</v>
      </c>
      <c r="AI15" s="62">
        <f t="shared" si="33"/>
        <v>6.0000000000000027</v>
      </c>
      <c r="AJ15" s="62">
        <f t="shared" si="34"/>
        <v>6.2000000000000028</v>
      </c>
      <c r="AK15" s="62">
        <f t="shared" si="35"/>
        <v>6.400000000000003</v>
      </c>
      <c r="AL15" s="62">
        <f t="shared" si="36"/>
        <v>6.6000000000000032</v>
      </c>
      <c r="AM15" s="62">
        <f t="shared" si="37"/>
        <v>6.8000000000000034</v>
      </c>
      <c r="AN15" s="62">
        <f t="shared" si="38"/>
        <v>7.0000000000000036</v>
      </c>
      <c r="AO15" s="62">
        <f t="shared" si="39"/>
        <v>7.2000000000000037</v>
      </c>
      <c r="AP15" s="62">
        <f t="shared" si="40"/>
        <v>7.4000000000000039</v>
      </c>
      <c r="AQ15" s="62">
        <f t="shared" si="41"/>
        <v>7.6000000000000041</v>
      </c>
      <c r="AR15" s="62">
        <f t="shared" si="42"/>
        <v>7.8000000000000043</v>
      </c>
      <c r="AS15" s="62">
        <f t="shared" si="43"/>
        <v>8.0000000000000036</v>
      </c>
      <c r="AT15" s="62">
        <f t="shared" si="44"/>
        <v>8.2000000000000028</v>
      </c>
      <c r="AU15" s="62">
        <f t="shared" si="45"/>
        <v>8.4000000000000021</v>
      </c>
      <c r="AV15" s="62">
        <f t="shared" si="46"/>
        <v>8.6000000000000014</v>
      </c>
      <c r="AW15" s="62">
        <f t="shared" si="47"/>
        <v>8.8000000000000007</v>
      </c>
      <c r="AX15" s="62">
        <f t="shared" si="48"/>
        <v>9</v>
      </c>
      <c r="AY15" s="62">
        <f t="shared" si="49"/>
        <v>9.1999999999999993</v>
      </c>
      <c r="AZ15" s="62">
        <f t="shared" si="50"/>
        <v>9.3999999999999986</v>
      </c>
      <c r="BA15" s="62">
        <f t="shared" si="51"/>
        <v>9.5999999999999979</v>
      </c>
      <c r="BB15" s="79">
        <f t="shared" si="52"/>
        <v>9.7999999999999972</v>
      </c>
      <c r="BC15" s="354"/>
      <c r="BE15" s="380"/>
      <c r="BF15" s="353">
        <v>0.2</v>
      </c>
      <c r="BG15" s="353" t="s">
        <v>59</v>
      </c>
    </row>
    <row r="16" spans="1:108" ht="14.4" x14ac:dyDescent="0.3">
      <c r="B16" s="364"/>
      <c r="C16" s="9" t="s">
        <v>151</v>
      </c>
      <c r="D16" s="365"/>
      <c r="E16" s="351"/>
      <c r="F16" s="62">
        <f t="shared" si="4"/>
        <v>0.25</v>
      </c>
      <c r="G16" s="62">
        <f t="shared" si="5"/>
        <v>0.5</v>
      </c>
      <c r="H16" s="62">
        <f t="shared" si="6"/>
        <v>0.75</v>
      </c>
      <c r="I16" s="62">
        <f t="shared" si="7"/>
        <v>1</v>
      </c>
      <c r="J16" s="62">
        <f t="shared" si="8"/>
        <v>1.25</v>
      </c>
      <c r="K16" s="62">
        <f t="shared" si="9"/>
        <v>1.5</v>
      </c>
      <c r="L16" s="62">
        <f t="shared" si="10"/>
        <v>1.75</v>
      </c>
      <c r="M16" s="62">
        <f t="shared" si="11"/>
        <v>2</v>
      </c>
      <c r="N16" s="62">
        <f t="shared" si="12"/>
        <v>2.25</v>
      </c>
      <c r="O16" s="62">
        <f t="shared" si="13"/>
        <v>2.5</v>
      </c>
      <c r="P16" s="62">
        <f t="shared" si="14"/>
        <v>2.75</v>
      </c>
      <c r="Q16" s="62">
        <f t="shared" si="15"/>
        <v>3</v>
      </c>
      <c r="R16" s="62">
        <f t="shared" si="16"/>
        <v>3.25</v>
      </c>
      <c r="S16" s="62">
        <f t="shared" si="17"/>
        <v>3.5</v>
      </c>
      <c r="T16" s="62">
        <f t="shared" si="18"/>
        <v>3.75</v>
      </c>
      <c r="U16" s="62">
        <f t="shared" si="19"/>
        <v>4</v>
      </c>
      <c r="V16" s="62">
        <f t="shared" si="20"/>
        <v>4.25</v>
      </c>
      <c r="W16" s="62">
        <f t="shared" si="21"/>
        <v>4.5</v>
      </c>
      <c r="X16" s="62">
        <f t="shared" si="22"/>
        <v>4.75</v>
      </c>
      <c r="Y16" s="62">
        <f t="shared" si="23"/>
        <v>5</v>
      </c>
      <c r="Z16" s="62">
        <f t="shared" si="24"/>
        <v>5.25</v>
      </c>
      <c r="AA16" s="62">
        <f t="shared" si="25"/>
        <v>5.5</v>
      </c>
      <c r="AB16" s="62">
        <f t="shared" si="26"/>
        <v>5.75</v>
      </c>
      <c r="AC16" s="62">
        <f t="shared" si="27"/>
        <v>6</v>
      </c>
      <c r="AD16" s="62">
        <f t="shared" si="28"/>
        <v>6.25</v>
      </c>
      <c r="AE16" s="62">
        <f t="shared" si="29"/>
        <v>6.5</v>
      </c>
      <c r="AF16" s="62">
        <f t="shared" si="30"/>
        <v>6.75</v>
      </c>
      <c r="AG16" s="62">
        <f t="shared" si="31"/>
        <v>7</v>
      </c>
      <c r="AH16" s="62">
        <f t="shared" si="32"/>
        <v>7.25</v>
      </c>
      <c r="AI16" s="62">
        <f t="shared" si="33"/>
        <v>7.5</v>
      </c>
      <c r="AJ16" s="62">
        <f t="shared" si="34"/>
        <v>7.75</v>
      </c>
      <c r="AK16" s="62">
        <f t="shared" si="35"/>
        <v>8</v>
      </c>
      <c r="AL16" s="62">
        <f t="shared" si="36"/>
        <v>8.25</v>
      </c>
      <c r="AM16" s="62">
        <f t="shared" si="37"/>
        <v>8.5</v>
      </c>
      <c r="AN16" s="62">
        <f t="shared" si="38"/>
        <v>8.75</v>
      </c>
      <c r="AO16" s="62">
        <f t="shared" si="39"/>
        <v>9</v>
      </c>
      <c r="AP16" s="62">
        <f t="shared" si="40"/>
        <v>9.25</v>
      </c>
      <c r="AQ16" s="62">
        <f t="shared" si="41"/>
        <v>9.5</v>
      </c>
      <c r="AR16" s="62">
        <f t="shared" si="42"/>
        <v>9.75</v>
      </c>
      <c r="AS16" s="62">
        <f t="shared" si="43"/>
        <v>10</v>
      </c>
      <c r="AT16" s="62">
        <f t="shared" si="44"/>
        <v>10.25</v>
      </c>
      <c r="AU16" s="62">
        <f t="shared" si="45"/>
        <v>10.5</v>
      </c>
      <c r="AV16" s="62">
        <f t="shared" si="46"/>
        <v>10.75</v>
      </c>
      <c r="AW16" s="62">
        <f t="shared" si="47"/>
        <v>11</v>
      </c>
      <c r="AX16" s="62">
        <f t="shared" si="48"/>
        <v>11.25</v>
      </c>
      <c r="AY16" s="62">
        <f t="shared" si="49"/>
        <v>11.5</v>
      </c>
      <c r="AZ16" s="62">
        <f t="shared" si="50"/>
        <v>11.75</v>
      </c>
      <c r="BA16" s="62">
        <f t="shared" si="51"/>
        <v>12</v>
      </c>
      <c r="BB16" s="79">
        <f t="shared" si="52"/>
        <v>12.25</v>
      </c>
      <c r="BC16" s="354"/>
      <c r="BE16" s="380"/>
      <c r="BF16" s="353">
        <v>0.25</v>
      </c>
      <c r="BG16" s="353" t="s">
        <v>59</v>
      </c>
    </row>
    <row r="17" spans="1:65" ht="14.4" x14ac:dyDescent="0.3">
      <c r="B17" s="364"/>
      <c r="C17" s="9" t="s">
        <v>152</v>
      </c>
      <c r="D17" s="365"/>
      <c r="E17" s="351"/>
      <c r="F17" s="62">
        <f t="shared" si="4"/>
        <v>0.2</v>
      </c>
      <c r="G17" s="62">
        <f t="shared" si="5"/>
        <v>0.4</v>
      </c>
      <c r="H17" s="62">
        <f t="shared" si="6"/>
        <v>0.60000000000000009</v>
      </c>
      <c r="I17" s="62">
        <f t="shared" si="7"/>
        <v>0.8</v>
      </c>
      <c r="J17" s="62">
        <f t="shared" si="8"/>
        <v>1</v>
      </c>
      <c r="K17" s="62">
        <f t="shared" si="9"/>
        <v>1.2</v>
      </c>
      <c r="L17" s="62">
        <f t="shared" si="10"/>
        <v>1.4</v>
      </c>
      <c r="M17" s="62">
        <f t="shared" si="11"/>
        <v>1.5999999999999999</v>
      </c>
      <c r="N17" s="62">
        <f t="shared" si="12"/>
        <v>1.7999999999999998</v>
      </c>
      <c r="O17" s="62">
        <f t="shared" si="13"/>
        <v>1.9999999999999998</v>
      </c>
      <c r="P17" s="62">
        <f t="shared" si="14"/>
        <v>2.1999999999999997</v>
      </c>
      <c r="Q17" s="62">
        <f t="shared" si="15"/>
        <v>2.4</v>
      </c>
      <c r="R17" s="62">
        <f t="shared" si="16"/>
        <v>2.6</v>
      </c>
      <c r="S17" s="62">
        <f t="shared" si="17"/>
        <v>2.8000000000000003</v>
      </c>
      <c r="T17" s="62">
        <f t="shared" si="18"/>
        <v>3.0000000000000004</v>
      </c>
      <c r="U17" s="62">
        <f t="shared" si="19"/>
        <v>3.2000000000000006</v>
      </c>
      <c r="V17" s="62">
        <f t="shared" si="20"/>
        <v>3.4000000000000008</v>
      </c>
      <c r="W17" s="62">
        <f t="shared" si="21"/>
        <v>3.600000000000001</v>
      </c>
      <c r="X17" s="62">
        <f t="shared" si="22"/>
        <v>3.8000000000000012</v>
      </c>
      <c r="Y17" s="62">
        <f t="shared" si="23"/>
        <v>4.0000000000000009</v>
      </c>
      <c r="Z17" s="62">
        <f t="shared" si="24"/>
        <v>4.2000000000000011</v>
      </c>
      <c r="AA17" s="62">
        <f t="shared" si="25"/>
        <v>4.4000000000000012</v>
      </c>
      <c r="AB17" s="62">
        <f t="shared" si="26"/>
        <v>4.6000000000000014</v>
      </c>
      <c r="AC17" s="62">
        <f t="shared" si="27"/>
        <v>4.8000000000000016</v>
      </c>
      <c r="AD17" s="62">
        <f t="shared" si="28"/>
        <v>5.0000000000000018</v>
      </c>
      <c r="AE17" s="62">
        <f t="shared" si="29"/>
        <v>5.200000000000002</v>
      </c>
      <c r="AF17" s="62">
        <f t="shared" si="30"/>
        <v>5.4000000000000021</v>
      </c>
      <c r="AG17" s="62">
        <f t="shared" si="31"/>
        <v>5.6000000000000023</v>
      </c>
      <c r="AH17" s="62">
        <f t="shared" si="32"/>
        <v>5.8000000000000025</v>
      </c>
      <c r="AI17" s="62">
        <f t="shared" si="33"/>
        <v>6.0000000000000027</v>
      </c>
      <c r="AJ17" s="62">
        <f t="shared" si="34"/>
        <v>6.2000000000000028</v>
      </c>
      <c r="AK17" s="62">
        <f t="shared" si="35"/>
        <v>6.400000000000003</v>
      </c>
      <c r="AL17" s="62">
        <f t="shared" si="36"/>
        <v>6.6000000000000032</v>
      </c>
      <c r="AM17" s="62">
        <f t="shared" si="37"/>
        <v>6.8000000000000034</v>
      </c>
      <c r="AN17" s="62">
        <f t="shared" si="38"/>
        <v>7.0000000000000036</v>
      </c>
      <c r="AO17" s="62">
        <f t="shared" si="39"/>
        <v>7.2000000000000037</v>
      </c>
      <c r="AP17" s="62">
        <f t="shared" si="40"/>
        <v>7.4000000000000039</v>
      </c>
      <c r="AQ17" s="62">
        <f t="shared" si="41"/>
        <v>7.6000000000000041</v>
      </c>
      <c r="AR17" s="62">
        <f t="shared" si="42"/>
        <v>7.8000000000000043</v>
      </c>
      <c r="AS17" s="62">
        <f t="shared" si="43"/>
        <v>8.0000000000000036</v>
      </c>
      <c r="AT17" s="62">
        <f t="shared" si="44"/>
        <v>8.2000000000000028</v>
      </c>
      <c r="AU17" s="62">
        <f t="shared" si="45"/>
        <v>8.4000000000000021</v>
      </c>
      <c r="AV17" s="62">
        <f t="shared" si="46"/>
        <v>8.6000000000000014</v>
      </c>
      <c r="AW17" s="62">
        <f t="shared" si="47"/>
        <v>8.8000000000000007</v>
      </c>
      <c r="AX17" s="62">
        <f t="shared" si="48"/>
        <v>9</v>
      </c>
      <c r="AY17" s="62">
        <f t="shared" si="49"/>
        <v>9.1999999999999993</v>
      </c>
      <c r="AZ17" s="62">
        <f t="shared" si="50"/>
        <v>9.3999999999999986</v>
      </c>
      <c r="BA17" s="62">
        <f t="shared" si="51"/>
        <v>9.5999999999999979</v>
      </c>
      <c r="BB17" s="79">
        <f t="shared" si="52"/>
        <v>9.7999999999999972</v>
      </c>
      <c r="BC17" s="354"/>
      <c r="BE17" s="380"/>
      <c r="BF17" s="353">
        <v>0.2</v>
      </c>
      <c r="BG17" s="353" t="s">
        <v>59</v>
      </c>
    </row>
    <row r="18" spans="1:65" ht="14.4" x14ac:dyDescent="0.3">
      <c r="B18" s="364"/>
      <c r="C18" s="9" t="s">
        <v>153</v>
      </c>
      <c r="D18" s="365"/>
      <c r="E18" s="351"/>
      <c r="F18" s="62">
        <f t="shared" si="4"/>
        <v>0.2</v>
      </c>
      <c r="G18" s="62">
        <f t="shared" si="5"/>
        <v>0.4</v>
      </c>
      <c r="H18" s="62">
        <f t="shared" si="6"/>
        <v>0.60000000000000009</v>
      </c>
      <c r="I18" s="62">
        <f t="shared" si="7"/>
        <v>0.8</v>
      </c>
      <c r="J18" s="62">
        <f t="shared" si="8"/>
        <v>1</v>
      </c>
      <c r="K18" s="62">
        <f t="shared" si="9"/>
        <v>1.2</v>
      </c>
      <c r="L18" s="62">
        <f t="shared" si="10"/>
        <v>1.4</v>
      </c>
      <c r="M18" s="62">
        <f t="shared" si="11"/>
        <v>1.5999999999999999</v>
      </c>
      <c r="N18" s="62">
        <f t="shared" si="12"/>
        <v>1.7999999999999998</v>
      </c>
      <c r="O18" s="62">
        <f t="shared" si="13"/>
        <v>1.9999999999999998</v>
      </c>
      <c r="P18" s="62">
        <f t="shared" si="14"/>
        <v>2.1999999999999997</v>
      </c>
      <c r="Q18" s="62">
        <f t="shared" si="15"/>
        <v>2.4</v>
      </c>
      <c r="R18" s="62">
        <f t="shared" si="16"/>
        <v>2.6</v>
      </c>
      <c r="S18" s="62">
        <f t="shared" si="17"/>
        <v>2.8000000000000003</v>
      </c>
      <c r="T18" s="62">
        <f t="shared" si="18"/>
        <v>3.0000000000000004</v>
      </c>
      <c r="U18" s="62">
        <f t="shared" si="19"/>
        <v>3.2000000000000006</v>
      </c>
      <c r="V18" s="62">
        <f t="shared" si="20"/>
        <v>3.4000000000000008</v>
      </c>
      <c r="W18" s="62">
        <f t="shared" si="21"/>
        <v>3.600000000000001</v>
      </c>
      <c r="X18" s="62">
        <f t="shared" si="22"/>
        <v>3.8000000000000012</v>
      </c>
      <c r="Y18" s="62">
        <f t="shared" si="23"/>
        <v>4.0000000000000009</v>
      </c>
      <c r="Z18" s="62">
        <f t="shared" si="24"/>
        <v>4.2000000000000011</v>
      </c>
      <c r="AA18" s="62">
        <f t="shared" si="25"/>
        <v>4.4000000000000012</v>
      </c>
      <c r="AB18" s="62">
        <f t="shared" si="26"/>
        <v>4.6000000000000014</v>
      </c>
      <c r="AC18" s="62">
        <f t="shared" si="27"/>
        <v>4.8000000000000016</v>
      </c>
      <c r="AD18" s="62">
        <f t="shared" si="28"/>
        <v>5.0000000000000018</v>
      </c>
      <c r="AE18" s="62">
        <f t="shared" si="29"/>
        <v>5.200000000000002</v>
      </c>
      <c r="AF18" s="62">
        <f t="shared" si="30"/>
        <v>5.4000000000000021</v>
      </c>
      <c r="AG18" s="62">
        <f t="shared" si="31"/>
        <v>5.6000000000000023</v>
      </c>
      <c r="AH18" s="62">
        <f t="shared" si="32"/>
        <v>5.8000000000000025</v>
      </c>
      <c r="AI18" s="62">
        <f t="shared" si="33"/>
        <v>6.0000000000000027</v>
      </c>
      <c r="AJ18" s="62">
        <f t="shared" si="34"/>
        <v>6.2000000000000028</v>
      </c>
      <c r="AK18" s="62">
        <f t="shared" si="35"/>
        <v>6.400000000000003</v>
      </c>
      <c r="AL18" s="62">
        <f t="shared" si="36"/>
        <v>6.6000000000000032</v>
      </c>
      <c r="AM18" s="62">
        <f t="shared" si="37"/>
        <v>6.8000000000000034</v>
      </c>
      <c r="AN18" s="62">
        <f t="shared" si="38"/>
        <v>7.0000000000000036</v>
      </c>
      <c r="AO18" s="62">
        <f t="shared" si="39"/>
        <v>7.2000000000000037</v>
      </c>
      <c r="AP18" s="62">
        <f t="shared" si="40"/>
        <v>7.4000000000000039</v>
      </c>
      <c r="AQ18" s="62">
        <f t="shared" si="41"/>
        <v>7.6000000000000041</v>
      </c>
      <c r="AR18" s="62">
        <f t="shared" si="42"/>
        <v>7.8000000000000043</v>
      </c>
      <c r="AS18" s="62">
        <f t="shared" si="43"/>
        <v>8.0000000000000036</v>
      </c>
      <c r="AT18" s="62">
        <f t="shared" si="44"/>
        <v>8.2000000000000028</v>
      </c>
      <c r="AU18" s="62">
        <f t="shared" si="45"/>
        <v>8.4000000000000021</v>
      </c>
      <c r="AV18" s="62">
        <f t="shared" si="46"/>
        <v>8.6000000000000014</v>
      </c>
      <c r="AW18" s="62">
        <f t="shared" si="47"/>
        <v>8.8000000000000007</v>
      </c>
      <c r="AX18" s="62">
        <f t="shared" si="48"/>
        <v>9</v>
      </c>
      <c r="AY18" s="62">
        <f t="shared" si="49"/>
        <v>9.1999999999999993</v>
      </c>
      <c r="AZ18" s="62">
        <f t="shared" si="50"/>
        <v>9.3999999999999986</v>
      </c>
      <c r="BA18" s="62">
        <f t="shared" si="51"/>
        <v>9.5999999999999979</v>
      </c>
      <c r="BB18" s="79">
        <f t="shared" si="52"/>
        <v>9.7999999999999972</v>
      </c>
      <c r="BC18" s="354"/>
      <c r="BE18" s="380"/>
      <c r="BF18" s="353">
        <v>0.2</v>
      </c>
      <c r="BG18" s="353" t="s">
        <v>59</v>
      </c>
    </row>
    <row r="19" spans="1:65" ht="14.4" x14ac:dyDescent="0.3">
      <c r="B19" s="364"/>
      <c r="C19" s="9" t="s">
        <v>154</v>
      </c>
      <c r="D19" s="365"/>
      <c r="E19" s="351"/>
      <c r="F19" s="62">
        <f t="shared" si="4"/>
        <v>0.2</v>
      </c>
      <c r="G19" s="62">
        <f t="shared" si="5"/>
        <v>0.4</v>
      </c>
      <c r="H19" s="62">
        <f t="shared" si="6"/>
        <v>0.60000000000000009</v>
      </c>
      <c r="I19" s="62">
        <f t="shared" si="7"/>
        <v>0.8</v>
      </c>
      <c r="J19" s="62">
        <f t="shared" si="8"/>
        <v>1</v>
      </c>
      <c r="K19" s="62">
        <f t="shared" si="9"/>
        <v>1.2</v>
      </c>
      <c r="L19" s="62">
        <f t="shared" si="10"/>
        <v>1.4</v>
      </c>
      <c r="M19" s="62">
        <f t="shared" si="11"/>
        <v>1.5999999999999999</v>
      </c>
      <c r="N19" s="62">
        <f t="shared" si="12"/>
        <v>1.7999999999999998</v>
      </c>
      <c r="O19" s="62">
        <f t="shared" si="13"/>
        <v>1.9999999999999998</v>
      </c>
      <c r="P19" s="62">
        <f t="shared" si="14"/>
        <v>2.1999999999999997</v>
      </c>
      <c r="Q19" s="62">
        <f t="shared" si="15"/>
        <v>2.4</v>
      </c>
      <c r="R19" s="62">
        <f t="shared" si="16"/>
        <v>2.6</v>
      </c>
      <c r="S19" s="62">
        <f t="shared" si="17"/>
        <v>2.8000000000000003</v>
      </c>
      <c r="T19" s="62">
        <f t="shared" si="18"/>
        <v>3.0000000000000004</v>
      </c>
      <c r="U19" s="62">
        <f t="shared" si="19"/>
        <v>3.2000000000000006</v>
      </c>
      <c r="V19" s="62">
        <f t="shared" si="20"/>
        <v>3.4000000000000008</v>
      </c>
      <c r="W19" s="62">
        <f t="shared" si="21"/>
        <v>3.600000000000001</v>
      </c>
      <c r="X19" s="62">
        <f t="shared" si="22"/>
        <v>3.8000000000000012</v>
      </c>
      <c r="Y19" s="62">
        <f t="shared" si="23"/>
        <v>4.0000000000000009</v>
      </c>
      <c r="Z19" s="62">
        <f t="shared" si="24"/>
        <v>4.2000000000000011</v>
      </c>
      <c r="AA19" s="62">
        <f t="shared" si="25"/>
        <v>4.4000000000000012</v>
      </c>
      <c r="AB19" s="62">
        <f t="shared" si="26"/>
        <v>4.6000000000000014</v>
      </c>
      <c r="AC19" s="62">
        <f t="shared" si="27"/>
        <v>4.8000000000000016</v>
      </c>
      <c r="AD19" s="62">
        <f t="shared" si="28"/>
        <v>5.0000000000000018</v>
      </c>
      <c r="AE19" s="62">
        <f t="shared" si="29"/>
        <v>5.200000000000002</v>
      </c>
      <c r="AF19" s="62">
        <f t="shared" si="30"/>
        <v>5.4000000000000021</v>
      </c>
      <c r="AG19" s="62">
        <f t="shared" si="31"/>
        <v>5.6000000000000023</v>
      </c>
      <c r="AH19" s="62">
        <f t="shared" si="32"/>
        <v>5.8000000000000025</v>
      </c>
      <c r="AI19" s="62">
        <f t="shared" si="33"/>
        <v>6.0000000000000027</v>
      </c>
      <c r="AJ19" s="62">
        <f t="shared" si="34"/>
        <v>6.2000000000000028</v>
      </c>
      <c r="AK19" s="62">
        <f t="shared" si="35"/>
        <v>6.400000000000003</v>
      </c>
      <c r="AL19" s="62">
        <f t="shared" si="36"/>
        <v>6.6000000000000032</v>
      </c>
      <c r="AM19" s="62">
        <f t="shared" si="37"/>
        <v>6.8000000000000034</v>
      </c>
      <c r="AN19" s="62">
        <f t="shared" si="38"/>
        <v>7.0000000000000036</v>
      </c>
      <c r="AO19" s="62">
        <f t="shared" si="39"/>
        <v>7.2000000000000037</v>
      </c>
      <c r="AP19" s="62">
        <f t="shared" si="40"/>
        <v>7.4000000000000039</v>
      </c>
      <c r="AQ19" s="62">
        <f t="shared" si="41"/>
        <v>7.6000000000000041</v>
      </c>
      <c r="AR19" s="62">
        <f t="shared" si="42"/>
        <v>7.8000000000000043</v>
      </c>
      <c r="AS19" s="62">
        <f t="shared" si="43"/>
        <v>8.0000000000000036</v>
      </c>
      <c r="AT19" s="62">
        <f t="shared" si="44"/>
        <v>8.2000000000000028</v>
      </c>
      <c r="AU19" s="62">
        <f t="shared" si="45"/>
        <v>8.4000000000000021</v>
      </c>
      <c r="AV19" s="62">
        <f t="shared" si="46"/>
        <v>8.6000000000000014</v>
      </c>
      <c r="AW19" s="62">
        <f t="shared" si="47"/>
        <v>8.8000000000000007</v>
      </c>
      <c r="AX19" s="62">
        <f t="shared" si="48"/>
        <v>9</v>
      </c>
      <c r="AY19" s="62">
        <f t="shared" si="49"/>
        <v>9.1999999999999993</v>
      </c>
      <c r="AZ19" s="62">
        <f t="shared" si="50"/>
        <v>9.3999999999999986</v>
      </c>
      <c r="BA19" s="62">
        <f t="shared" si="51"/>
        <v>9.5999999999999979</v>
      </c>
      <c r="BB19" s="79">
        <f t="shared" si="52"/>
        <v>9.7999999999999972</v>
      </c>
      <c r="BC19" s="354"/>
      <c r="BE19" s="380"/>
      <c r="BF19" s="353">
        <v>0.2</v>
      </c>
      <c r="BG19" s="353" t="s">
        <v>59</v>
      </c>
    </row>
    <row r="20" spans="1:65" ht="14.4" x14ac:dyDescent="0.3">
      <c r="B20" s="364"/>
      <c r="C20" s="9" t="s">
        <v>155</v>
      </c>
      <c r="D20" s="365"/>
      <c r="E20" s="351"/>
      <c r="F20" s="62">
        <f t="shared" si="4"/>
        <v>0.1</v>
      </c>
      <c r="G20" s="62">
        <f t="shared" si="5"/>
        <v>0.2</v>
      </c>
      <c r="H20" s="62">
        <f t="shared" si="6"/>
        <v>0.30000000000000004</v>
      </c>
      <c r="I20" s="62">
        <f t="shared" si="7"/>
        <v>0.4</v>
      </c>
      <c r="J20" s="62">
        <f t="shared" si="8"/>
        <v>0.5</v>
      </c>
      <c r="K20" s="62">
        <f t="shared" si="9"/>
        <v>0.6</v>
      </c>
      <c r="L20" s="62">
        <f t="shared" si="10"/>
        <v>0.7</v>
      </c>
      <c r="M20" s="62">
        <f t="shared" si="11"/>
        <v>0.79999999999999993</v>
      </c>
      <c r="N20" s="62">
        <f t="shared" si="12"/>
        <v>0.89999999999999991</v>
      </c>
      <c r="O20" s="62">
        <f t="shared" si="13"/>
        <v>0.99999999999999989</v>
      </c>
      <c r="P20" s="62">
        <f t="shared" si="14"/>
        <v>1.0999999999999999</v>
      </c>
      <c r="Q20" s="62">
        <f t="shared" si="15"/>
        <v>1.2</v>
      </c>
      <c r="R20" s="62">
        <f t="shared" si="16"/>
        <v>1.3</v>
      </c>
      <c r="S20" s="62">
        <f t="shared" si="17"/>
        <v>1.4000000000000001</v>
      </c>
      <c r="T20" s="62">
        <f t="shared" si="18"/>
        <v>1.5000000000000002</v>
      </c>
      <c r="U20" s="62">
        <f t="shared" si="19"/>
        <v>1.6000000000000003</v>
      </c>
      <c r="V20" s="62">
        <f t="shared" si="20"/>
        <v>1.7000000000000004</v>
      </c>
      <c r="W20" s="62">
        <f t="shared" si="21"/>
        <v>1.8000000000000005</v>
      </c>
      <c r="X20" s="62">
        <f t="shared" si="22"/>
        <v>1.9000000000000006</v>
      </c>
      <c r="Y20" s="62">
        <f t="shared" si="23"/>
        <v>2.0000000000000004</v>
      </c>
      <c r="Z20" s="62">
        <f t="shared" si="24"/>
        <v>2.1000000000000005</v>
      </c>
      <c r="AA20" s="62">
        <f t="shared" si="25"/>
        <v>2.2000000000000006</v>
      </c>
      <c r="AB20" s="62">
        <f t="shared" si="26"/>
        <v>2.3000000000000007</v>
      </c>
      <c r="AC20" s="62">
        <f t="shared" si="27"/>
        <v>2.4000000000000008</v>
      </c>
      <c r="AD20" s="62">
        <f t="shared" si="28"/>
        <v>2.5000000000000009</v>
      </c>
      <c r="AE20" s="62">
        <f t="shared" si="29"/>
        <v>2.600000000000001</v>
      </c>
      <c r="AF20" s="62">
        <f t="shared" si="30"/>
        <v>2.7000000000000011</v>
      </c>
      <c r="AG20" s="62">
        <f t="shared" si="31"/>
        <v>2.8000000000000012</v>
      </c>
      <c r="AH20" s="62">
        <f t="shared" si="32"/>
        <v>2.9000000000000012</v>
      </c>
      <c r="AI20" s="62">
        <f t="shared" si="33"/>
        <v>3.0000000000000013</v>
      </c>
      <c r="AJ20" s="62">
        <f t="shared" si="34"/>
        <v>3.1000000000000014</v>
      </c>
      <c r="AK20" s="62">
        <f t="shared" si="35"/>
        <v>3.2000000000000015</v>
      </c>
      <c r="AL20" s="62">
        <f t="shared" si="36"/>
        <v>3.3000000000000016</v>
      </c>
      <c r="AM20" s="62">
        <f t="shared" si="37"/>
        <v>3.4000000000000017</v>
      </c>
      <c r="AN20" s="62">
        <f t="shared" si="38"/>
        <v>3.5000000000000018</v>
      </c>
      <c r="AO20" s="62">
        <f t="shared" si="39"/>
        <v>3.6000000000000019</v>
      </c>
      <c r="AP20" s="62">
        <f t="shared" si="40"/>
        <v>3.700000000000002</v>
      </c>
      <c r="AQ20" s="62">
        <f t="shared" si="41"/>
        <v>3.800000000000002</v>
      </c>
      <c r="AR20" s="62">
        <f t="shared" si="42"/>
        <v>3.9000000000000021</v>
      </c>
      <c r="AS20" s="62">
        <f t="shared" si="43"/>
        <v>4.0000000000000018</v>
      </c>
      <c r="AT20" s="62">
        <f t="shared" si="44"/>
        <v>4.1000000000000014</v>
      </c>
      <c r="AU20" s="62">
        <f t="shared" si="45"/>
        <v>4.2000000000000011</v>
      </c>
      <c r="AV20" s="62">
        <f t="shared" si="46"/>
        <v>4.3000000000000007</v>
      </c>
      <c r="AW20" s="62">
        <f t="shared" si="47"/>
        <v>4.4000000000000004</v>
      </c>
      <c r="AX20" s="62">
        <f t="shared" si="48"/>
        <v>4.5</v>
      </c>
      <c r="AY20" s="62">
        <f t="shared" si="49"/>
        <v>4.5999999999999996</v>
      </c>
      <c r="AZ20" s="62">
        <f t="shared" si="50"/>
        <v>4.6999999999999993</v>
      </c>
      <c r="BA20" s="62">
        <f t="shared" si="51"/>
        <v>4.7999999999999989</v>
      </c>
      <c r="BB20" s="79">
        <f t="shared" si="52"/>
        <v>4.8999999999999986</v>
      </c>
      <c r="BC20" s="354"/>
      <c r="BE20" s="380"/>
      <c r="BF20" s="353">
        <v>0.1</v>
      </c>
      <c r="BG20" s="353" t="s">
        <v>59</v>
      </c>
    </row>
    <row r="21" spans="1:65" ht="14.4" x14ac:dyDescent="0.3">
      <c r="A21" s="16" t="s">
        <v>50</v>
      </c>
      <c r="B21" s="16"/>
      <c r="C21" s="31" t="s">
        <v>61</v>
      </c>
      <c r="D21" s="351"/>
      <c r="E21" s="35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79"/>
      <c r="BC21" s="21"/>
      <c r="BE21" s="380"/>
      <c r="BF21" s="370"/>
      <c r="BG21" s="371"/>
      <c r="BI21" s="9"/>
      <c r="BJ21" s="9"/>
      <c r="BK21" s="9"/>
      <c r="BL21" s="9"/>
      <c r="BM21" s="9"/>
    </row>
    <row r="22" spans="1:65" ht="14.4" customHeight="1" x14ac:dyDescent="0.3">
      <c r="B22" s="364" t="s">
        <v>62</v>
      </c>
      <c r="C22" s="9" t="s">
        <v>156</v>
      </c>
      <c r="D22" s="365" t="s">
        <v>157</v>
      </c>
      <c r="E22" s="351"/>
      <c r="F22" s="62">
        <f t="shared" ref="F22:F54" si="53">BF22</f>
        <v>0</v>
      </c>
      <c r="G22" s="62">
        <f t="shared" ref="G22:V28" si="54">F22+$BF22</f>
        <v>0</v>
      </c>
      <c r="H22" s="62">
        <f t="shared" si="54"/>
        <v>0</v>
      </c>
      <c r="I22" s="62">
        <f t="shared" si="54"/>
        <v>0</v>
      </c>
      <c r="J22" s="62">
        <f t="shared" si="54"/>
        <v>0</v>
      </c>
      <c r="K22" s="62">
        <f t="shared" si="54"/>
        <v>0</v>
      </c>
      <c r="L22" s="62">
        <f t="shared" si="54"/>
        <v>0</v>
      </c>
      <c r="M22" s="62">
        <f t="shared" si="54"/>
        <v>0</v>
      </c>
      <c r="N22" s="62">
        <f t="shared" si="54"/>
        <v>0</v>
      </c>
      <c r="O22" s="62">
        <f t="shared" si="54"/>
        <v>0</v>
      </c>
      <c r="P22" s="62">
        <f t="shared" si="54"/>
        <v>0</v>
      </c>
      <c r="Q22" s="62">
        <f t="shared" si="54"/>
        <v>0</v>
      </c>
      <c r="R22" s="62">
        <f t="shared" si="54"/>
        <v>0</v>
      </c>
      <c r="S22" s="62">
        <f t="shared" si="54"/>
        <v>0</v>
      </c>
      <c r="T22" s="62">
        <f t="shared" si="54"/>
        <v>0</v>
      </c>
      <c r="U22" s="62">
        <f t="shared" si="54"/>
        <v>0</v>
      </c>
      <c r="V22" s="62">
        <f t="shared" si="54"/>
        <v>0</v>
      </c>
      <c r="W22" s="62">
        <f t="shared" ref="W22:AL28" si="55">V22+$BF22</f>
        <v>0</v>
      </c>
      <c r="X22" s="62">
        <f t="shared" si="55"/>
        <v>0</v>
      </c>
      <c r="Y22" s="62">
        <f t="shared" si="55"/>
        <v>0</v>
      </c>
      <c r="Z22" s="62">
        <f t="shared" si="55"/>
        <v>0</v>
      </c>
      <c r="AA22" s="62">
        <f t="shared" si="55"/>
        <v>0</v>
      </c>
      <c r="AB22" s="62">
        <f t="shared" si="55"/>
        <v>0</v>
      </c>
      <c r="AC22" s="62">
        <f t="shared" si="55"/>
        <v>0</v>
      </c>
      <c r="AD22" s="62">
        <f t="shared" si="55"/>
        <v>0</v>
      </c>
      <c r="AE22" s="62">
        <f t="shared" si="55"/>
        <v>0</v>
      </c>
      <c r="AF22" s="62">
        <f t="shared" si="55"/>
        <v>0</v>
      </c>
      <c r="AG22" s="62">
        <f t="shared" si="55"/>
        <v>0</v>
      </c>
      <c r="AH22" s="62">
        <f t="shared" si="55"/>
        <v>0</v>
      </c>
      <c r="AI22" s="62">
        <f t="shared" si="55"/>
        <v>0</v>
      </c>
      <c r="AJ22" s="62">
        <f t="shared" si="55"/>
        <v>0</v>
      </c>
      <c r="AK22" s="62">
        <f t="shared" si="55"/>
        <v>0</v>
      </c>
      <c r="AL22" s="62">
        <f t="shared" si="55"/>
        <v>0</v>
      </c>
      <c r="AM22" s="62">
        <f t="shared" ref="AM22:BB28" si="56">AL22+$BF22</f>
        <v>0</v>
      </c>
      <c r="AN22" s="62">
        <f t="shared" si="56"/>
        <v>0</v>
      </c>
      <c r="AO22" s="62">
        <f t="shared" si="56"/>
        <v>0</v>
      </c>
      <c r="AP22" s="62">
        <f t="shared" si="56"/>
        <v>0</v>
      </c>
      <c r="AQ22" s="62">
        <f t="shared" si="56"/>
        <v>0</v>
      </c>
      <c r="AR22" s="62">
        <f t="shared" si="56"/>
        <v>0</v>
      </c>
      <c r="AS22" s="62">
        <f t="shared" si="56"/>
        <v>0</v>
      </c>
      <c r="AT22" s="62">
        <f t="shared" si="56"/>
        <v>0</v>
      </c>
      <c r="AU22" s="62">
        <f t="shared" si="56"/>
        <v>0</v>
      </c>
      <c r="AV22" s="62">
        <f t="shared" si="56"/>
        <v>0</v>
      </c>
      <c r="AW22" s="62">
        <f t="shared" si="56"/>
        <v>0</v>
      </c>
      <c r="AX22" s="62">
        <f t="shared" si="56"/>
        <v>0</v>
      </c>
      <c r="AY22" s="62">
        <f t="shared" si="56"/>
        <v>0</v>
      </c>
      <c r="AZ22" s="62">
        <f t="shared" si="56"/>
        <v>0</v>
      </c>
      <c r="BA22" s="62">
        <f t="shared" si="56"/>
        <v>0</v>
      </c>
      <c r="BB22" s="79">
        <f t="shared" si="56"/>
        <v>0</v>
      </c>
      <c r="BC22" s="354"/>
      <c r="BE22" s="380"/>
      <c r="BF22" s="353">
        <v>0</v>
      </c>
      <c r="BG22" s="353" t="s">
        <v>59</v>
      </c>
    </row>
    <row r="23" spans="1:65" ht="14.4" x14ac:dyDescent="0.3">
      <c r="B23" s="364"/>
      <c r="C23" s="9" t="s">
        <v>158</v>
      </c>
      <c r="D23" s="365"/>
      <c r="E23" s="351"/>
      <c r="F23" s="62">
        <f t="shared" si="53"/>
        <v>0</v>
      </c>
      <c r="G23" s="62">
        <f t="shared" si="54"/>
        <v>0</v>
      </c>
      <c r="H23" s="62">
        <f t="shared" si="54"/>
        <v>0</v>
      </c>
      <c r="I23" s="62">
        <f t="shared" si="54"/>
        <v>0</v>
      </c>
      <c r="J23" s="62">
        <f t="shared" si="54"/>
        <v>0</v>
      </c>
      <c r="K23" s="62">
        <f t="shared" si="54"/>
        <v>0</v>
      </c>
      <c r="L23" s="62">
        <f t="shared" si="54"/>
        <v>0</v>
      </c>
      <c r="M23" s="62">
        <f t="shared" si="54"/>
        <v>0</v>
      </c>
      <c r="N23" s="62">
        <f t="shared" si="54"/>
        <v>0</v>
      </c>
      <c r="O23" s="62">
        <f t="shared" si="54"/>
        <v>0</v>
      </c>
      <c r="P23" s="62">
        <f t="shared" si="54"/>
        <v>0</v>
      </c>
      <c r="Q23" s="62">
        <f t="shared" si="54"/>
        <v>0</v>
      </c>
      <c r="R23" s="62">
        <f t="shared" si="54"/>
        <v>0</v>
      </c>
      <c r="S23" s="62">
        <f t="shared" si="54"/>
        <v>0</v>
      </c>
      <c r="T23" s="62">
        <f t="shared" si="54"/>
        <v>0</v>
      </c>
      <c r="U23" s="62">
        <f t="shared" si="54"/>
        <v>0</v>
      </c>
      <c r="V23" s="62">
        <f t="shared" si="54"/>
        <v>0</v>
      </c>
      <c r="W23" s="62">
        <f t="shared" si="55"/>
        <v>0</v>
      </c>
      <c r="X23" s="62">
        <f t="shared" si="55"/>
        <v>0</v>
      </c>
      <c r="Y23" s="62">
        <f t="shared" si="55"/>
        <v>0</v>
      </c>
      <c r="Z23" s="62">
        <f t="shared" si="55"/>
        <v>0</v>
      </c>
      <c r="AA23" s="62">
        <f t="shared" si="55"/>
        <v>0</v>
      </c>
      <c r="AB23" s="62">
        <f t="shared" si="55"/>
        <v>0</v>
      </c>
      <c r="AC23" s="62">
        <f t="shared" si="55"/>
        <v>0</v>
      </c>
      <c r="AD23" s="62">
        <f t="shared" si="55"/>
        <v>0</v>
      </c>
      <c r="AE23" s="62">
        <f t="shared" si="55"/>
        <v>0</v>
      </c>
      <c r="AF23" s="62">
        <f t="shared" si="55"/>
        <v>0</v>
      </c>
      <c r="AG23" s="62">
        <f t="shared" si="55"/>
        <v>0</v>
      </c>
      <c r="AH23" s="62">
        <f t="shared" si="55"/>
        <v>0</v>
      </c>
      <c r="AI23" s="62">
        <f t="shared" si="55"/>
        <v>0</v>
      </c>
      <c r="AJ23" s="62">
        <f t="shared" si="55"/>
        <v>0</v>
      </c>
      <c r="AK23" s="62">
        <f t="shared" si="55"/>
        <v>0</v>
      </c>
      <c r="AL23" s="62">
        <f t="shared" si="55"/>
        <v>0</v>
      </c>
      <c r="AM23" s="62">
        <f t="shared" si="56"/>
        <v>0</v>
      </c>
      <c r="AN23" s="62">
        <f t="shared" si="56"/>
        <v>0</v>
      </c>
      <c r="AO23" s="62">
        <f t="shared" si="56"/>
        <v>0</v>
      </c>
      <c r="AP23" s="62">
        <f t="shared" si="56"/>
        <v>0</v>
      </c>
      <c r="AQ23" s="62">
        <f t="shared" si="56"/>
        <v>0</v>
      </c>
      <c r="AR23" s="62">
        <f t="shared" si="56"/>
        <v>0</v>
      </c>
      <c r="AS23" s="62">
        <f t="shared" si="56"/>
        <v>0</v>
      </c>
      <c r="AT23" s="62">
        <f t="shared" si="56"/>
        <v>0</v>
      </c>
      <c r="AU23" s="62">
        <f t="shared" si="56"/>
        <v>0</v>
      </c>
      <c r="AV23" s="62">
        <f t="shared" si="56"/>
        <v>0</v>
      </c>
      <c r="AW23" s="62">
        <f t="shared" si="56"/>
        <v>0</v>
      </c>
      <c r="AX23" s="62">
        <f t="shared" si="56"/>
        <v>0</v>
      </c>
      <c r="AY23" s="62">
        <f t="shared" si="56"/>
        <v>0</v>
      </c>
      <c r="AZ23" s="62">
        <f t="shared" si="56"/>
        <v>0</v>
      </c>
      <c r="BA23" s="62">
        <f t="shared" si="56"/>
        <v>0</v>
      </c>
      <c r="BB23" s="79">
        <f t="shared" si="56"/>
        <v>0</v>
      </c>
      <c r="BC23" s="354"/>
      <c r="BE23" s="380"/>
      <c r="BF23" s="353">
        <v>0</v>
      </c>
      <c r="BG23" s="353" t="s">
        <v>59</v>
      </c>
    </row>
    <row r="24" spans="1:65" ht="14.4" x14ac:dyDescent="0.3">
      <c r="B24" s="364"/>
      <c r="C24" s="9" t="s">
        <v>159</v>
      </c>
      <c r="D24" s="365"/>
      <c r="E24" s="351"/>
      <c r="F24" s="62">
        <f t="shared" si="53"/>
        <v>0</v>
      </c>
      <c r="G24" s="62">
        <f t="shared" si="54"/>
        <v>0</v>
      </c>
      <c r="H24" s="62">
        <f t="shared" si="54"/>
        <v>0</v>
      </c>
      <c r="I24" s="62">
        <f t="shared" si="54"/>
        <v>0</v>
      </c>
      <c r="J24" s="62">
        <f t="shared" si="54"/>
        <v>0</v>
      </c>
      <c r="K24" s="62">
        <f t="shared" si="54"/>
        <v>0</v>
      </c>
      <c r="L24" s="62">
        <f t="shared" si="54"/>
        <v>0</v>
      </c>
      <c r="M24" s="62">
        <f t="shared" si="54"/>
        <v>0</v>
      </c>
      <c r="N24" s="62">
        <f t="shared" si="54"/>
        <v>0</v>
      </c>
      <c r="O24" s="62">
        <f t="shared" si="54"/>
        <v>0</v>
      </c>
      <c r="P24" s="62">
        <f t="shared" si="54"/>
        <v>0</v>
      </c>
      <c r="Q24" s="62">
        <f t="shared" si="54"/>
        <v>0</v>
      </c>
      <c r="R24" s="62">
        <f t="shared" si="54"/>
        <v>0</v>
      </c>
      <c r="S24" s="62">
        <f t="shared" si="54"/>
        <v>0</v>
      </c>
      <c r="T24" s="62">
        <f t="shared" si="54"/>
        <v>0</v>
      </c>
      <c r="U24" s="62">
        <f t="shared" si="54"/>
        <v>0</v>
      </c>
      <c r="V24" s="62">
        <f t="shared" si="54"/>
        <v>0</v>
      </c>
      <c r="W24" s="62">
        <f t="shared" si="55"/>
        <v>0</v>
      </c>
      <c r="X24" s="62">
        <f t="shared" si="55"/>
        <v>0</v>
      </c>
      <c r="Y24" s="62">
        <f t="shared" si="55"/>
        <v>0</v>
      </c>
      <c r="Z24" s="62">
        <f t="shared" si="55"/>
        <v>0</v>
      </c>
      <c r="AA24" s="62">
        <f t="shared" si="55"/>
        <v>0</v>
      </c>
      <c r="AB24" s="62">
        <f t="shared" si="55"/>
        <v>0</v>
      </c>
      <c r="AC24" s="62">
        <f t="shared" si="55"/>
        <v>0</v>
      </c>
      <c r="AD24" s="62">
        <f t="shared" si="55"/>
        <v>0</v>
      </c>
      <c r="AE24" s="62">
        <f t="shared" si="55"/>
        <v>0</v>
      </c>
      <c r="AF24" s="62">
        <f t="shared" si="55"/>
        <v>0</v>
      </c>
      <c r="AG24" s="62">
        <f t="shared" si="55"/>
        <v>0</v>
      </c>
      <c r="AH24" s="62">
        <f t="shared" si="55"/>
        <v>0</v>
      </c>
      <c r="AI24" s="62">
        <f t="shared" si="55"/>
        <v>0</v>
      </c>
      <c r="AJ24" s="62">
        <f t="shared" si="55"/>
        <v>0</v>
      </c>
      <c r="AK24" s="62">
        <f t="shared" si="55"/>
        <v>0</v>
      </c>
      <c r="AL24" s="62">
        <f t="shared" si="55"/>
        <v>0</v>
      </c>
      <c r="AM24" s="62">
        <f t="shared" si="56"/>
        <v>0</v>
      </c>
      <c r="AN24" s="62">
        <f t="shared" si="56"/>
        <v>0</v>
      </c>
      <c r="AO24" s="62">
        <f t="shared" si="56"/>
        <v>0</v>
      </c>
      <c r="AP24" s="62">
        <f t="shared" si="56"/>
        <v>0</v>
      </c>
      <c r="AQ24" s="62">
        <f t="shared" si="56"/>
        <v>0</v>
      </c>
      <c r="AR24" s="62">
        <f t="shared" si="56"/>
        <v>0</v>
      </c>
      <c r="AS24" s="62">
        <f t="shared" si="56"/>
        <v>0</v>
      </c>
      <c r="AT24" s="62">
        <f t="shared" si="56"/>
        <v>0</v>
      </c>
      <c r="AU24" s="62">
        <f t="shared" si="56"/>
        <v>0</v>
      </c>
      <c r="AV24" s="62">
        <f t="shared" si="56"/>
        <v>0</v>
      </c>
      <c r="AW24" s="62">
        <f t="shared" si="56"/>
        <v>0</v>
      </c>
      <c r="AX24" s="62">
        <f t="shared" si="56"/>
        <v>0</v>
      </c>
      <c r="AY24" s="62">
        <f t="shared" si="56"/>
        <v>0</v>
      </c>
      <c r="AZ24" s="62">
        <f t="shared" si="56"/>
        <v>0</v>
      </c>
      <c r="BA24" s="62">
        <f t="shared" si="56"/>
        <v>0</v>
      </c>
      <c r="BB24" s="79">
        <f t="shared" si="56"/>
        <v>0</v>
      </c>
      <c r="BC24" s="354"/>
      <c r="BE24" s="380"/>
      <c r="BF24" s="353">
        <v>0</v>
      </c>
      <c r="BG24" s="353" t="s">
        <v>59</v>
      </c>
    </row>
    <row r="25" spans="1:65" ht="14.4" x14ac:dyDescent="0.3">
      <c r="B25" s="364"/>
      <c r="C25" s="9" t="s">
        <v>160</v>
      </c>
      <c r="D25" s="365"/>
      <c r="E25" s="351"/>
      <c r="F25" s="62">
        <f t="shared" si="53"/>
        <v>0.04</v>
      </c>
      <c r="G25" s="62">
        <f t="shared" si="54"/>
        <v>0.08</v>
      </c>
      <c r="H25" s="62">
        <f t="shared" si="54"/>
        <v>0.12</v>
      </c>
      <c r="I25" s="62">
        <f t="shared" si="54"/>
        <v>0.16</v>
      </c>
      <c r="J25" s="62">
        <f t="shared" si="54"/>
        <v>0.2</v>
      </c>
      <c r="K25" s="62">
        <f t="shared" si="54"/>
        <v>0.24000000000000002</v>
      </c>
      <c r="L25" s="62">
        <f t="shared" si="54"/>
        <v>0.28000000000000003</v>
      </c>
      <c r="M25" s="62">
        <f t="shared" si="54"/>
        <v>0.32</v>
      </c>
      <c r="N25" s="62">
        <f t="shared" si="54"/>
        <v>0.36</v>
      </c>
      <c r="O25" s="62">
        <f t="shared" si="54"/>
        <v>0.39999999999999997</v>
      </c>
      <c r="P25" s="62">
        <f t="shared" si="54"/>
        <v>0.43999999999999995</v>
      </c>
      <c r="Q25" s="62">
        <f t="shared" si="54"/>
        <v>0.47999999999999993</v>
      </c>
      <c r="R25" s="62">
        <f t="shared" si="54"/>
        <v>0.51999999999999991</v>
      </c>
      <c r="S25" s="62">
        <f t="shared" si="54"/>
        <v>0.55999999999999994</v>
      </c>
      <c r="T25" s="62">
        <f t="shared" si="54"/>
        <v>0.6</v>
      </c>
      <c r="U25" s="62">
        <f t="shared" si="54"/>
        <v>0.64</v>
      </c>
      <c r="V25" s="62">
        <f t="shared" si="54"/>
        <v>0.68</v>
      </c>
      <c r="W25" s="62">
        <f t="shared" si="55"/>
        <v>0.72000000000000008</v>
      </c>
      <c r="X25" s="62">
        <f t="shared" si="55"/>
        <v>0.76000000000000012</v>
      </c>
      <c r="Y25" s="62">
        <f t="shared" si="55"/>
        <v>0.80000000000000016</v>
      </c>
      <c r="Z25" s="62">
        <f t="shared" si="55"/>
        <v>0.84000000000000019</v>
      </c>
      <c r="AA25" s="62">
        <f t="shared" si="55"/>
        <v>0.88000000000000023</v>
      </c>
      <c r="AB25" s="62">
        <f t="shared" si="55"/>
        <v>0.92000000000000026</v>
      </c>
      <c r="AC25" s="62">
        <f t="shared" si="55"/>
        <v>0.9600000000000003</v>
      </c>
      <c r="AD25" s="62">
        <f t="shared" si="55"/>
        <v>1.0000000000000002</v>
      </c>
      <c r="AE25" s="62">
        <f t="shared" si="55"/>
        <v>1.0400000000000003</v>
      </c>
      <c r="AF25" s="62">
        <f t="shared" si="55"/>
        <v>1.0800000000000003</v>
      </c>
      <c r="AG25" s="62">
        <f t="shared" si="55"/>
        <v>1.1200000000000003</v>
      </c>
      <c r="AH25" s="62">
        <f t="shared" si="55"/>
        <v>1.1600000000000004</v>
      </c>
      <c r="AI25" s="62">
        <f t="shared" si="55"/>
        <v>1.2000000000000004</v>
      </c>
      <c r="AJ25" s="62">
        <f t="shared" si="55"/>
        <v>1.2400000000000004</v>
      </c>
      <c r="AK25" s="62">
        <f t="shared" si="55"/>
        <v>1.2800000000000005</v>
      </c>
      <c r="AL25" s="62">
        <f t="shared" si="55"/>
        <v>1.3200000000000005</v>
      </c>
      <c r="AM25" s="62">
        <f t="shared" si="56"/>
        <v>1.3600000000000005</v>
      </c>
      <c r="AN25" s="62">
        <f t="shared" si="56"/>
        <v>1.4000000000000006</v>
      </c>
      <c r="AO25" s="62">
        <f t="shared" si="56"/>
        <v>1.4400000000000006</v>
      </c>
      <c r="AP25" s="62">
        <f t="shared" si="56"/>
        <v>1.4800000000000006</v>
      </c>
      <c r="AQ25" s="62">
        <f t="shared" si="56"/>
        <v>1.5200000000000007</v>
      </c>
      <c r="AR25" s="62">
        <f t="shared" si="56"/>
        <v>1.5600000000000007</v>
      </c>
      <c r="AS25" s="62">
        <f t="shared" si="56"/>
        <v>1.6000000000000008</v>
      </c>
      <c r="AT25" s="62">
        <f t="shared" si="56"/>
        <v>1.6400000000000008</v>
      </c>
      <c r="AU25" s="62">
        <f t="shared" si="56"/>
        <v>1.6800000000000008</v>
      </c>
      <c r="AV25" s="62">
        <f t="shared" si="56"/>
        <v>1.7200000000000009</v>
      </c>
      <c r="AW25" s="62">
        <f t="shared" si="56"/>
        <v>1.7600000000000009</v>
      </c>
      <c r="AX25" s="62">
        <f t="shared" si="56"/>
        <v>1.8000000000000009</v>
      </c>
      <c r="AY25" s="62">
        <f t="shared" si="56"/>
        <v>1.840000000000001</v>
      </c>
      <c r="AZ25" s="62">
        <f t="shared" si="56"/>
        <v>1.880000000000001</v>
      </c>
      <c r="BA25" s="62">
        <f t="shared" si="56"/>
        <v>1.920000000000001</v>
      </c>
      <c r="BB25" s="79">
        <f t="shared" si="56"/>
        <v>1.9600000000000011</v>
      </c>
      <c r="BC25" s="354"/>
      <c r="BE25" s="380"/>
      <c r="BF25" s="353">
        <v>0.04</v>
      </c>
      <c r="BG25" s="353" t="s">
        <v>55</v>
      </c>
    </row>
    <row r="26" spans="1:65" ht="14.4" x14ac:dyDescent="0.3">
      <c r="B26" s="364"/>
      <c r="C26" s="9" t="s">
        <v>161</v>
      </c>
      <c r="D26" s="365"/>
      <c r="E26" s="351"/>
      <c r="F26" s="62">
        <f t="shared" si="53"/>
        <v>0</v>
      </c>
      <c r="G26" s="62">
        <f t="shared" si="54"/>
        <v>0</v>
      </c>
      <c r="H26" s="62">
        <f t="shared" si="54"/>
        <v>0</v>
      </c>
      <c r="I26" s="62">
        <f t="shared" si="54"/>
        <v>0</v>
      </c>
      <c r="J26" s="62">
        <f t="shared" si="54"/>
        <v>0</v>
      </c>
      <c r="K26" s="62">
        <f t="shared" si="54"/>
        <v>0</v>
      </c>
      <c r="L26" s="62">
        <f t="shared" si="54"/>
        <v>0</v>
      </c>
      <c r="M26" s="62">
        <f t="shared" si="54"/>
        <v>0</v>
      </c>
      <c r="N26" s="62">
        <f t="shared" si="54"/>
        <v>0</v>
      </c>
      <c r="O26" s="62">
        <f t="shared" si="54"/>
        <v>0</v>
      </c>
      <c r="P26" s="62">
        <f t="shared" si="54"/>
        <v>0</v>
      </c>
      <c r="Q26" s="62">
        <f t="shared" si="54"/>
        <v>0</v>
      </c>
      <c r="R26" s="62">
        <f t="shared" si="54"/>
        <v>0</v>
      </c>
      <c r="S26" s="62">
        <f t="shared" si="54"/>
        <v>0</v>
      </c>
      <c r="T26" s="62">
        <f t="shared" si="54"/>
        <v>0</v>
      </c>
      <c r="U26" s="62">
        <f t="shared" si="54"/>
        <v>0</v>
      </c>
      <c r="V26" s="62">
        <f t="shared" si="54"/>
        <v>0</v>
      </c>
      <c r="W26" s="62">
        <f t="shared" si="55"/>
        <v>0</v>
      </c>
      <c r="X26" s="62">
        <f t="shared" si="55"/>
        <v>0</v>
      </c>
      <c r="Y26" s="62">
        <f t="shared" si="55"/>
        <v>0</v>
      </c>
      <c r="Z26" s="62">
        <f t="shared" si="55"/>
        <v>0</v>
      </c>
      <c r="AA26" s="62">
        <f t="shared" si="55"/>
        <v>0</v>
      </c>
      <c r="AB26" s="62">
        <f t="shared" si="55"/>
        <v>0</v>
      </c>
      <c r="AC26" s="62">
        <f t="shared" si="55"/>
        <v>0</v>
      </c>
      <c r="AD26" s="62">
        <f t="shared" si="55"/>
        <v>0</v>
      </c>
      <c r="AE26" s="62">
        <f t="shared" si="55"/>
        <v>0</v>
      </c>
      <c r="AF26" s="62">
        <f t="shared" si="55"/>
        <v>0</v>
      </c>
      <c r="AG26" s="62">
        <f t="shared" si="55"/>
        <v>0</v>
      </c>
      <c r="AH26" s="62">
        <f t="shared" si="55"/>
        <v>0</v>
      </c>
      <c r="AI26" s="62">
        <f t="shared" si="55"/>
        <v>0</v>
      </c>
      <c r="AJ26" s="62">
        <f t="shared" si="55"/>
        <v>0</v>
      </c>
      <c r="AK26" s="62">
        <f t="shared" si="55"/>
        <v>0</v>
      </c>
      <c r="AL26" s="62">
        <f t="shared" si="55"/>
        <v>0</v>
      </c>
      <c r="AM26" s="62">
        <f t="shared" si="56"/>
        <v>0</v>
      </c>
      <c r="AN26" s="62">
        <f t="shared" si="56"/>
        <v>0</v>
      </c>
      <c r="AO26" s="62">
        <f t="shared" si="56"/>
        <v>0</v>
      </c>
      <c r="AP26" s="62">
        <f t="shared" si="56"/>
        <v>0</v>
      </c>
      <c r="AQ26" s="62">
        <f t="shared" si="56"/>
        <v>0</v>
      </c>
      <c r="AR26" s="62">
        <f t="shared" si="56"/>
        <v>0</v>
      </c>
      <c r="AS26" s="62">
        <f t="shared" si="56"/>
        <v>0</v>
      </c>
      <c r="AT26" s="62">
        <f t="shared" si="56"/>
        <v>0</v>
      </c>
      <c r="AU26" s="62">
        <f t="shared" si="56"/>
        <v>0</v>
      </c>
      <c r="AV26" s="62">
        <f t="shared" si="56"/>
        <v>0</v>
      </c>
      <c r="AW26" s="62">
        <f t="shared" si="56"/>
        <v>0</v>
      </c>
      <c r="AX26" s="62">
        <f t="shared" si="56"/>
        <v>0</v>
      </c>
      <c r="AY26" s="62">
        <f t="shared" si="56"/>
        <v>0</v>
      </c>
      <c r="AZ26" s="62">
        <f t="shared" si="56"/>
        <v>0</v>
      </c>
      <c r="BA26" s="62">
        <f t="shared" si="56"/>
        <v>0</v>
      </c>
      <c r="BB26" s="79">
        <f t="shared" si="56"/>
        <v>0</v>
      </c>
      <c r="BC26" s="354"/>
      <c r="BE26" s="380"/>
      <c r="BF26" s="353">
        <v>0</v>
      </c>
      <c r="BG26" s="353" t="s">
        <v>55</v>
      </c>
    </row>
    <row r="27" spans="1:65" ht="14.4" x14ac:dyDescent="0.3">
      <c r="B27" s="364"/>
      <c r="C27" s="9" t="s">
        <v>162</v>
      </c>
      <c r="D27" s="365"/>
      <c r="E27" s="351"/>
      <c r="F27" s="62">
        <f t="shared" si="53"/>
        <v>0</v>
      </c>
      <c r="G27" s="62">
        <f t="shared" si="54"/>
        <v>0</v>
      </c>
      <c r="H27" s="62">
        <f t="shared" si="54"/>
        <v>0</v>
      </c>
      <c r="I27" s="62">
        <f t="shared" si="54"/>
        <v>0</v>
      </c>
      <c r="J27" s="62">
        <f t="shared" si="54"/>
        <v>0</v>
      </c>
      <c r="K27" s="62">
        <f t="shared" si="54"/>
        <v>0</v>
      </c>
      <c r="L27" s="62">
        <f t="shared" si="54"/>
        <v>0</v>
      </c>
      <c r="M27" s="62">
        <f t="shared" si="54"/>
        <v>0</v>
      </c>
      <c r="N27" s="62">
        <f t="shared" si="54"/>
        <v>0</v>
      </c>
      <c r="O27" s="62">
        <f t="shared" si="54"/>
        <v>0</v>
      </c>
      <c r="P27" s="62">
        <f t="shared" si="54"/>
        <v>0</v>
      </c>
      <c r="Q27" s="62">
        <f t="shared" si="54"/>
        <v>0</v>
      </c>
      <c r="R27" s="62">
        <f t="shared" si="54"/>
        <v>0</v>
      </c>
      <c r="S27" s="62">
        <f t="shared" si="54"/>
        <v>0</v>
      </c>
      <c r="T27" s="62">
        <f t="shared" si="54"/>
        <v>0</v>
      </c>
      <c r="U27" s="62">
        <f t="shared" si="54"/>
        <v>0</v>
      </c>
      <c r="V27" s="62">
        <f t="shared" si="54"/>
        <v>0</v>
      </c>
      <c r="W27" s="62">
        <f t="shared" si="55"/>
        <v>0</v>
      </c>
      <c r="X27" s="62">
        <f t="shared" si="55"/>
        <v>0</v>
      </c>
      <c r="Y27" s="62">
        <f t="shared" si="55"/>
        <v>0</v>
      </c>
      <c r="Z27" s="62">
        <f t="shared" si="55"/>
        <v>0</v>
      </c>
      <c r="AA27" s="62">
        <f t="shared" si="55"/>
        <v>0</v>
      </c>
      <c r="AB27" s="62">
        <f t="shared" si="55"/>
        <v>0</v>
      </c>
      <c r="AC27" s="62">
        <f t="shared" si="55"/>
        <v>0</v>
      </c>
      <c r="AD27" s="62">
        <f t="shared" si="55"/>
        <v>0</v>
      </c>
      <c r="AE27" s="62">
        <f t="shared" si="55"/>
        <v>0</v>
      </c>
      <c r="AF27" s="62">
        <f t="shared" si="55"/>
        <v>0</v>
      </c>
      <c r="AG27" s="62">
        <f t="shared" si="55"/>
        <v>0</v>
      </c>
      <c r="AH27" s="62">
        <f t="shared" si="55"/>
        <v>0</v>
      </c>
      <c r="AI27" s="62">
        <f t="shared" si="55"/>
        <v>0</v>
      </c>
      <c r="AJ27" s="62">
        <f t="shared" si="55"/>
        <v>0</v>
      </c>
      <c r="AK27" s="62">
        <f t="shared" si="55"/>
        <v>0</v>
      </c>
      <c r="AL27" s="62">
        <f t="shared" si="55"/>
        <v>0</v>
      </c>
      <c r="AM27" s="62">
        <f t="shared" si="56"/>
        <v>0</v>
      </c>
      <c r="AN27" s="62">
        <f t="shared" si="56"/>
        <v>0</v>
      </c>
      <c r="AO27" s="62">
        <f t="shared" si="56"/>
        <v>0</v>
      </c>
      <c r="AP27" s="62">
        <f t="shared" si="56"/>
        <v>0</v>
      </c>
      <c r="AQ27" s="62">
        <f t="shared" si="56"/>
        <v>0</v>
      </c>
      <c r="AR27" s="62">
        <f t="shared" si="56"/>
        <v>0</v>
      </c>
      <c r="AS27" s="62">
        <f t="shared" si="56"/>
        <v>0</v>
      </c>
      <c r="AT27" s="62">
        <f t="shared" si="56"/>
        <v>0</v>
      </c>
      <c r="AU27" s="62">
        <f t="shared" si="56"/>
        <v>0</v>
      </c>
      <c r="AV27" s="62">
        <f t="shared" si="56"/>
        <v>0</v>
      </c>
      <c r="AW27" s="62">
        <f t="shared" si="56"/>
        <v>0</v>
      </c>
      <c r="AX27" s="62">
        <f t="shared" si="56"/>
        <v>0</v>
      </c>
      <c r="AY27" s="62">
        <f t="shared" si="56"/>
        <v>0</v>
      </c>
      <c r="AZ27" s="62">
        <f t="shared" si="56"/>
        <v>0</v>
      </c>
      <c r="BA27" s="62">
        <f t="shared" si="56"/>
        <v>0</v>
      </c>
      <c r="BB27" s="79">
        <f t="shared" si="56"/>
        <v>0</v>
      </c>
      <c r="BC27" s="354"/>
      <c r="BE27" s="380"/>
      <c r="BF27" s="353">
        <v>0</v>
      </c>
      <c r="BG27" s="353" t="s">
        <v>55</v>
      </c>
    </row>
    <row r="28" spans="1:65" ht="14.4" x14ac:dyDescent="0.3">
      <c r="B28" s="364"/>
      <c r="C28" s="9" t="s">
        <v>163</v>
      </c>
      <c r="D28" s="365"/>
      <c r="E28" s="351"/>
      <c r="F28" s="62">
        <f t="shared" si="53"/>
        <v>0</v>
      </c>
      <c r="G28" s="62">
        <f t="shared" si="54"/>
        <v>0</v>
      </c>
      <c r="H28" s="62">
        <f t="shared" si="54"/>
        <v>0</v>
      </c>
      <c r="I28" s="62">
        <f t="shared" si="54"/>
        <v>0</v>
      </c>
      <c r="J28" s="62">
        <f t="shared" si="54"/>
        <v>0</v>
      </c>
      <c r="K28" s="62">
        <f t="shared" si="54"/>
        <v>0</v>
      </c>
      <c r="L28" s="62">
        <f t="shared" si="54"/>
        <v>0</v>
      </c>
      <c r="M28" s="62">
        <f t="shared" si="54"/>
        <v>0</v>
      </c>
      <c r="N28" s="62">
        <f t="shared" si="54"/>
        <v>0</v>
      </c>
      <c r="O28" s="62">
        <f t="shared" si="54"/>
        <v>0</v>
      </c>
      <c r="P28" s="62">
        <f t="shared" si="54"/>
        <v>0</v>
      </c>
      <c r="Q28" s="62">
        <f t="shared" si="54"/>
        <v>0</v>
      </c>
      <c r="R28" s="62">
        <f t="shared" si="54"/>
        <v>0</v>
      </c>
      <c r="S28" s="62">
        <f t="shared" si="54"/>
        <v>0</v>
      </c>
      <c r="T28" s="62">
        <f t="shared" si="54"/>
        <v>0</v>
      </c>
      <c r="U28" s="62">
        <f t="shared" si="54"/>
        <v>0</v>
      </c>
      <c r="V28" s="62">
        <f t="shared" si="54"/>
        <v>0</v>
      </c>
      <c r="W28" s="62">
        <f t="shared" si="55"/>
        <v>0</v>
      </c>
      <c r="X28" s="62">
        <f t="shared" si="55"/>
        <v>0</v>
      </c>
      <c r="Y28" s="62">
        <f t="shared" si="55"/>
        <v>0</v>
      </c>
      <c r="Z28" s="62">
        <f t="shared" si="55"/>
        <v>0</v>
      </c>
      <c r="AA28" s="62">
        <f t="shared" si="55"/>
        <v>0</v>
      </c>
      <c r="AB28" s="62">
        <f t="shared" si="55"/>
        <v>0</v>
      </c>
      <c r="AC28" s="62">
        <f t="shared" si="55"/>
        <v>0</v>
      </c>
      <c r="AD28" s="62">
        <f t="shared" si="55"/>
        <v>0</v>
      </c>
      <c r="AE28" s="62">
        <f t="shared" si="55"/>
        <v>0</v>
      </c>
      <c r="AF28" s="62">
        <f t="shared" si="55"/>
        <v>0</v>
      </c>
      <c r="AG28" s="62">
        <f t="shared" si="55"/>
        <v>0</v>
      </c>
      <c r="AH28" s="62">
        <f t="shared" si="55"/>
        <v>0</v>
      </c>
      <c r="AI28" s="62">
        <f t="shared" si="55"/>
        <v>0</v>
      </c>
      <c r="AJ28" s="62">
        <f t="shared" si="55"/>
        <v>0</v>
      </c>
      <c r="AK28" s="62">
        <f t="shared" si="55"/>
        <v>0</v>
      </c>
      <c r="AL28" s="62">
        <f t="shared" si="55"/>
        <v>0</v>
      </c>
      <c r="AM28" s="62">
        <f t="shared" si="56"/>
        <v>0</v>
      </c>
      <c r="AN28" s="62">
        <f t="shared" si="56"/>
        <v>0</v>
      </c>
      <c r="AO28" s="62">
        <f t="shared" si="56"/>
        <v>0</v>
      </c>
      <c r="AP28" s="62">
        <f t="shared" si="56"/>
        <v>0</v>
      </c>
      <c r="AQ28" s="62">
        <f t="shared" si="56"/>
        <v>0</v>
      </c>
      <c r="AR28" s="62">
        <f t="shared" si="56"/>
        <v>0</v>
      </c>
      <c r="AS28" s="62">
        <f t="shared" si="56"/>
        <v>0</v>
      </c>
      <c r="AT28" s="62">
        <f t="shared" si="56"/>
        <v>0</v>
      </c>
      <c r="AU28" s="62">
        <f t="shared" si="56"/>
        <v>0</v>
      </c>
      <c r="AV28" s="62">
        <f t="shared" si="56"/>
        <v>0</v>
      </c>
      <c r="AW28" s="62">
        <f t="shared" si="56"/>
        <v>0</v>
      </c>
      <c r="AX28" s="62">
        <f t="shared" si="56"/>
        <v>0</v>
      </c>
      <c r="AY28" s="62">
        <f t="shared" si="56"/>
        <v>0</v>
      </c>
      <c r="AZ28" s="62">
        <f t="shared" si="56"/>
        <v>0</v>
      </c>
      <c r="BA28" s="62">
        <f t="shared" si="56"/>
        <v>0</v>
      </c>
      <c r="BB28" s="79">
        <f t="shared" si="56"/>
        <v>0</v>
      </c>
      <c r="BC28" s="354"/>
      <c r="BE28" s="380"/>
      <c r="BF28" s="353">
        <v>0</v>
      </c>
      <c r="BG28" s="353" t="s">
        <v>59</v>
      </c>
    </row>
    <row r="29" spans="1:65" ht="14.4" customHeight="1" x14ac:dyDescent="0.3">
      <c r="B29" s="364"/>
      <c r="C29" s="9" t="s">
        <v>164</v>
      </c>
      <c r="D29" s="365"/>
      <c r="E29" s="351"/>
      <c r="F29" s="62">
        <f t="shared" ref="F29:F36" si="57">BF29</f>
        <v>0</v>
      </c>
      <c r="G29" s="62">
        <f t="shared" si="2"/>
        <v>0</v>
      </c>
      <c r="H29" s="62">
        <f t="shared" si="0"/>
        <v>0</v>
      </c>
      <c r="I29" s="62">
        <f t="shared" si="0"/>
        <v>0</v>
      </c>
      <c r="J29" s="62">
        <f t="shared" si="0"/>
        <v>0</v>
      </c>
      <c r="K29" s="62">
        <f t="shared" si="0"/>
        <v>0</v>
      </c>
      <c r="L29" s="62">
        <f t="shared" si="0"/>
        <v>0</v>
      </c>
      <c r="M29" s="62">
        <f t="shared" si="0"/>
        <v>0</v>
      </c>
      <c r="N29" s="62">
        <f t="shared" si="0"/>
        <v>0</v>
      </c>
      <c r="O29" s="62">
        <f t="shared" si="0"/>
        <v>0</v>
      </c>
      <c r="P29" s="62">
        <f t="shared" si="0"/>
        <v>0</v>
      </c>
      <c r="Q29" s="62">
        <f t="shared" si="0"/>
        <v>0</v>
      </c>
      <c r="R29" s="62">
        <f t="shared" si="0"/>
        <v>0</v>
      </c>
      <c r="S29" s="62">
        <f t="shared" si="0"/>
        <v>0</v>
      </c>
      <c r="T29" s="62">
        <f t="shared" si="0"/>
        <v>0</v>
      </c>
      <c r="U29" s="62">
        <f t="shared" si="0"/>
        <v>0</v>
      </c>
      <c r="V29" s="62">
        <f t="shared" si="0"/>
        <v>0</v>
      </c>
      <c r="W29" s="62">
        <f t="shared" si="0"/>
        <v>0</v>
      </c>
      <c r="X29" s="62">
        <f t="shared" si="0"/>
        <v>0</v>
      </c>
      <c r="Y29" s="62">
        <f t="shared" si="0"/>
        <v>0</v>
      </c>
      <c r="Z29" s="62">
        <f t="shared" si="0"/>
        <v>0</v>
      </c>
      <c r="AA29" s="62">
        <f t="shared" si="0"/>
        <v>0</v>
      </c>
      <c r="AB29" s="62">
        <f t="shared" si="0"/>
        <v>0</v>
      </c>
      <c r="AC29" s="62">
        <f t="shared" si="0"/>
        <v>0</v>
      </c>
      <c r="AD29" s="62">
        <f t="shared" si="0"/>
        <v>0</v>
      </c>
      <c r="AE29" s="62">
        <f t="shared" si="0"/>
        <v>0</v>
      </c>
      <c r="AF29" s="62">
        <f t="shared" si="0"/>
        <v>0</v>
      </c>
      <c r="AG29" s="62">
        <f t="shared" si="0"/>
        <v>0</v>
      </c>
      <c r="AH29" s="62">
        <f t="shared" si="0"/>
        <v>0</v>
      </c>
      <c r="AI29" s="62">
        <f t="shared" si="0"/>
        <v>0</v>
      </c>
      <c r="AJ29" s="62">
        <f t="shared" si="0"/>
        <v>0</v>
      </c>
      <c r="AK29" s="62">
        <f t="shared" si="0"/>
        <v>0</v>
      </c>
      <c r="AL29" s="62">
        <f t="shared" si="0"/>
        <v>0</v>
      </c>
      <c r="AM29" s="62">
        <f t="shared" si="0"/>
        <v>0</v>
      </c>
      <c r="AN29" s="62">
        <f t="shared" si="0"/>
        <v>0</v>
      </c>
      <c r="AO29" s="62">
        <f t="shared" si="0"/>
        <v>0</v>
      </c>
      <c r="AP29" s="62">
        <f t="shared" si="0"/>
        <v>0</v>
      </c>
      <c r="AQ29" s="62">
        <f t="shared" si="0"/>
        <v>0</v>
      </c>
      <c r="AR29" s="62">
        <f t="shared" si="0"/>
        <v>0</v>
      </c>
      <c r="AS29" s="62">
        <f t="shared" si="0"/>
        <v>0</v>
      </c>
      <c r="AT29" s="62">
        <f t="shared" si="0"/>
        <v>0</v>
      </c>
      <c r="AU29" s="62">
        <f t="shared" si="0"/>
        <v>0</v>
      </c>
      <c r="AV29" s="62">
        <f t="shared" si="0"/>
        <v>0</v>
      </c>
      <c r="AW29" s="62">
        <f t="shared" si="0"/>
        <v>0</v>
      </c>
      <c r="AX29" s="62">
        <f t="shared" si="0"/>
        <v>0</v>
      </c>
      <c r="AY29" s="62">
        <f t="shared" si="0"/>
        <v>0</v>
      </c>
      <c r="AZ29" s="62">
        <f t="shared" si="0"/>
        <v>0</v>
      </c>
      <c r="BA29" s="62">
        <f t="shared" si="0"/>
        <v>0</v>
      </c>
      <c r="BB29" s="79">
        <f t="shared" si="0"/>
        <v>0</v>
      </c>
      <c r="BC29" s="354"/>
      <c r="BE29" s="380"/>
      <c r="BF29" s="353">
        <v>0</v>
      </c>
      <c r="BG29" s="353" t="s">
        <v>59</v>
      </c>
    </row>
    <row r="30" spans="1:65" ht="14.4" x14ac:dyDescent="0.3">
      <c r="B30" s="364"/>
      <c r="C30" s="9" t="s">
        <v>165</v>
      </c>
      <c r="D30" s="365"/>
      <c r="E30" s="351"/>
      <c r="F30" s="62">
        <f t="shared" si="57"/>
        <v>0</v>
      </c>
      <c r="G30" s="62">
        <f t="shared" si="2"/>
        <v>0</v>
      </c>
      <c r="H30" s="62">
        <f t="shared" si="0"/>
        <v>0</v>
      </c>
      <c r="I30" s="62">
        <f t="shared" si="0"/>
        <v>0</v>
      </c>
      <c r="J30" s="62">
        <f t="shared" si="0"/>
        <v>0</v>
      </c>
      <c r="K30" s="62">
        <f t="shared" si="0"/>
        <v>0</v>
      </c>
      <c r="L30" s="62">
        <f t="shared" si="0"/>
        <v>0</v>
      </c>
      <c r="M30" s="62">
        <f t="shared" si="0"/>
        <v>0</v>
      </c>
      <c r="N30" s="62">
        <f t="shared" si="0"/>
        <v>0</v>
      </c>
      <c r="O30" s="62">
        <f t="shared" si="0"/>
        <v>0</v>
      </c>
      <c r="P30" s="62">
        <f t="shared" si="0"/>
        <v>0</v>
      </c>
      <c r="Q30" s="62">
        <f t="shared" si="0"/>
        <v>0</v>
      </c>
      <c r="R30" s="62">
        <f t="shared" si="0"/>
        <v>0</v>
      </c>
      <c r="S30" s="62">
        <f t="shared" si="0"/>
        <v>0</v>
      </c>
      <c r="T30" s="62">
        <f t="shared" si="0"/>
        <v>0</v>
      </c>
      <c r="U30" s="62">
        <f t="shared" si="0"/>
        <v>0</v>
      </c>
      <c r="V30" s="62">
        <f t="shared" si="0"/>
        <v>0</v>
      </c>
      <c r="W30" s="62">
        <f t="shared" si="0"/>
        <v>0</v>
      </c>
      <c r="X30" s="62">
        <f t="shared" si="0"/>
        <v>0</v>
      </c>
      <c r="Y30" s="62">
        <f t="shared" si="0"/>
        <v>0</v>
      </c>
      <c r="Z30" s="62">
        <f t="shared" si="0"/>
        <v>0</v>
      </c>
      <c r="AA30" s="62">
        <f t="shared" si="0"/>
        <v>0</v>
      </c>
      <c r="AB30" s="62">
        <f t="shared" si="0"/>
        <v>0</v>
      </c>
      <c r="AC30" s="62">
        <f t="shared" si="0"/>
        <v>0</v>
      </c>
      <c r="AD30" s="62">
        <f t="shared" si="0"/>
        <v>0</v>
      </c>
      <c r="AE30" s="62">
        <f t="shared" si="0"/>
        <v>0</v>
      </c>
      <c r="AF30" s="62">
        <f t="shared" si="0"/>
        <v>0</v>
      </c>
      <c r="AG30" s="62">
        <f t="shared" si="0"/>
        <v>0</v>
      </c>
      <c r="AH30" s="62">
        <f t="shared" si="0"/>
        <v>0</v>
      </c>
      <c r="AI30" s="62">
        <f t="shared" si="0"/>
        <v>0</v>
      </c>
      <c r="AJ30" s="62">
        <f t="shared" si="0"/>
        <v>0</v>
      </c>
      <c r="AK30" s="62">
        <f t="shared" si="0"/>
        <v>0</v>
      </c>
      <c r="AL30" s="62">
        <f t="shared" si="0"/>
        <v>0</v>
      </c>
      <c r="AM30" s="62">
        <f t="shared" si="0"/>
        <v>0</v>
      </c>
      <c r="AN30" s="62">
        <f t="shared" si="0"/>
        <v>0</v>
      </c>
      <c r="AO30" s="62">
        <f t="shared" si="0"/>
        <v>0</v>
      </c>
      <c r="AP30" s="62">
        <f t="shared" si="0"/>
        <v>0</v>
      </c>
      <c r="AQ30" s="62">
        <f t="shared" si="0"/>
        <v>0</v>
      </c>
      <c r="AR30" s="62">
        <f t="shared" si="0"/>
        <v>0</v>
      </c>
      <c r="AS30" s="62">
        <f t="shared" si="0"/>
        <v>0</v>
      </c>
      <c r="AT30" s="62">
        <f t="shared" si="0"/>
        <v>0</v>
      </c>
      <c r="AU30" s="62">
        <f t="shared" si="0"/>
        <v>0</v>
      </c>
      <c r="AV30" s="62">
        <f t="shared" si="0"/>
        <v>0</v>
      </c>
      <c r="AW30" s="62">
        <f t="shared" si="0"/>
        <v>0</v>
      </c>
      <c r="AX30" s="62">
        <f t="shared" si="0"/>
        <v>0</v>
      </c>
      <c r="AY30" s="62">
        <f t="shared" si="0"/>
        <v>0</v>
      </c>
      <c r="AZ30" s="62">
        <f t="shared" si="0"/>
        <v>0</v>
      </c>
      <c r="BA30" s="62">
        <f t="shared" si="0"/>
        <v>0</v>
      </c>
      <c r="BB30" s="79">
        <f t="shared" si="0"/>
        <v>0</v>
      </c>
      <c r="BC30" s="354"/>
      <c r="BE30" s="380"/>
      <c r="BF30" s="353">
        <v>0</v>
      </c>
      <c r="BG30" s="353" t="s">
        <v>59</v>
      </c>
    </row>
    <row r="31" spans="1:65" ht="14.4" x14ac:dyDescent="0.3">
      <c r="B31" s="364"/>
      <c r="C31" s="9" t="s">
        <v>166</v>
      </c>
      <c r="D31" s="365"/>
      <c r="E31" s="351"/>
      <c r="F31" s="62">
        <f t="shared" si="57"/>
        <v>0</v>
      </c>
      <c r="G31" s="62">
        <f t="shared" si="2"/>
        <v>0</v>
      </c>
      <c r="H31" s="62">
        <f t="shared" si="0"/>
        <v>0</v>
      </c>
      <c r="I31" s="62">
        <f t="shared" si="0"/>
        <v>0</v>
      </c>
      <c r="J31" s="62">
        <f t="shared" si="0"/>
        <v>0</v>
      </c>
      <c r="K31" s="62">
        <f t="shared" si="0"/>
        <v>0</v>
      </c>
      <c r="L31" s="62">
        <f t="shared" si="0"/>
        <v>0</v>
      </c>
      <c r="M31" s="62">
        <f t="shared" si="0"/>
        <v>0</v>
      </c>
      <c r="N31" s="62">
        <f t="shared" si="0"/>
        <v>0</v>
      </c>
      <c r="O31" s="62">
        <f t="shared" si="0"/>
        <v>0</v>
      </c>
      <c r="P31" s="62">
        <f t="shared" si="0"/>
        <v>0</v>
      </c>
      <c r="Q31" s="62">
        <f t="shared" si="0"/>
        <v>0</v>
      </c>
      <c r="R31" s="62">
        <f t="shared" si="0"/>
        <v>0</v>
      </c>
      <c r="S31" s="62">
        <f t="shared" si="0"/>
        <v>0</v>
      </c>
      <c r="T31" s="62">
        <f t="shared" si="0"/>
        <v>0</v>
      </c>
      <c r="U31" s="62">
        <f t="shared" si="0"/>
        <v>0</v>
      </c>
      <c r="V31" s="62">
        <f t="shared" si="0"/>
        <v>0</v>
      </c>
      <c r="W31" s="62">
        <f t="shared" si="0"/>
        <v>0</v>
      </c>
      <c r="X31" s="62">
        <f t="shared" si="0"/>
        <v>0</v>
      </c>
      <c r="Y31" s="62">
        <f t="shared" si="0"/>
        <v>0</v>
      </c>
      <c r="Z31" s="62">
        <f t="shared" si="0"/>
        <v>0</v>
      </c>
      <c r="AA31" s="62">
        <f t="shared" si="0"/>
        <v>0</v>
      </c>
      <c r="AB31" s="62">
        <f t="shared" si="0"/>
        <v>0</v>
      </c>
      <c r="AC31" s="62">
        <f t="shared" si="0"/>
        <v>0</v>
      </c>
      <c r="AD31" s="62">
        <f t="shared" si="0"/>
        <v>0</v>
      </c>
      <c r="AE31" s="62">
        <f t="shared" si="0"/>
        <v>0</v>
      </c>
      <c r="AF31" s="62">
        <f t="shared" si="0"/>
        <v>0</v>
      </c>
      <c r="AG31" s="62">
        <f t="shared" si="0"/>
        <v>0</v>
      </c>
      <c r="AH31" s="62">
        <f t="shared" si="0"/>
        <v>0</v>
      </c>
      <c r="AI31" s="62">
        <f t="shared" si="0"/>
        <v>0</v>
      </c>
      <c r="AJ31" s="62">
        <f t="shared" si="0"/>
        <v>0</v>
      </c>
      <c r="AK31" s="62">
        <f t="shared" si="0"/>
        <v>0</v>
      </c>
      <c r="AL31" s="62">
        <f t="shared" si="0"/>
        <v>0</v>
      </c>
      <c r="AM31" s="62">
        <f t="shared" ref="AM31" si="58">AL31+$BF31</f>
        <v>0</v>
      </c>
      <c r="AN31" s="62">
        <f t="shared" ref="AN31" si="59">AM31+$BF31</f>
        <v>0</v>
      </c>
      <c r="AO31" s="62">
        <f t="shared" ref="AO31" si="60">AN31+$BF31</f>
        <v>0</v>
      </c>
      <c r="AP31" s="62">
        <f t="shared" ref="AP31" si="61">AO31+$BF31</f>
        <v>0</v>
      </c>
      <c r="AQ31" s="62">
        <f t="shared" ref="AQ31" si="62">AP31+$BF31</f>
        <v>0</v>
      </c>
      <c r="AR31" s="62">
        <f t="shared" ref="AR31" si="63">AQ31+$BF31</f>
        <v>0</v>
      </c>
      <c r="AS31" s="62">
        <f t="shared" ref="AS31" si="64">AR31+$BF31</f>
        <v>0</v>
      </c>
      <c r="AT31" s="62">
        <f t="shared" ref="AT31" si="65">AS31+$BF31</f>
        <v>0</v>
      </c>
      <c r="AU31" s="62">
        <f t="shared" ref="AU31" si="66">AT31+$BF31</f>
        <v>0</v>
      </c>
      <c r="AV31" s="62">
        <f t="shared" ref="AV31" si="67">AU31+$BF31</f>
        <v>0</v>
      </c>
      <c r="AW31" s="62">
        <f t="shared" ref="AW31" si="68">AV31+$BF31</f>
        <v>0</v>
      </c>
      <c r="AX31" s="62">
        <f t="shared" ref="AX31" si="69">AW31+$BF31</f>
        <v>0</v>
      </c>
      <c r="AY31" s="62">
        <f t="shared" ref="AY31" si="70">AX31+$BF31</f>
        <v>0</v>
      </c>
      <c r="AZ31" s="62">
        <f t="shared" ref="AZ31" si="71">AY31+$BF31</f>
        <v>0</v>
      </c>
      <c r="BA31" s="62">
        <f t="shared" ref="BA31" si="72">AZ31+$BF31</f>
        <v>0</v>
      </c>
      <c r="BB31" s="79">
        <f t="shared" ref="BB31" si="73">BA31+$BF31</f>
        <v>0</v>
      </c>
      <c r="BC31" s="354"/>
      <c r="BE31" s="380"/>
      <c r="BF31" s="353">
        <v>0</v>
      </c>
      <c r="BG31" s="353" t="s">
        <v>59</v>
      </c>
    </row>
    <row r="32" spans="1:65" ht="14.4" x14ac:dyDescent="0.3">
      <c r="B32" s="364"/>
      <c r="C32" s="9" t="s">
        <v>167</v>
      </c>
      <c r="D32" s="365"/>
      <c r="E32" s="351"/>
      <c r="F32" s="62">
        <f t="shared" si="57"/>
        <v>0</v>
      </c>
      <c r="G32" s="62">
        <f t="shared" si="2"/>
        <v>0</v>
      </c>
      <c r="H32" s="62">
        <f t="shared" ref="H32:BB54" si="74">G32+$BF32</f>
        <v>0</v>
      </c>
      <c r="I32" s="62">
        <f t="shared" si="74"/>
        <v>0</v>
      </c>
      <c r="J32" s="62">
        <f t="shared" si="74"/>
        <v>0</v>
      </c>
      <c r="K32" s="62">
        <f t="shared" si="74"/>
        <v>0</v>
      </c>
      <c r="L32" s="62">
        <f t="shared" si="74"/>
        <v>0</v>
      </c>
      <c r="M32" s="62">
        <f t="shared" si="74"/>
        <v>0</v>
      </c>
      <c r="N32" s="62">
        <f t="shared" si="74"/>
        <v>0</v>
      </c>
      <c r="O32" s="62">
        <f t="shared" si="74"/>
        <v>0</v>
      </c>
      <c r="P32" s="62">
        <f t="shared" si="74"/>
        <v>0</v>
      </c>
      <c r="Q32" s="62">
        <f t="shared" si="74"/>
        <v>0</v>
      </c>
      <c r="R32" s="62">
        <f t="shared" si="74"/>
        <v>0</v>
      </c>
      <c r="S32" s="62">
        <f t="shared" si="74"/>
        <v>0</v>
      </c>
      <c r="T32" s="62">
        <f t="shared" si="74"/>
        <v>0</v>
      </c>
      <c r="U32" s="62">
        <f t="shared" si="74"/>
        <v>0</v>
      </c>
      <c r="V32" s="62">
        <f t="shared" si="74"/>
        <v>0</v>
      </c>
      <c r="W32" s="62">
        <f t="shared" si="74"/>
        <v>0</v>
      </c>
      <c r="X32" s="62">
        <f t="shared" si="74"/>
        <v>0</v>
      </c>
      <c r="Y32" s="62">
        <f t="shared" si="74"/>
        <v>0</v>
      </c>
      <c r="Z32" s="62">
        <f t="shared" si="74"/>
        <v>0</v>
      </c>
      <c r="AA32" s="62">
        <f t="shared" si="74"/>
        <v>0</v>
      </c>
      <c r="AB32" s="62">
        <f t="shared" si="74"/>
        <v>0</v>
      </c>
      <c r="AC32" s="62">
        <f t="shared" si="74"/>
        <v>0</v>
      </c>
      <c r="AD32" s="62">
        <f t="shared" si="74"/>
        <v>0</v>
      </c>
      <c r="AE32" s="62">
        <f t="shared" si="74"/>
        <v>0</v>
      </c>
      <c r="AF32" s="62">
        <f t="shared" si="74"/>
        <v>0</v>
      </c>
      <c r="AG32" s="62">
        <f t="shared" si="74"/>
        <v>0</v>
      </c>
      <c r="AH32" s="62">
        <f t="shared" si="74"/>
        <v>0</v>
      </c>
      <c r="AI32" s="62">
        <f t="shared" si="74"/>
        <v>0</v>
      </c>
      <c r="AJ32" s="62">
        <f t="shared" si="74"/>
        <v>0</v>
      </c>
      <c r="AK32" s="62">
        <f t="shared" si="74"/>
        <v>0</v>
      </c>
      <c r="AL32" s="62">
        <f t="shared" si="74"/>
        <v>0</v>
      </c>
      <c r="AM32" s="62">
        <f t="shared" si="74"/>
        <v>0</v>
      </c>
      <c r="AN32" s="62">
        <f t="shared" si="74"/>
        <v>0</v>
      </c>
      <c r="AO32" s="62">
        <f t="shared" si="74"/>
        <v>0</v>
      </c>
      <c r="AP32" s="62">
        <f t="shared" si="74"/>
        <v>0</v>
      </c>
      <c r="AQ32" s="62">
        <f t="shared" si="74"/>
        <v>0</v>
      </c>
      <c r="AR32" s="62">
        <f t="shared" si="74"/>
        <v>0</v>
      </c>
      <c r="AS32" s="62">
        <f t="shared" si="74"/>
        <v>0</v>
      </c>
      <c r="AT32" s="62">
        <f t="shared" si="74"/>
        <v>0</v>
      </c>
      <c r="AU32" s="62">
        <f t="shared" si="74"/>
        <v>0</v>
      </c>
      <c r="AV32" s="62">
        <f t="shared" si="74"/>
        <v>0</v>
      </c>
      <c r="AW32" s="62">
        <f t="shared" si="74"/>
        <v>0</v>
      </c>
      <c r="AX32" s="62">
        <f t="shared" si="74"/>
        <v>0</v>
      </c>
      <c r="AY32" s="62">
        <f t="shared" si="74"/>
        <v>0</v>
      </c>
      <c r="AZ32" s="62">
        <f t="shared" si="74"/>
        <v>0</v>
      </c>
      <c r="BA32" s="62">
        <f t="shared" si="74"/>
        <v>0</v>
      </c>
      <c r="BB32" s="79">
        <f t="shared" si="74"/>
        <v>0</v>
      </c>
      <c r="BC32" s="354"/>
      <c r="BE32" s="380"/>
      <c r="BF32" s="353">
        <v>0</v>
      </c>
      <c r="BG32" s="353" t="s">
        <v>59</v>
      </c>
    </row>
    <row r="33" spans="1:65" ht="14.4" x14ac:dyDescent="0.3">
      <c r="B33" s="364"/>
      <c r="C33" s="9" t="s">
        <v>168</v>
      </c>
      <c r="D33" s="365"/>
      <c r="E33" s="351"/>
      <c r="F33" s="62">
        <f t="shared" si="57"/>
        <v>0</v>
      </c>
      <c r="G33" s="62">
        <f t="shared" si="2"/>
        <v>0</v>
      </c>
      <c r="H33" s="62">
        <f t="shared" si="74"/>
        <v>0</v>
      </c>
      <c r="I33" s="62">
        <f t="shared" si="74"/>
        <v>0</v>
      </c>
      <c r="J33" s="62">
        <f t="shared" si="74"/>
        <v>0</v>
      </c>
      <c r="K33" s="62">
        <f t="shared" si="74"/>
        <v>0</v>
      </c>
      <c r="L33" s="62">
        <f t="shared" si="74"/>
        <v>0</v>
      </c>
      <c r="M33" s="62">
        <f t="shared" si="74"/>
        <v>0</v>
      </c>
      <c r="N33" s="62">
        <f t="shared" si="74"/>
        <v>0</v>
      </c>
      <c r="O33" s="62">
        <f t="shared" si="74"/>
        <v>0</v>
      </c>
      <c r="P33" s="62">
        <f t="shared" si="74"/>
        <v>0</v>
      </c>
      <c r="Q33" s="62">
        <f t="shared" si="74"/>
        <v>0</v>
      </c>
      <c r="R33" s="62">
        <f t="shared" si="74"/>
        <v>0</v>
      </c>
      <c r="S33" s="62">
        <f t="shared" si="74"/>
        <v>0</v>
      </c>
      <c r="T33" s="62">
        <f t="shared" si="74"/>
        <v>0</v>
      </c>
      <c r="U33" s="62">
        <f t="shared" si="74"/>
        <v>0</v>
      </c>
      <c r="V33" s="62">
        <f t="shared" si="74"/>
        <v>0</v>
      </c>
      <c r="W33" s="62">
        <f t="shared" si="74"/>
        <v>0</v>
      </c>
      <c r="X33" s="62">
        <f t="shared" si="74"/>
        <v>0</v>
      </c>
      <c r="Y33" s="62">
        <f t="shared" si="74"/>
        <v>0</v>
      </c>
      <c r="Z33" s="62">
        <f t="shared" si="74"/>
        <v>0</v>
      </c>
      <c r="AA33" s="62">
        <f t="shared" si="74"/>
        <v>0</v>
      </c>
      <c r="AB33" s="62">
        <f t="shared" si="74"/>
        <v>0</v>
      </c>
      <c r="AC33" s="62">
        <f t="shared" si="74"/>
        <v>0</v>
      </c>
      <c r="AD33" s="62">
        <f t="shared" si="74"/>
        <v>0</v>
      </c>
      <c r="AE33" s="62">
        <f t="shared" si="74"/>
        <v>0</v>
      </c>
      <c r="AF33" s="62">
        <f t="shared" si="74"/>
        <v>0</v>
      </c>
      <c r="AG33" s="62">
        <f t="shared" si="74"/>
        <v>0</v>
      </c>
      <c r="AH33" s="62">
        <f t="shared" si="74"/>
        <v>0</v>
      </c>
      <c r="AI33" s="62">
        <f t="shared" si="74"/>
        <v>0</v>
      </c>
      <c r="AJ33" s="62">
        <f t="shared" si="74"/>
        <v>0</v>
      </c>
      <c r="AK33" s="62">
        <f t="shared" si="74"/>
        <v>0</v>
      </c>
      <c r="AL33" s="62">
        <f t="shared" si="74"/>
        <v>0</v>
      </c>
      <c r="AM33" s="62">
        <f t="shared" si="74"/>
        <v>0</v>
      </c>
      <c r="AN33" s="62">
        <f t="shared" si="74"/>
        <v>0</v>
      </c>
      <c r="AO33" s="62">
        <f t="shared" si="74"/>
        <v>0</v>
      </c>
      <c r="AP33" s="62">
        <f t="shared" si="74"/>
        <v>0</v>
      </c>
      <c r="AQ33" s="62">
        <f t="shared" si="74"/>
        <v>0</v>
      </c>
      <c r="AR33" s="62">
        <f t="shared" si="74"/>
        <v>0</v>
      </c>
      <c r="AS33" s="62">
        <f t="shared" si="74"/>
        <v>0</v>
      </c>
      <c r="AT33" s="62">
        <f t="shared" si="74"/>
        <v>0</v>
      </c>
      <c r="AU33" s="62">
        <f t="shared" si="74"/>
        <v>0</v>
      </c>
      <c r="AV33" s="62">
        <f t="shared" si="74"/>
        <v>0</v>
      </c>
      <c r="AW33" s="62">
        <f t="shared" si="74"/>
        <v>0</v>
      </c>
      <c r="AX33" s="62">
        <f t="shared" si="74"/>
        <v>0</v>
      </c>
      <c r="AY33" s="62">
        <f t="shared" si="74"/>
        <v>0</v>
      </c>
      <c r="AZ33" s="62">
        <f t="shared" si="74"/>
        <v>0</v>
      </c>
      <c r="BA33" s="62">
        <f t="shared" si="74"/>
        <v>0</v>
      </c>
      <c r="BB33" s="79">
        <f t="shared" si="74"/>
        <v>0</v>
      </c>
      <c r="BC33" s="354"/>
      <c r="BE33" s="380"/>
      <c r="BF33" s="353">
        <v>0</v>
      </c>
      <c r="BG33" s="353" t="s">
        <v>59</v>
      </c>
    </row>
    <row r="34" spans="1:65" ht="14.4" x14ac:dyDescent="0.3">
      <c r="B34" s="364"/>
      <c r="C34" s="9" t="s">
        <v>169</v>
      </c>
      <c r="D34" s="365"/>
      <c r="E34" s="351"/>
      <c r="F34" s="62">
        <f t="shared" si="57"/>
        <v>0</v>
      </c>
      <c r="G34" s="62">
        <f t="shared" si="2"/>
        <v>0</v>
      </c>
      <c r="H34" s="62">
        <f t="shared" si="74"/>
        <v>0</v>
      </c>
      <c r="I34" s="62">
        <f t="shared" si="74"/>
        <v>0</v>
      </c>
      <c r="J34" s="62">
        <f t="shared" si="74"/>
        <v>0</v>
      </c>
      <c r="K34" s="62">
        <f t="shared" si="74"/>
        <v>0</v>
      </c>
      <c r="L34" s="62">
        <f t="shared" si="74"/>
        <v>0</v>
      </c>
      <c r="M34" s="62">
        <f t="shared" si="74"/>
        <v>0</v>
      </c>
      <c r="N34" s="62">
        <f t="shared" si="74"/>
        <v>0</v>
      </c>
      <c r="O34" s="62">
        <f t="shared" si="74"/>
        <v>0</v>
      </c>
      <c r="P34" s="62">
        <f t="shared" si="74"/>
        <v>0</v>
      </c>
      <c r="Q34" s="62">
        <f t="shared" si="74"/>
        <v>0</v>
      </c>
      <c r="R34" s="62">
        <f t="shared" si="74"/>
        <v>0</v>
      </c>
      <c r="S34" s="62">
        <f t="shared" si="74"/>
        <v>0</v>
      </c>
      <c r="T34" s="62">
        <f t="shared" si="74"/>
        <v>0</v>
      </c>
      <c r="U34" s="62">
        <f t="shared" si="74"/>
        <v>0</v>
      </c>
      <c r="V34" s="62">
        <f t="shared" si="74"/>
        <v>0</v>
      </c>
      <c r="W34" s="62">
        <f t="shared" si="74"/>
        <v>0</v>
      </c>
      <c r="X34" s="62">
        <f t="shared" si="74"/>
        <v>0</v>
      </c>
      <c r="Y34" s="62">
        <f t="shared" si="74"/>
        <v>0</v>
      </c>
      <c r="Z34" s="62">
        <f t="shared" si="74"/>
        <v>0</v>
      </c>
      <c r="AA34" s="62">
        <f t="shared" si="74"/>
        <v>0</v>
      </c>
      <c r="AB34" s="62">
        <f t="shared" si="74"/>
        <v>0</v>
      </c>
      <c r="AC34" s="62">
        <f t="shared" si="74"/>
        <v>0</v>
      </c>
      <c r="AD34" s="62">
        <f t="shared" si="74"/>
        <v>0</v>
      </c>
      <c r="AE34" s="62">
        <f t="shared" si="74"/>
        <v>0</v>
      </c>
      <c r="AF34" s="62">
        <f t="shared" si="74"/>
        <v>0</v>
      </c>
      <c r="AG34" s="62">
        <f t="shared" si="74"/>
        <v>0</v>
      </c>
      <c r="AH34" s="62">
        <f t="shared" si="74"/>
        <v>0</v>
      </c>
      <c r="AI34" s="62">
        <f t="shared" si="74"/>
        <v>0</v>
      </c>
      <c r="AJ34" s="62">
        <f t="shared" si="74"/>
        <v>0</v>
      </c>
      <c r="AK34" s="62">
        <f t="shared" si="74"/>
        <v>0</v>
      </c>
      <c r="AL34" s="62">
        <f t="shared" si="74"/>
        <v>0</v>
      </c>
      <c r="AM34" s="62">
        <f t="shared" si="74"/>
        <v>0</v>
      </c>
      <c r="AN34" s="62">
        <f t="shared" si="74"/>
        <v>0</v>
      </c>
      <c r="AO34" s="62">
        <f t="shared" si="74"/>
        <v>0</v>
      </c>
      <c r="AP34" s="62">
        <f t="shared" si="74"/>
        <v>0</v>
      </c>
      <c r="AQ34" s="62">
        <f t="shared" si="74"/>
        <v>0</v>
      </c>
      <c r="AR34" s="62">
        <f t="shared" si="74"/>
        <v>0</v>
      </c>
      <c r="AS34" s="62">
        <f t="shared" si="74"/>
        <v>0</v>
      </c>
      <c r="AT34" s="62">
        <f t="shared" si="74"/>
        <v>0</v>
      </c>
      <c r="AU34" s="62">
        <f t="shared" si="74"/>
        <v>0</v>
      </c>
      <c r="AV34" s="62">
        <f t="shared" si="74"/>
        <v>0</v>
      </c>
      <c r="AW34" s="62">
        <f t="shared" si="74"/>
        <v>0</v>
      </c>
      <c r="AX34" s="62">
        <f t="shared" si="74"/>
        <v>0</v>
      </c>
      <c r="AY34" s="62">
        <f t="shared" si="74"/>
        <v>0</v>
      </c>
      <c r="AZ34" s="62">
        <f t="shared" si="74"/>
        <v>0</v>
      </c>
      <c r="BA34" s="62">
        <f t="shared" si="74"/>
        <v>0</v>
      </c>
      <c r="BB34" s="79">
        <f t="shared" si="74"/>
        <v>0</v>
      </c>
      <c r="BC34" s="354"/>
      <c r="BE34" s="380"/>
      <c r="BF34" s="353">
        <v>0</v>
      </c>
      <c r="BG34" s="353" t="s">
        <v>59</v>
      </c>
    </row>
    <row r="35" spans="1:65" ht="14.4" x14ac:dyDescent="0.3">
      <c r="B35" s="364"/>
      <c r="C35" s="9" t="s">
        <v>170</v>
      </c>
      <c r="D35" s="365"/>
      <c r="E35" s="351"/>
      <c r="F35" s="62">
        <f t="shared" si="57"/>
        <v>0</v>
      </c>
      <c r="G35" s="62">
        <f t="shared" si="2"/>
        <v>0</v>
      </c>
      <c r="H35" s="62">
        <f t="shared" si="74"/>
        <v>0</v>
      </c>
      <c r="I35" s="62">
        <f t="shared" si="74"/>
        <v>0</v>
      </c>
      <c r="J35" s="62">
        <f t="shared" si="74"/>
        <v>0</v>
      </c>
      <c r="K35" s="62">
        <f t="shared" si="74"/>
        <v>0</v>
      </c>
      <c r="L35" s="62">
        <f t="shared" si="74"/>
        <v>0</v>
      </c>
      <c r="M35" s="62">
        <f t="shared" si="74"/>
        <v>0</v>
      </c>
      <c r="N35" s="62">
        <f t="shared" si="74"/>
        <v>0</v>
      </c>
      <c r="O35" s="62">
        <f t="shared" si="74"/>
        <v>0</v>
      </c>
      <c r="P35" s="62">
        <f t="shared" si="74"/>
        <v>0</v>
      </c>
      <c r="Q35" s="62">
        <f t="shared" si="74"/>
        <v>0</v>
      </c>
      <c r="R35" s="62">
        <f t="shared" si="74"/>
        <v>0</v>
      </c>
      <c r="S35" s="62">
        <f t="shared" si="74"/>
        <v>0</v>
      </c>
      <c r="T35" s="62">
        <f t="shared" si="74"/>
        <v>0</v>
      </c>
      <c r="U35" s="62">
        <f t="shared" si="74"/>
        <v>0</v>
      </c>
      <c r="V35" s="62">
        <f t="shared" si="74"/>
        <v>0</v>
      </c>
      <c r="W35" s="62">
        <f t="shared" si="74"/>
        <v>0</v>
      </c>
      <c r="X35" s="62">
        <f t="shared" si="74"/>
        <v>0</v>
      </c>
      <c r="Y35" s="62">
        <f t="shared" si="74"/>
        <v>0</v>
      </c>
      <c r="Z35" s="62">
        <f t="shared" si="74"/>
        <v>0</v>
      </c>
      <c r="AA35" s="62">
        <f t="shared" si="74"/>
        <v>0</v>
      </c>
      <c r="AB35" s="62">
        <f t="shared" si="74"/>
        <v>0</v>
      </c>
      <c r="AC35" s="62">
        <f t="shared" si="74"/>
        <v>0</v>
      </c>
      <c r="AD35" s="62">
        <f t="shared" si="74"/>
        <v>0</v>
      </c>
      <c r="AE35" s="62">
        <f t="shared" si="74"/>
        <v>0</v>
      </c>
      <c r="AF35" s="62">
        <f t="shared" si="74"/>
        <v>0</v>
      </c>
      <c r="AG35" s="62">
        <f t="shared" si="74"/>
        <v>0</v>
      </c>
      <c r="AH35" s="62">
        <f t="shared" si="74"/>
        <v>0</v>
      </c>
      <c r="AI35" s="62">
        <f t="shared" si="74"/>
        <v>0</v>
      </c>
      <c r="AJ35" s="62">
        <f t="shared" si="74"/>
        <v>0</v>
      </c>
      <c r="AK35" s="62">
        <f t="shared" si="74"/>
        <v>0</v>
      </c>
      <c r="AL35" s="62">
        <f t="shared" si="74"/>
        <v>0</v>
      </c>
      <c r="AM35" s="62">
        <f t="shared" si="74"/>
        <v>0</v>
      </c>
      <c r="AN35" s="62">
        <f t="shared" si="74"/>
        <v>0</v>
      </c>
      <c r="AO35" s="62">
        <f t="shared" si="74"/>
        <v>0</v>
      </c>
      <c r="AP35" s="62">
        <f t="shared" si="74"/>
        <v>0</v>
      </c>
      <c r="AQ35" s="62">
        <f t="shared" si="74"/>
        <v>0</v>
      </c>
      <c r="AR35" s="62">
        <f t="shared" si="74"/>
        <v>0</v>
      </c>
      <c r="AS35" s="62">
        <f t="shared" si="74"/>
        <v>0</v>
      </c>
      <c r="AT35" s="62">
        <f t="shared" si="74"/>
        <v>0</v>
      </c>
      <c r="AU35" s="62">
        <f t="shared" si="74"/>
        <v>0</v>
      </c>
      <c r="AV35" s="62">
        <f t="shared" si="74"/>
        <v>0</v>
      </c>
      <c r="AW35" s="62">
        <f t="shared" si="74"/>
        <v>0</v>
      </c>
      <c r="AX35" s="62">
        <f t="shared" si="74"/>
        <v>0</v>
      </c>
      <c r="AY35" s="62">
        <f t="shared" si="74"/>
        <v>0</v>
      </c>
      <c r="AZ35" s="62">
        <f t="shared" si="74"/>
        <v>0</v>
      </c>
      <c r="BA35" s="62">
        <f t="shared" si="74"/>
        <v>0</v>
      </c>
      <c r="BB35" s="79">
        <f t="shared" si="74"/>
        <v>0</v>
      </c>
      <c r="BC35" s="354"/>
      <c r="BE35" s="380"/>
      <c r="BF35" s="353">
        <v>0</v>
      </c>
      <c r="BG35" s="353" t="s">
        <v>59</v>
      </c>
    </row>
    <row r="36" spans="1:65" ht="14.4" x14ac:dyDescent="0.3">
      <c r="B36" s="364"/>
      <c r="C36" s="9" t="s">
        <v>171</v>
      </c>
      <c r="D36" s="365"/>
      <c r="E36" s="351"/>
      <c r="F36" s="62">
        <f t="shared" si="57"/>
        <v>0</v>
      </c>
      <c r="G36" s="62">
        <f t="shared" si="2"/>
        <v>0</v>
      </c>
      <c r="H36" s="62">
        <f t="shared" si="2"/>
        <v>0</v>
      </c>
      <c r="I36" s="62">
        <f t="shared" si="2"/>
        <v>0</v>
      </c>
      <c r="J36" s="62">
        <f t="shared" si="2"/>
        <v>0</v>
      </c>
      <c r="K36" s="62">
        <f t="shared" si="2"/>
        <v>0</v>
      </c>
      <c r="L36" s="62">
        <f t="shared" si="2"/>
        <v>0</v>
      </c>
      <c r="M36" s="62">
        <f t="shared" si="2"/>
        <v>0</v>
      </c>
      <c r="N36" s="62">
        <f t="shared" si="2"/>
        <v>0</v>
      </c>
      <c r="O36" s="62">
        <f t="shared" si="2"/>
        <v>0</v>
      </c>
      <c r="P36" s="62">
        <f t="shared" si="2"/>
        <v>0</v>
      </c>
      <c r="Q36" s="62">
        <f t="shared" si="2"/>
        <v>0</v>
      </c>
      <c r="R36" s="62">
        <f t="shared" si="2"/>
        <v>0</v>
      </c>
      <c r="S36" s="62">
        <f t="shared" si="2"/>
        <v>0</v>
      </c>
      <c r="T36" s="62">
        <f t="shared" si="2"/>
        <v>0</v>
      </c>
      <c r="U36" s="62">
        <f t="shared" si="2"/>
        <v>0</v>
      </c>
      <c r="V36" s="62">
        <f t="shared" si="2"/>
        <v>0</v>
      </c>
      <c r="W36" s="62">
        <f t="shared" ref="W36:BB36" si="75">V36+$BF36</f>
        <v>0</v>
      </c>
      <c r="X36" s="62">
        <f t="shared" si="75"/>
        <v>0</v>
      </c>
      <c r="Y36" s="62">
        <f t="shared" si="75"/>
        <v>0</v>
      </c>
      <c r="Z36" s="62">
        <f t="shared" si="75"/>
        <v>0</v>
      </c>
      <c r="AA36" s="62">
        <f t="shared" si="75"/>
        <v>0</v>
      </c>
      <c r="AB36" s="62">
        <f t="shared" si="75"/>
        <v>0</v>
      </c>
      <c r="AC36" s="62">
        <f t="shared" si="75"/>
        <v>0</v>
      </c>
      <c r="AD36" s="62">
        <f t="shared" si="75"/>
        <v>0</v>
      </c>
      <c r="AE36" s="62">
        <f t="shared" si="75"/>
        <v>0</v>
      </c>
      <c r="AF36" s="62">
        <f t="shared" si="75"/>
        <v>0</v>
      </c>
      <c r="AG36" s="62">
        <f t="shared" si="75"/>
        <v>0</v>
      </c>
      <c r="AH36" s="62">
        <f t="shared" si="75"/>
        <v>0</v>
      </c>
      <c r="AI36" s="62">
        <f t="shared" si="75"/>
        <v>0</v>
      </c>
      <c r="AJ36" s="62">
        <f t="shared" si="75"/>
        <v>0</v>
      </c>
      <c r="AK36" s="62">
        <f t="shared" si="75"/>
        <v>0</v>
      </c>
      <c r="AL36" s="62">
        <f t="shared" si="75"/>
        <v>0</v>
      </c>
      <c r="AM36" s="62">
        <f t="shared" si="75"/>
        <v>0</v>
      </c>
      <c r="AN36" s="62">
        <f t="shared" si="75"/>
        <v>0</v>
      </c>
      <c r="AO36" s="62">
        <f t="shared" si="75"/>
        <v>0</v>
      </c>
      <c r="AP36" s="62">
        <f t="shared" si="75"/>
        <v>0</v>
      </c>
      <c r="AQ36" s="62">
        <f t="shared" si="75"/>
        <v>0</v>
      </c>
      <c r="AR36" s="62">
        <f t="shared" si="75"/>
        <v>0</v>
      </c>
      <c r="AS36" s="62">
        <f t="shared" si="75"/>
        <v>0</v>
      </c>
      <c r="AT36" s="62">
        <f t="shared" si="75"/>
        <v>0</v>
      </c>
      <c r="AU36" s="62">
        <f t="shared" si="75"/>
        <v>0</v>
      </c>
      <c r="AV36" s="62">
        <f t="shared" si="75"/>
        <v>0</v>
      </c>
      <c r="AW36" s="62">
        <f t="shared" si="75"/>
        <v>0</v>
      </c>
      <c r="AX36" s="62">
        <f t="shared" si="75"/>
        <v>0</v>
      </c>
      <c r="AY36" s="62">
        <f t="shared" si="75"/>
        <v>0</v>
      </c>
      <c r="AZ36" s="62">
        <f t="shared" si="75"/>
        <v>0</v>
      </c>
      <c r="BA36" s="62">
        <f t="shared" si="75"/>
        <v>0</v>
      </c>
      <c r="BB36" s="79">
        <f t="shared" si="75"/>
        <v>0</v>
      </c>
      <c r="BC36" s="354"/>
      <c r="BE36" s="380"/>
      <c r="BF36" s="353">
        <v>0</v>
      </c>
      <c r="BG36" s="353" t="s">
        <v>55</v>
      </c>
    </row>
    <row r="37" spans="1:65" ht="14.4" x14ac:dyDescent="0.3">
      <c r="A37" s="16" t="s">
        <v>50</v>
      </c>
      <c r="B37" s="16"/>
      <c r="C37" s="31" t="s">
        <v>172</v>
      </c>
      <c r="D37" s="351"/>
      <c r="E37" s="35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1"/>
      <c r="AZ37" s="61"/>
      <c r="BA37" s="61"/>
      <c r="BB37" s="79"/>
      <c r="BC37" s="21"/>
      <c r="BE37" s="380"/>
      <c r="BF37" s="370"/>
      <c r="BG37" s="371"/>
      <c r="BI37" s="9"/>
      <c r="BJ37" s="9"/>
      <c r="BK37" s="9"/>
      <c r="BL37" s="9"/>
      <c r="BM37" s="9"/>
    </row>
    <row r="38" spans="1:65" ht="14.4" customHeight="1" x14ac:dyDescent="0.3">
      <c r="B38" s="364" t="s">
        <v>62</v>
      </c>
      <c r="C38" s="9" t="s">
        <v>173</v>
      </c>
      <c r="D38" s="365" t="s">
        <v>157</v>
      </c>
      <c r="E38" s="351"/>
      <c r="F38" s="62">
        <f t="shared" ref="F38:F52" si="76">BF38</f>
        <v>0</v>
      </c>
      <c r="G38" s="62">
        <f t="shared" ref="G38:G52" si="77">F38+$BF38</f>
        <v>0</v>
      </c>
      <c r="H38" s="62">
        <f t="shared" ref="H38:H52" si="78">G38+$BF38</f>
        <v>0</v>
      </c>
      <c r="I38" s="62">
        <f t="shared" ref="I38:I52" si="79">H38+$BF38</f>
        <v>0</v>
      </c>
      <c r="J38" s="62">
        <f t="shared" ref="J38:J52" si="80">I38+$BF38</f>
        <v>0</v>
      </c>
      <c r="K38" s="62">
        <f t="shared" ref="K38:K52" si="81">J38+$BF38</f>
        <v>0</v>
      </c>
      <c r="L38" s="62">
        <f t="shared" ref="L38:L52" si="82">K38+$BF38</f>
        <v>0</v>
      </c>
      <c r="M38" s="62">
        <f t="shared" ref="M38:M52" si="83">L38+$BF38</f>
        <v>0</v>
      </c>
      <c r="N38" s="62">
        <f t="shared" ref="N38:N52" si="84">M38+$BF38</f>
        <v>0</v>
      </c>
      <c r="O38" s="62">
        <f t="shared" ref="O38:O52" si="85">N38+$BF38</f>
        <v>0</v>
      </c>
      <c r="P38" s="62">
        <f t="shared" ref="P38:P52" si="86">O38+$BF38</f>
        <v>0</v>
      </c>
      <c r="Q38" s="62">
        <f t="shared" ref="Q38:Q52" si="87">P38+$BF38</f>
        <v>0</v>
      </c>
      <c r="R38" s="62">
        <f t="shared" ref="R38:R52" si="88">Q38+$BF38</f>
        <v>0</v>
      </c>
      <c r="S38" s="62">
        <f t="shared" ref="S38:S52" si="89">R38+$BF38</f>
        <v>0</v>
      </c>
      <c r="T38" s="62">
        <f t="shared" ref="T38:T52" si="90">S38+$BF38</f>
        <v>0</v>
      </c>
      <c r="U38" s="62">
        <f t="shared" ref="U38:U52" si="91">T38+$BF38</f>
        <v>0</v>
      </c>
      <c r="V38" s="62">
        <f t="shared" ref="V38:V52" si="92">U38+$BF38</f>
        <v>0</v>
      </c>
      <c r="W38" s="62">
        <f t="shared" ref="W38:W52" si="93">V38+$BF38</f>
        <v>0</v>
      </c>
      <c r="X38" s="62">
        <f t="shared" ref="X38:X52" si="94">W38+$BF38</f>
        <v>0</v>
      </c>
      <c r="Y38" s="62">
        <f t="shared" ref="Y38:Y52" si="95">X38+$BF38</f>
        <v>0</v>
      </c>
      <c r="Z38" s="62">
        <f t="shared" ref="Z38:Z52" si="96">Y38+$BF38</f>
        <v>0</v>
      </c>
      <c r="AA38" s="62">
        <f t="shared" ref="AA38:AA52" si="97">Z38+$BF38</f>
        <v>0</v>
      </c>
      <c r="AB38" s="62">
        <f t="shared" ref="AB38:AB52" si="98">AA38+$BF38</f>
        <v>0</v>
      </c>
      <c r="AC38" s="62">
        <f t="shared" ref="AC38:AC52" si="99">AB38+$BF38</f>
        <v>0</v>
      </c>
      <c r="AD38" s="62">
        <f t="shared" ref="AD38:AD52" si="100">AC38+$BF38</f>
        <v>0</v>
      </c>
      <c r="AE38" s="62">
        <f t="shared" ref="AE38:AE52" si="101">AD38+$BF38</f>
        <v>0</v>
      </c>
      <c r="AF38" s="62">
        <f t="shared" ref="AF38:AF52" si="102">AE38+$BF38</f>
        <v>0</v>
      </c>
      <c r="AG38" s="62">
        <f t="shared" ref="AG38:AG52" si="103">AF38+$BF38</f>
        <v>0</v>
      </c>
      <c r="AH38" s="62">
        <f t="shared" ref="AH38:AH52" si="104">AG38+$BF38</f>
        <v>0</v>
      </c>
      <c r="AI38" s="62">
        <f t="shared" ref="AI38:AI52" si="105">AH38+$BF38</f>
        <v>0</v>
      </c>
      <c r="AJ38" s="62">
        <f t="shared" ref="AJ38:AJ52" si="106">AI38+$BF38</f>
        <v>0</v>
      </c>
      <c r="AK38" s="62">
        <f t="shared" ref="AK38:AK52" si="107">AJ38+$BF38</f>
        <v>0</v>
      </c>
      <c r="AL38" s="62">
        <f t="shared" ref="AL38:AL52" si="108">AK38+$BF38</f>
        <v>0</v>
      </c>
      <c r="AM38" s="62">
        <f t="shared" ref="AM38:AM52" si="109">AL38+$BF38</f>
        <v>0</v>
      </c>
      <c r="AN38" s="62">
        <f t="shared" ref="AN38:AN52" si="110">AM38+$BF38</f>
        <v>0</v>
      </c>
      <c r="AO38" s="62">
        <f t="shared" ref="AO38:AO52" si="111">AN38+$BF38</f>
        <v>0</v>
      </c>
      <c r="AP38" s="62">
        <f t="shared" ref="AP38:AP52" si="112">AO38+$BF38</f>
        <v>0</v>
      </c>
      <c r="AQ38" s="62">
        <f t="shared" ref="AQ38:AQ52" si="113">AP38+$BF38</f>
        <v>0</v>
      </c>
      <c r="AR38" s="62">
        <f t="shared" ref="AR38:AR52" si="114">AQ38+$BF38</f>
        <v>0</v>
      </c>
      <c r="AS38" s="62">
        <f t="shared" ref="AS38:AS52" si="115">AR38+$BF38</f>
        <v>0</v>
      </c>
      <c r="AT38" s="62">
        <f t="shared" ref="AT38:AT52" si="116">AS38+$BF38</f>
        <v>0</v>
      </c>
      <c r="AU38" s="62">
        <f t="shared" ref="AU38:AU52" si="117">AT38+$BF38</f>
        <v>0</v>
      </c>
      <c r="AV38" s="62">
        <f t="shared" ref="AV38:AV52" si="118">AU38+$BF38</f>
        <v>0</v>
      </c>
      <c r="AW38" s="62">
        <f t="shared" ref="AW38:AW52" si="119">AV38+$BF38</f>
        <v>0</v>
      </c>
      <c r="AX38" s="62">
        <f t="shared" ref="AX38:AX52" si="120">AW38+$BF38</f>
        <v>0</v>
      </c>
      <c r="AY38" s="62">
        <f t="shared" ref="AY38:AY52" si="121">AX38+$BF38</f>
        <v>0</v>
      </c>
      <c r="AZ38" s="62">
        <f t="shared" ref="AZ38:AZ52" si="122">AY38+$BF38</f>
        <v>0</v>
      </c>
      <c r="BA38" s="62">
        <f t="shared" ref="BA38:BA52" si="123">AZ38+$BF38</f>
        <v>0</v>
      </c>
      <c r="BB38" s="350">
        <f t="shared" ref="BB38:BB52" si="124">BA38+$BF38</f>
        <v>0</v>
      </c>
      <c r="BC38" s="354"/>
      <c r="BE38" s="380"/>
      <c r="BF38" s="353">
        <v>0</v>
      </c>
      <c r="BG38" s="353" t="s">
        <v>59</v>
      </c>
    </row>
    <row r="39" spans="1:65" ht="14.4" x14ac:dyDescent="0.3">
      <c r="B39" s="364"/>
      <c r="C39" s="9" t="s">
        <v>174</v>
      </c>
      <c r="D39" s="365"/>
      <c r="E39" s="351"/>
      <c r="F39" s="62">
        <f t="shared" si="76"/>
        <v>0.56000000000000005</v>
      </c>
      <c r="G39" s="62">
        <f t="shared" si="77"/>
        <v>1.1200000000000001</v>
      </c>
      <c r="H39" s="62">
        <f t="shared" si="78"/>
        <v>1.6800000000000002</v>
      </c>
      <c r="I39" s="62">
        <f t="shared" si="79"/>
        <v>2.2400000000000002</v>
      </c>
      <c r="J39" s="62">
        <f t="shared" si="80"/>
        <v>2.8000000000000003</v>
      </c>
      <c r="K39" s="62">
        <f t="shared" si="81"/>
        <v>3.3600000000000003</v>
      </c>
      <c r="L39" s="62">
        <f t="shared" si="82"/>
        <v>3.9200000000000004</v>
      </c>
      <c r="M39" s="62">
        <f t="shared" si="83"/>
        <v>4.4800000000000004</v>
      </c>
      <c r="N39" s="62">
        <f t="shared" si="84"/>
        <v>5.0400000000000009</v>
      </c>
      <c r="O39" s="62">
        <f t="shared" si="85"/>
        <v>5.6000000000000014</v>
      </c>
      <c r="P39" s="62">
        <f t="shared" si="86"/>
        <v>6.1600000000000019</v>
      </c>
      <c r="Q39" s="62">
        <f t="shared" si="87"/>
        <v>6.7200000000000024</v>
      </c>
      <c r="R39" s="62">
        <f t="shared" si="88"/>
        <v>7.2800000000000029</v>
      </c>
      <c r="S39" s="62">
        <f t="shared" si="89"/>
        <v>7.8400000000000034</v>
      </c>
      <c r="T39" s="62">
        <f t="shared" si="90"/>
        <v>8.4000000000000039</v>
      </c>
      <c r="U39" s="62">
        <f t="shared" si="91"/>
        <v>8.9600000000000044</v>
      </c>
      <c r="V39" s="62">
        <f t="shared" si="92"/>
        <v>9.5200000000000049</v>
      </c>
      <c r="W39" s="62">
        <f t="shared" si="93"/>
        <v>10.080000000000005</v>
      </c>
      <c r="X39" s="62">
        <f t="shared" si="94"/>
        <v>10.640000000000006</v>
      </c>
      <c r="Y39" s="62">
        <f t="shared" si="95"/>
        <v>11.200000000000006</v>
      </c>
      <c r="Z39" s="62">
        <f t="shared" si="96"/>
        <v>11.760000000000007</v>
      </c>
      <c r="AA39" s="62">
        <f t="shared" si="97"/>
        <v>12.320000000000007</v>
      </c>
      <c r="AB39" s="62">
        <f t="shared" si="98"/>
        <v>12.880000000000008</v>
      </c>
      <c r="AC39" s="62">
        <f t="shared" si="99"/>
        <v>13.440000000000008</v>
      </c>
      <c r="AD39" s="62">
        <f t="shared" si="100"/>
        <v>14.000000000000009</v>
      </c>
      <c r="AE39" s="62">
        <f t="shared" si="101"/>
        <v>14.560000000000009</v>
      </c>
      <c r="AF39" s="62">
        <f t="shared" si="102"/>
        <v>15.12000000000001</v>
      </c>
      <c r="AG39" s="62">
        <f t="shared" si="103"/>
        <v>15.68000000000001</v>
      </c>
      <c r="AH39" s="62">
        <f t="shared" si="104"/>
        <v>16.240000000000009</v>
      </c>
      <c r="AI39" s="62">
        <f t="shared" si="105"/>
        <v>16.800000000000008</v>
      </c>
      <c r="AJ39" s="62">
        <f t="shared" si="106"/>
        <v>17.360000000000007</v>
      </c>
      <c r="AK39" s="62">
        <f t="shared" si="107"/>
        <v>17.920000000000005</v>
      </c>
      <c r="AL39" s="62">
        <f t="shared" si="108"/>
        <v>18.480000000000004</v>
      </c>
      <c r="AM39" s="62">
        <f t="shared" si="109"/>
        <v>19.040000000000003</v>
      </c>
      <c r="AN39" s="62">
        <f t="shared" si="110"/>
        <v>19.600000000000001</v>
      </c>
      <c r="AO39" s="62">
        <f t="shared" si="111"/>
        <v>20.16</v>
      </c>
      <c r="AP39" s="62">
        <f t="shared" si="112"/>
        <v>20.72</v>
      </c>
      <c r="AQ39" s="62">
        <f t="shared" si="113"/>
        <v>21.279999999999998</v>
      </c>
      <c r="AR39" s="62">
        <f t="shared" si="114"/>
        <v>21.839999999999996</v>
      </c>
      <c r="AS39" s="62">
        <f t="shared" si="115"/>
        <v>22.399999999999995</v>
      </c>
      <c r="AT39" s="62">
        <f t="shared" si="116"/>
        <v>22.959999999999994</v>
      </c>
      <c r="AU39" s="62">
        <f t="shared" si="117"/>
        <v>23.519999999999992</v>
      </c>
      <c r="AV39" s="62">
        <f t="shared" si="118"/>
        <v>24.079999999999991</v>
      </c>
      <c r="AW39" s="62">
        <f t="shared" si="119"/>
        <v>24.63999999999999</v>
      </c>
      <c r="AX39" s="62">
        <f t="shared" si="120"/>
        <v>25.199999999999989</v>
      </c>
      <c r="AY39" s="62">
        <f t="shared" si="121"/>
        <v>25.759999999999987</v>
      </c>
      <c r="AZ39" s="62">
        <f t="shared" si="122"/>
        <v>26.319999999999986</v>
      </c>
      <c r="BA39" s="62">
        <f t="shared" si="123"/>
        <v>26.879999999999985</v>
      </c>
      <c r="BB39" s="350">
        <f t="shared" si="124"/>
        <v>27.439999999999984</v>
      </c>
      <c r="BC39" s="354"/>
      <c r="BE39" s="380"/>
      <c r="BF39" s="353">
        <v>0.56000000000000005</v>
      </c>
      <c r="BG39" s="353" t="s">
        <v>59</v>
      </c>
    </row>
    <row r="40" spans="1:65" ht="14.4" x14ac:dyDescent="0.3">
      <c r="B40" s="364"/>
      <c r="C40" s="9" t="s">
        <v>175</v>
      </c>
      <c r="D40" s="365"/>
      <c r="E40" s="351"/>
      <c r="F40" s="62">
        <f t="shared" si="76"/>
        <v>0.1</v>
      </c>
      <c r="G40" s="62">
        <f t="shared" si="77"/>
        <v>0.2</v>
      </c>
      <c r="H40" s="62">
        <f t="shared" si="78"/>
        <v>0.30000000000000004</v>
      </c>
      <c r="I40" s="62">
        <f t="shared" si="79"/>
        <v>0.4</v>
      </c>
      <c r="J40" s="62">
        <f t="shared" si="80"/>
        <v>0.5</v>
      </c>
      <c r="K40" s="62">
        <f t="shared" si="81"/>
        <v>0.6</v>
      </c>
      <c r="L40" s="62">
        <f t="shared" si="82"/>
        <v>0.7</v>
      </c>
      <c r="M40" s="62">
        <f t="shared" si="83"/>
        <v>0.79999999999999993</v>
      </c>
      <c r="N40" s="62">
        <f t="shared" si="84"/>
        <v>0.89999999999999991</v>
      </c>
      <c r="O40" s="62">
        <f t="shared" si="85"/>
        <v>0.99999999999999989</v>
      </c>
      <c r="P40" s="62">
        <f t="shared" si="86"/>
        <v>1.0999999999999999</v>
      </c>
      <c r="Q40" s="62">
        <f t="shared" si="87"/>
        <v>1.2</v>
      </c>
      <c r="R40" s="62">
        <f t="shared" si="88"/>
        <v>1.3</v>
      </c>
      <c r="S40" s="62">
        <f t="shared" si="89"/>
        <v>1.4000000000000001</v>
      </c>
      <c r="T40" s="62">
        <f t="shared" si="90"/>
        <v>1.5000000000000002</v>
      </c>
      <c r="U40" s="62">
        <f t="shared" si="91"/>
        <v>1.6000000000000003</v>
      </c>
      <c r="V40" s="62">
        <f t="shared" si="92"/>
        <v>1.7000000000000004</v>
      </c>
      <c r="W40" s="62">
        <f t="shared" si="93"/>
        <v>1.8000000000000005</v>
      </c>
      <c r="X40" s="62">
        <f t="shared" si="94"/>
        <v>1.9000000000000006</v>
      </c>
      <c r="Y40" s="62">
        <f t="shared" si="95"/>
        <v>2.0000000000000004</v>
      </c>
      <c r="Z40" s="62">
        <f t="shared" si="96"/>
        <v>2.1000000000000005</v>
      </c>
      <c r="AA40" s="62">
        <f t="shared" si="97"/>
        <v>2.2000000000000006</v>
      </c>
      <c r="AB40" s="62">
        <f t="shared" si="98"/>
        <v>2.3000000000000007</v>
      </c>
      <c r="AC40" s="62">
        <f t="shared" si="99"/>
        <v>2.4000000000000008</v>
      </c>
      <c r="AD40" s="62">
        <f t="shared" si="100"/>
        <v>2.5000000000000009</v>
      </c>
      <c r="AE40" s="62">
        <f t="shared" si="101"/>
        <v>2.600000000000001</v>
      </c>
      <c r="AF40" s="62">
        <f t="shared" si="102"/>
        <v>2.7000000000000011</v>
      </c>
      <c r="AG40" s="62">
        <f t="shared" si="103"/>
        <v>2.8000000000000012</v>
      </c>
      <c r="AH40" s="62">
        <f t="shared" si="104"/>
        <v>2.9000000000000012</v>
      </c>
      <c r="AI40" s="62">
        <f t="shared" si="105"/>
        <v>3.0000000000000013</v>
      </c>
      <c r="AJ40" s="62">
        <f t="shared" si="106"/>
        <v>3.1000000000000014</v>
      </c>
      <c r="AK40" s="62">
        <f t="shared" si="107"/>
        <v>3.2000000000000015</v>
      </c>
      <c r="AL40" s="62">
        <f t="shared" si="108"/>
        <v>3.3000000000000016</v>
      </c>
      <c r="AM40" s="62">
        <f t="shared" si="109"/>
        <v>3.4000000000000017</v>
      </c>
      <c r="AN40" s="62">
        <f t="shared" si="110"/>
        <v>3.5000000000000018</v>
      </c>
      <c r="AO40" s="62">
        <f t="shared" si="111"/>
        <v>3.6000000000000019</v>
      </c>
      <c r="AP40" s="62">
        <f t="shared" si="112"/>
        <v>3.700000000000002</v>
      </c>
      <c r="AQ40" s="62">
        <f t="shared" si="113"/>
        <v>3.800000000000002</v>
      </c>
      <c r="AR40" s="62">
        <f t="shared" si="114"/>
        <v>3.9000000000000021</v>
      </c>
      <c r="AS40" s="62">
        <f t="shared" si="115"/>
        <v>4.0000000000000018</v>
      </c>
      <c r="AT40" s="62">
        <f t="shared" si="116"/>
        <v>4.1000000000000014</v>
      </c>
      <c r="AU40" s="62">
        <f t="shared" si="117"/>
        <v>4.2000000000000011</v>
      </c>
      <c r="AV40" s="62">
        <f t="shared" si="118"/>
        <v>4.3000000000000007</v>
      </c>
      <c r="AW40" s="62">
        <f t="shared" si="119"/>
        <v>4.4000000000000004</v>
      </c>
      <c r="AX40" s="62">
        <f t="shared" si="120"/>
        <v>4.5</v>
      </c>
      <c r="AY40" s="62">
        <f t="shared" si="121"/>
        <v>4.5999999999999996</v>
      </c>
      <c r="AZ40" s="62">
        <f t="shared" si="122"/>
        <v>4.6999999999999993</v>
      </c>
      <c r="BA40" s="62">
        <f t="shared" si="123"/>
        <v>4.7999999999999989</v>
      </c>
      <c r="BB40" s="350">
        <f t="shared" si="124"/>
        <v>4.8999999999999986</v>
      </c>
      <c r="BC40" s="354"/>
      <c r="BE40" s="380"/>
      <c r="BF40" s="353">
        <v>0.1</v>
      </c>
      <c r="BG40" s="353" t="s">
        <v>59</v>
      </c>
    </row>
    <row r="41" spans="1:65" ht="14.4" x14ac:dyDescent="0.3">
      <c r="B41" s="364"/>
      <c r="C41" s="9" t="s">
        <v>176</v>
      </c>
      <c r="D41" s="365"/>
      <c r="E41" s="351"/>
      <c r="F41" s="62">
        <f t="shared" si="76"/>
        <v>0</v>
      </c>
      <c r="G41" s="62">
        <f t="shared" si="77"/>
        <v>0</v>
      </c>
      <c r="H41" s="62">
        <f t="shared" si="78"/>
        <v>0</v>
      </c>
      <c r="I41" s="62">
        <f t="shared" si="79"/>
        <v>0</v>
      </c>
      <c r="J41" s="62">
        <f t="shared" si="80"/>
        <v>0</v>
      </c>
      <c r="K41" s="62">
        <f t="shared" si="81"/>
        <v>0</v>
      </c>
      <c r="L41" s="62">
        <f t="shared" si="82"/>
        <v>0</v>
      </c>
      <c r="M41" s="62">
        <f t="shared" si="83"/>
        <v>0</v>
      </c>
      <c r="N41" s="62">
        <f t="shared" si="84"/>
        <v>0</v>
      </c>
      <c r="O41" s="62">
        <f t="shared" si="85"/>
        <v>0</v>
      </c>
      <c r="P41" s="62">
        <f t="shared" si="86"/>
        <v>0</v>
      </c>
      <c r="Q41" s="62">
        <f t="shared" si="87"/>
        <v>0</v>
      </c>
      <c r="R41" s="62">
        <f t="shared" si="88"/>
        <v>0</v>
      </c>
      <c r="S41" s="62">
        <f t="shared" si="89"/>
        <v>0</v>
      </c>
      <c r="T41" s="62">
        <f t="shared" si="90"/>
        <v>0</v>
      </c>
      <c r="U41" s="62">
        <f t="shared" si="91"/>
        <v>0</v>
      </c>
      <c r="V41" s="62">
        <f t="shared" si="92"/>
        <v>0</v>
      </c>
      <c r="W41" s="62">
        <f t="shared" si="93"/>
        <v>0</v>
      </c>
      <c r="X41" s="62">
        <f t="shared" si="94"/>
        <v>0</v>
      </c>
      <c r="Y41" s="62">
        <f t="shared" si="95"/>
        <v>0</v>
      </c>
      <c r="Z41" s="62">
        <f t="shared" si="96"/>
        <v>0</v>
      </c>
      <c r="AA41" s="62">
        <f t="shared" si="97"/>
        <v>0</v>
      </c>
      <c r="AB41" s="62">
        <f t="shared" si="98"/>
        <v>0</v>
      </c>
      <c r="AC41" s="62">
        <f t="shared" si="99"/>
        <v>0</v>
      </c>
      <c r="AD41" s="62">
        <f t="shared" si="100"/>
        <v>0</v>
      </c>
      <c r="AE41" s="62">
        <f t="shared" si="101"/>
        <v>0</v>
      </c>
      <c r="AF41" s="62">
        <f t="shared" si="102"/>
        <v>0</v>
      </c>
      <c r="AG41" s="62">
        <f t="shared" si="103"/>
        <v>0</v>
      </c>
      <c r="AH41" s="62">
        <f t="shared" si="104"/>
        <v>0</v>
      </c>
      <c r="AI41" s="62">
        <f t="shared" si="105"/>
        <v>0</v>
      </c>
      <c r="AJ41" s="62">
        <f t="shared" si="106"/>
        <v>0</v>
      </c>
      <c r="AK41" s="62">
        <f t="shared" si="107"/>
        <v>0</v>
      </c>
      <c r="AL41" s="62">
        <f t="shared" si="108"/>
        <v>0</v>
      </c>
      <c r="AM41" s="62">
        <f t="shared" si="109"/>
        <v>0</v>
      </c>
      <c r="AN41" s="62">
        <f t="shared" si="110"/>
        <v>0</v>
      </c>
      <c r="AO41" s="62">
        <f t="shared" si="111"/>
        <v>0</v>
      </c>
      <c r="AP41" s="62">
        <f t="shared" si="112"/>
        <v>0</v>
      </c>
      <c r="AQ41" s="62">
        <f t="shared" si="113"/>
        <v>0</v>
      </c>
      <c r="AR41" s="62">
        <f t="shared" si="114"/>
        <v>0</v>
      </c>
      <c r="AS41" s="62">
        <f t="shared" si="115"/>
        <v>0</v>
      </c>
      <c r="AT41" s="62">
        <f t="shared" si="116"/>
        <v>0</v>
      </c>
      <c r="AU41" s="62">
        <f t="shared" si="117"/>
        <v>0</v>
      </c>
      <c r="AV41" s="62">
        <f t="shared" si="118"/>
        <v>0</v>
      </c>
      <c r="AW41" s="62">
        <f t="shared" si="119"/>
        <v>0</v>
      </c>
      <c r="AX41" s="62">
        <f t="shared" si="120"/>
        <v>0</v>
      </c>
      <c r="AY41" s="62">
        <f t="shared" si="121"/>
        <v>0</v>
      </c>
      <c r="AZ41" s="62">
        <f t="shared" si="122"/>
        <v>0</v>
      </c>
      <c r="BA41" s="62">
        <f t="shared" si="123"/>
        <v>0</v>
      </c>
      <c r="BB41" s="350">
        <f t="shared" si="124"/>
        <v>0</v>
      </c>
      <c r="BC41" s="354"/>
      <c r="BE41" s="380"/>
      <c r="BF41" s="353">
        <v>0</v>
      </c>
      <c r="BG41" s="353" t="s">
        <v>59</v>
      </c>
    </row>
    <row r="42" spans="1:65" ht="14.4" x14ac:dyDescent="0.3">
      <c r="B42" s="364"/>
      <c r="C42" s="9" t="s">
        <v>177</v>
      </c>
      <c r="D42" s="365"/>
      <c r="E42" s="351"/>
      <c r="F42" s="62">
        <f t="shared" si="76"/>
        <v>0</v>
      </c>
      <c r="G42" s="62">
        <f t="shared" si="77"/>
        <v>0</v>
      </c>
      <c r="H42" s="62">
        <f t="shared" si="78"/>
        <v>0</v>
      </c>
      <c r="I42" s="62">
        <f t="shared" si="79"/>
        <v>0</v>
      </c>
      <c r="J42" s="62">
        <f t="shared" si="80"/>
        <v>0</v>
      </c>
      <c r="K42" s="62">
        <f t="shared" si="81"/>
        <v>0</v>
      </c>
      <c r="L42" s="62">
        <f t="shared" si="82"/>
        <v>0</v>
      </c>
      <c r="M42" s="62">
        <f t="shared" si="83"/>
        <v>0</v>
      </c>
      <c r="N42" s="62">
        <f t="shared" si="84"/>
        <v>0</v>
      </c>
      <c r="O42" s="62">
        <f t="shared" si="85"/>
        <v>0</v>
      </c>
      <c r="P42" s="62">
        <f t="shared" si="86"/>
        <v>0</v>
      </c>
      <c r="Q42" s="62">
        <f t="shared" si="87"/>
        <v>0</v>
      </c>
      <c r="R42" s="62">
        <f t="shared" si="88"/>
        <v>0</v>
      </c>
      <c r="S42" s="62">
        <f t="shared" si="89"/>
        <v>0</v>
      </c>
      <c r="T42" s="62">
        <f t="shared" si="90"/>
        <v>0</v>
      </c>
      <c r="U42" s="62">
        <f t="shared" si="91"/>
        <v>0</v>
      </c>
      <c r="V42" s="62">
        <f t="shared" si="92"/>
        <v>0</v>
      </c>
      <c r="W42" s="62">
        <f t="shared" si="93"/>
        <v>0</v>
      </c>
      <c r="X42" s="62">
        <f t="shared" si="94"/>
        <v>0</v>
      </c>
      <c r="Y42" s="62">
        <f t="shared" si="95"/>
        <v>0</v>
      </c>
      <c r="Z42" s="62">
        <f t="shared" si="96"/>
        <v>0</v>
      </c>
      <c r="AA42" s="62">
        <f t="shared" si="97"/>
        <v>0</v>
      </c>
      <c r="AB42" s="62">
        <f t="shared" si="98"/>
        <v>0</v>
      </c>
      <c r="AC42" s="62">
        <f t="shared" si="99"/>
        <v>0</v>
      </c>
      <c r="AD42" s="62">
        <f t="shared" si="100"/>
        <v>0</v>
      </c>
      <c r="AE42" s="62">
        <f t="shared" si="101"/>
        <v>0</v>
      </c>
      <c r="AF42" s="62">
        <f t="shared" si="102"/>
        <v>0</v>
      </c>
      <c r="AG42" s="62">
        <f t="shared" si="103"/>
        <v>0</v>
      </c>
      <c r="AH42" s="62">
        <f t="shared" si="104"/>
        <v>0</v>
      </c>
      <c r="AI42" s="62">
        <f t="shared" si="105"/>
        <v>0</v>
      </c>
      <c r="AJ42" s="62">
        <f t="shared" si="106"/>
        <v>0</v>
      </c>
      <c r="AK42" s="62">
        <f t="shared" si="107"/>
        <v>0</v>
      </c>
      <c r="AL42" s="62">
        <f t="shared" si="108"/>
        <v>0</v>
      </c>
      <c r="AM42" s="62">
        <f t="shared" si="109"/>
        <v>0</v>
      </c>
      <c r="AN42" s="62">
        <f t="shared" si="110"/>
        <v>0</v>
      </c>
      <c r="AO42" s="62">
        <f t="shared" si="111"/>
        <v>0</v>
      </c>
      <c r="AP42" s="62">
        <f t="shared" si="112"/>
        <v>0</v>
      </c>
      <c r="AQ42" s="62">
        <f t="shared" si="113"/>
        <v>0</v>
      </c>
      <c r="AR42" s="62">
        <f t="shared" si="114"/>
        <v>0</v>
      </c>
      <c r="AS42" s="62">
        <f t="shared" si="115"/>
        <v>0</v>
      </c>
      <c r="AT42" s="62">
        <f t="shared" si="116"/>
        <v>0</v>
      </c>
      <c r="AU42" s="62">
        <f t="shared" si="117"/>
        <v>0</v>
      </c>
      <c r="AV42" s="62">
        <f t="shared" si="118"/>
        <v>0</v>
      </c>
      <c r="AW42" s="62">
        <f t="shared" si="119"/>
        <v>0</v>
      </c>
      <c r="AX42" s="62">
        <f t="shared" si="120"/>
        <v>0</v>
      </c>
      <c r="AY42" s="62">
        <f t="shared" si="121"/>
        <v>0</v>
      </c>
      <c r="AZ42" s="62">
        <f t="shared" si="122"/>
        <v>0</v>
      </c>
      <c r="BA42" s="62">
        <f t="shared" si="123"/>
        <v>0</v>
      </c>
      <c r="BB42" s="350">
        <f t="shared" si="124"/>
        <v>0</v>
      </c>
      <c r="BC42" s="354"/>
      <c r="BE42" s="380"/>
      <c r="BF42" s="353">
        <v>0</v>
      </c>
      <c r="BG42" s="353" t="s">
        <v>59</v>
      </c>
    </row>
    <row r="43" spans="1:65" ht="14.4" x14ac:dyDescent="0.3">
      <c r="B43" s="364"/>
      <c r="C43" s="9" t="s">
        <v>178</v>
      </c>
      <c r="D43" s="365"/>
      <c r="E43" s="351"/>
      <c r="F43" s="62">
        <f t="shared" si="76"/>
        <v>0.16500000000000001</v>
      </c>
      <c r="G43" s="62">
        <f t="shared" si="77"/>
        <v>0.33</v>
      </c>
      <c r="H43" s="62">
        <f t="shared" si="78"/>
        <v>0.495</v>
      </c>
      <c r="I43" s="62">
        <f t="shared" si="79"/>
        <v>0.66</v>
      </c>
      <c r="J43" s="62">
        <f t="shared" si="80"/>
        <v>0.82500000000000007</v>
      </c>
      <c r="K43" s="62">
        <f t="shared" si="81"/>
        <v>0.9900000000000001</v>
      </c>
      <c r="L43" s="62">
        <f t="shared" si="82"/>
        <v>1.155</v>
      </c>
      <c r="M43" s="62">
        <f t="shared" si="83"/>
        <v>1.32</v>
      </c>
      <c r="N43" s="62">
        <f t="shared" si="84"/>
        <v>1.4850000000000001</v>
      </c>
      <c r="O43" s="62">
        <f t="shared" si="85"/>
        <v>1.6500000000000001</v>
      </c>
      <c r="P43" s="62">
        <f t="shared" si="86"/>
        <v>1.8150000000000002</v>
      </c>
      <c r="Q43" s="62">
        <f t="shared" si="87"/>
        <v>1.9800000000000002</v>
      </c>
      <c r="R43" s="62">
        <f t="shared" si="88"/>
        <v>2.145</v>
      </c>
      <c r="S43" s="62">
        <f t="shared" si="89"/>
        <v>2.31</v>
      </c>
      <c r="T43" s="62">
        <f t="shared" si="90"/>
        <v>2.4750000000000001</v>
      </c>
      <c r="U43" s="62">
        <f t="shared" si="91"/>
        <v>2.64</v>
      </c>
      <c r="V43" s="62">
        <f t="shared" si="92"/>
        <v>2.8050000000000002</v>
      </c>
      <c r="W43" s="62">
        <f t="shared" si="93"/>
        <v>2.97</v>
      </c>
      <c r="X43" s="62">
        <f t="shared" si="94"/>
        <v>3.1350000000000002</v>
      </c>
      <c r="Y43" s="62">
        <f t="shared" si="95"/>
        <v>3.3000000000000003</v>
      </c>
      <c r="Z43" s="62">
        <f t="shared" si="96"/>
        <v>3.4650000000000003</v>
      </c>
      <c r="AA43" s="62">
        <f t="shared" si="97"/>
        <v>3.6300000000000003</v>
      </c>
      <c r="AB43" s="62">
        <f t="shared" si="98"/>
        <v>3.7950000000000004</v>
      </c>
      <c r="AC43" s="62">
        <f t="shared" si="99"/>
        <v>3.9600000000000004</v>
      </c>
      <c r="AD43" s="62">
        <f t="shared" si="100"/>
        <v>4.125</v>
      </c>
      <c r="AE43" s="62">
        <f t="shared" si="101"/>
        <v>4.29</v>
      </c>
      <c r="AF43" s="62">
        <f t="shared" si="102"/>
        <v>4.4550000000000001</v>
      </c>
      <c r="AG43" s="62">
        <f t="shared" si="103"/>
        <v>4.62</v>
      </c>
      <c r="AH43" s="62">
        <f t="shared" si="104"/>
        <v>4.7850000000000001</v>
      </c>
      <c r="AI43" s="62">
        <f t="shared" si="105"/>
        <v>4.95</v>
      </c>
      <c r="AJ43" s="62">
        <f t="shared" si="106"/>
        <v>5.1150000000000002</v>
      </c>
      <c r="AK43" s="62">
        <f t="shared" si="107"/>
        <v>5.28</v>
      </c>
      <c r="AL43" s="62">
        <f t="shared" si="108"/>
        <v>5.4450000000000003</v>
      </c>
      <c r="AM43" s="62">
        <f t="shared" si="109"/>
        <v>5.61</v>
      </c>
      <c r="AN43" s="62">
        <f t="shared" si="110"/>
        <v>5.7750000000000004</v>
      </c>
      <c r="AO43" s="62">
        <f t="shared" si="111"/>
        <v>5.94</v>
      </c>
      <c r="AP43" s="62">
        <f t="shared" si="112"/>
        <v>6.1050000000000004</v>
      </c>
      <c r="AQ43" s="62">
        <f t="shared" si="113"/>
        <v>6.2700000000000005</v>
      </c>
      <c r="AR43" s="62">
        <f t="shared" si="114"/>
        <v>6.4350000000000005</v>
      </c>
      <c r="AS43" s="62">
        <f t="shared" si="115"/>
        <v>6.6000000000000005</v>
      </c>
      <c r="AT43" s="62">
        <f t="shared" si="116"/>
        <v>6.7650000000000006</v>
      </c>
      <c r="AU43" s="62">
        <f t="shared" si="117"/>
        <v>6.9300000000000006</v>
      </c>
      <c r="AV43" s="62">
        <f t="shared" si="118"/>
        <v>7.0950000000000006</v>
      </c>
      <c r="AW43" s="62">
        <f t="shared" si="119"/>
        <v>7.2600000000000007</v>
      </c>
      <c r="AX43" s="62">
        <f t="shared" si="120"/>
        <v>7.4250000000000007</v>
      </c>
      <c r="AY43" s="62">
        <f t="shared" si="121"/>
        <v>7.5900000000000007</v>
      </c>
      <c r="AZ43" s="62">
        <f t="shared" si="122"/>
        <v>7.7550000000000008</v>
      </c>
      <c r="BA43" s="62">
        <f t="shared" si="123"/>
        <v>7.9200000000000008</v>
      </c>
      <c r="BB43" s="350">
        <f t="shared" si="124"/>
        <v>8.0850000000000009</v>
      </c>
      <c r="BC43" s="354"/>
      <c r="BE43" s="380"/>
      <c r="BF43" s="353">
        <v>0.16500000000000001</v>
      </c>
      <c r="BG43" s="353" t="s">
        <v>59</v>
      </c>
    </row>
    <row r="44" spans="1:65" ht="14.4" x14ac:dyDescent="0.3">
      <c r="B44" s="364"/>
      <c r="C44" s="9" t="s">
        <v>179</v>
      </c>
      <c r="D44" s="365"/>
      <c r="E44" s="351"/>
      <c r="F44" s="62">
        <f t="shared" si="76"/>
        <v>0</v>
      </c>
      <c r="G44" s="62">
        <f t="shared" si="77"/>
        <v>0</v>
      </c>
      <c r="H44" s="62">
        <f t="shared" si="78"/>
        <v>0</v>
      </c>
      <c r="I44" s="62">
        <f t="shared" si="79"/>
        <v>0</v>
      </c>
      <c r="J44" s="62">
        <f t="shared" si="80"/>
        <v>0</v>
      </c>
      <c r="K44" s="62">
        <f t="shared" si="81"/>
        <v>0</v>
      </c>
      <c r="L44" s="62">
        <f t="shared" si="82"/>
        <v>0</v>
      </c>
      <c r="M44" s="62">
        <f t="shared" si="83"/>
        <v>0</v>
      </c>
      <c r="N44" s="62">
        <f t="shared" si="84"/>
        <v>0</v>
      </c>
      <c r="O44" s="62">
        <f t="shared" si="85"/>
        <v>0</v>
      </c>
      <c r="P44" s="62">
        <f t="shared" si="86"/>
        <v>0</v>
      </c>
      <c r="Q44" s="62">
        <f t="shared" si="87"/>
        <v>0</v>
      </c>
      <c r="R44" s="62">
        <f t="shared" si="88"/>
        <v>0</v>
      </c>
      <c r="S44" s="62">
        <f t="shared" si="89"/>
        <v>0</v>
      </c>
      <c r="T44" s="62">
        <f t="shared" si="90"/>
        <v>0</v>
      </c>
      <c r="U44" s="62">
        <f t="shared" si="91"/>
        <v>0</v>
      </c>
      <c r="V44" s="62">
        <f t="shared" si="92"/>
        <v>0</v>
      </c>
      <c r="W44" s="62">
        <f t="shared" si="93"/>
        <v>0</v>
      </c>
      <c r="X44" s="62">
        <f t="shared" si="94"/>
        <v>0</v>
      </c>
      <c r="Y44" s="62">
        <f t="shared" si="95"/>
        <v>0</v>
      </c>
      <c r="Z44" s="62">
        <f t="shared" si="96"/>
        <v>0</v>
      </c>
      <c r="AA44" s="62">
        <f t="shared" si="97"/>
        <v>0</v>
      </c>
      <c r="AB44" s="62">
        <f t="shared" si="98"/>
        <v>0</v>
      </c>
      <c r="AC44" s="62">
        <f t="shared" si="99"/>
        <v>0</v>
      </c>
      <c r="AD44" s="62">
        <f t="shared" si="100"/>
        <v>0</v>
      </c>
      <c r="AE44" s="62">
        <f t="shared" si="101"/>
        <v>0</v>
      </c>
      <c r="AF44" s="62">
        <f t="shared" si="102"/>
        <v>0</v>
      </c>
      <c r="AG44" s="62">
        <f t="shared" si="103"/>
        <v>0</v>
      </c>
      <c r="AH44" s="62">
        <f t="shared" si="104"/>
        <v>0</v>
      </c>
      <c r="AI44" s="62">
        <f t="shared" si="105"/>
        <v>0</v>
      </c>
      <c r="AJ44" s="62">
        <f t="shared" si="106"/>
        <v>0</v>
      </c>
      <c r="AK44" s="62">
        <f t="shared" si="107"/>
        <v>0</v>
      </c>
      <c r="AL44" s="62">
        <f t="shared" si="108"/>
        <v>0</v>
      </c>
      <c r="AM44" s="62">
        <f t="shared" si="109"/>
        <v>0</v>
      </c>
      <c r="AN44" s="62">
        <f t="shared" si="110"/>
        <v>0</v>
      </c>
      <c r="AO44" s="62">
        <f t="shared" si="111"/>
        <v>0</v>
      </c>
      <c r="AP44" s="62">
        <f t="shared" si="112"/>
        <v>0</v>
      </c>
      <c r="AQ44" s="62">
        <f t="shared" si="113"/>
        <v>0</v>
      </c>
      <c r="AR44" s="62">
        <f t="shared" si="114"/>
        <v>0</v>
      </c>
      <c r="AS44" s="62">
        <f t="shared" si="115"/>
        <v>0</v>
      </c>
      <c r="AT44" s="62">
        <f t="shared" si="116"/>
        <v>0</v>
      </c>
      <c r="AU44" s="62">
        <f t="shared" si="117"/>
        <v>0</v>
      </c>
      <c r="AV44" s="62">
        <f t="shared" si="118"/>
        <v>0</v>
      </c>
      <c r="AW44" s="62">
        <f t="shared" si="119"/>
        <v>0</v>
      </c>
      <c r="AX44" s="62">
        <f t="shared" si="120"/>
        <v>0</v>
      </c>
      <c r="AY44" s="62">
        <f t="shared" si="121"/>
        <v>0</v>
      </c>
      <c r="AZ44" s="62">
        <f t="shared" si="122"/>
        <v>0</v>
      </c>
      <c r="BA44" s="62">
        <f t="shared" si="123"/>
        <v>0</v>
      </c>
      <c r="BB44" s="350">
        <f t="shared" si="124"/>
        <v>0</v>
      </c>
      <c r="BC44" s="354"/>
      <c r="BE44" s="380"/>
      <c r="BF44" s="353">
        <v>0</v>
      </c>
      <c r="BG44" s="353" t="s">
        <v>59</v>
      </c>
    </row>
    <row r="45" spans="1:65" ht="14.4" customHeight="1" x14ac:dyDescent="0.3">
      <c r="B45" s="364"/>
      <c r="C45" s="9" t="s">
        <v>180</v>
      </c>
      <c r="D45" s="365"/>
      <c r="E45" s="351"/>
      <c r="F45" s="62">
        <f t="shared" si="76"/>
        <v>0.2</v>
      </c>
      <c r="G45" s="62">
        <f t="shared" si="77"/>
        <v>0.4</v>
      </c>
      <c r="H45" s="62">
        <f t="shared" si="78"/>
        <v>0.60000000000000009</v>
      </c>
      <c r="I45" s="62">
        <f t="shared" si="79"/>
        <v>0.8</v>
      </c>
      <c r="J45" s="62">
        <f t="shared" si="80"/>
        <v>1</v>
      </c>
      <c r="K45" s="62">
        <f t="shared" si="81"/>
        <v>1.2</v>
      </c>
      <c r="L45" s="62">
        <f t="shared" si="82"/>
        <v>1.4</v>
      </c>
      <c r="M45" s="62">
        <f t="shared" si="83"/>
        <v>1.5999999999999999</v>
      </c>
      <c r="N45" s="62">
        <f t="shared" si="84"/>
        <v>1.7999999999999998</v>
      </c>
      <c r="O45" s="62">
        <f t="shared" si="85"/>
        <v>1.9999999999999998</v>
      </c>
      <c r="P45" s="62">
        <f t="shared" si="86"/>
        <v>2.1999999999999997</v>
      </c>
      <c r="Q45" s="62">
        <f t="shared" si="87"/>
        <v>2.4</v>
      </c>
      <c r="R45" s="62">
        <f t="shared" si="88"/>
        <v>2.6</v>
      </c>
      <c r="S45" s="62">
        <f t="shared" si="89"/>
        <v>2.8000000000000003</v>
      </c>
      <c r="T45" s="62">
        <f t="shared" si="90"/>
        <v>3.0000000000000004</v>
      </c>
      <c r="U45" s="62">
        <f t="shared" si="91"/>
        <v>3.2000000000000006</v>
      </c>
      <c r="V45" s="62">
        <f t="shared" si="92"/>
        <v>3.4000000000000008</v>
      </c>
      <c r="W45" s="62">
        <f t="shared" si="93"/>
        <v>3.600000000000001</v>
      </c>
      <c r="X45" s="62">
        <f t="shared" si="94"/>
        <v>3.8000000000000012</v>
      </c>
      <c r="Y45" s="62">
        <f t="shared" si="95"/>
        <v>4.0000000000000009</v>
      </c>
      <c r="Z45" s="62">
        <f t="shared" si="96"/>
        <v>4.2000000000000011</v>
      </c>
      <c r="AA45" s="62">
        <f t="shared" si="97"/>
        <v>4.4000000000000012</v>
      </c>
      <c r="AB45" s="62">
        <f t="shared" si="98"/>
        <v>4.6000000000000014</v>
      </c>
      <c r="AC45" s="62">
        <f t="shared" si="99"/>
        <v>4.8000000000000016</v>
      </c>
      <c r="AD45" s="62">
        <f t="shared" si="100"/>
        <v>5.0000000000000018</v>
      </c>
      <c r="AE45" s="62">
        <f t="shared" si="101"/>
        <v>5.200000000000002</v>
      </c>
      <c r="AF45" s="62">
        <f t="shared" si="102"/>
        <v>5.4000000000000021</v>
      </c>
      <c r="AG45" s="62">
        <f t="shared" si="103"/>
        <v>5.6000000000000023</v>
      </c>
      <c r="AH45" s="62">
        <f t="shared" si="104"/>
        <v>5.8000000000000025</v>
      </c>
      <c r="AI45" s="62">
        <f t="shared" si="105"/>
        <v>6.0000000000000027</v>
      </c>
      <c r="AJ45" s="62">
        <f t="shared" si="106"/>
        <v>6.2000000000000028</v>
      </c>
      <c r="AK45" s="62">
        <f t="shared" si="107"/>
        <v>6.400000000000003</v>
      </c>
      <c r="AL45" s="62">
        <f t="shared" si="108"/>
        <v>6.6000000000000032</v>
      </c>
      <c r="AM45" s="62">
        <f t="shared" si="109"/>
        <v>6.8000000000000034</v>
      </c>
      <c r="AN45" s="62">
        <f t="shared" si="110"/>
        <v>7.0000000000000036</v>
      </c>
      <c r="AO45" s="62">
        <f t="shared" si="111"/>
        <v>7.2000000000000037</v>
      </c>
      <c r="AP45" s="62">
        <f t="shared" si="112"/>
        <v>7.4000000000000039</v>
      </c>
      <c r="AQ45" s="62">
        <f t="shared" si="113"/>
        <v>7.6000000000000041</v>
      </c>
      <c r="AR45" s="62">
        <f t="shared" si="114"/>
        <v>7.8000000000000043</v>
      </c>
      <c r="AS45" s="62">
        <f t="shared" si="115"/>
        <v>8.0000000000000036</v>
      </c>
      <c r="AT45" s="62">
        <f t="shared" si="116"/>
        <v>8.2000000000000028</v>
      </c>
      <c r="AU45" s="62">
        <f t="shared" si="117"/>
        <v>8.4000000000000021</v>
      </c>
      <c r="AV45" s="62">
        <f t="shared" si="118"/>
        <v>8.6000000000000014</v>
      </c>
      <c r="AW45" s="62">
        <f t="shared" si="119"/>
        <v>8.8000000000000007</v>
      </c>
      <c r="AX45" s="62">
        <f t="shared" si="120"/>
        <v>9</v>
      </c>
      <c r="AY45" s="62">
        <f t="shared" si="121"/>
        <v>9.1999999999999993</v>
      </c>
      <c r="AZ45" s="62">
        <f t="shared" si="122"/>
        <v>9.3999999999999986</v>
      </c>
      <c r="BA45" s="62">
        <f t="shared" si="123"/>
        <v>9.5999999999999979</v>
      </c>
      <c r="BB45" s="350">
        <f t="shared" si="124"/>
        <v>9.7999999999999972</v>
      </c>
      <c r="BC45" s="354"/>
      <c r="BE45" s="380"/>
      <c r="BF45" s="353">
        <v>0.2</v>
      </c>
      <c r="BG45" s="353" t="s">
        <v>59</v>
      </c>
    </row>
    <row r="46" spans="1:65" ht="14.4" x14ac:dyDescent="0.3">
      <c r="B46" s="364"/>
      <c r="C46" s="9" t="s">
        <v>181</v>
      </c>
      <c r="D46" s="365"/>
      <c r="E46" s="351"/>
      <c r="F46" s="62">
        <f t="shared" si="76"/>
        <v>0.15</v>
      </c>
      <c r="G46" s="62">
        <f t="shared" si="77"/>
        <v>0.3</v>
      </c>
      <c r="H46" s="62">
        <f t="shared" si="78"/>
        <v>0.44999999999999996</v>
      </c>
      <c r="I46" s="62">
        <f t="shared" si="79"/>
        <v>0.6</v>
      </c>
      <c r="J46" s="62">
        <f t="shared" si="80"/>
        <v>0.75</v>
      </c>
      <c r="K46" s="62">
        <f t="shared" si="81"/>
        <v>0.9</v>
      </c>
      <c r="L46" s="62">
        <f t="shared" si="82"/>
        <v>1.05</v>
      </c>
      <c r="M46" s="62">
        <f t="shared" si="83"/>
        <v>1.2</v>
      </c>
      <c r="N46" s="62">
        <f t="shared" si="84"/>
        <v>1.3499999999999999</v>
      </c>
      <c r="O46" s="62">
        <f t="shared" si="85"/>
        <v>1.4999999999999998</v>
      </c>
      <c r="P46" s="62">
        <f t="shared" si="86"/>
        <v>1.6499999999999997</v>
      </c>
      <c r="Q46" s="62">
        <f t="shared" si="87"/>
        <v>1.7999999999999996</v>
      </c>
      <c r="R46" s="62">
        <f t="shared" si="88"/>
        <v>1.9499999999999995</v>
      </c>
      <c r="S46" s="62">
        <f t="shared" si="89"/>
        <v>2.0999999999999996</v>
      </c>
      <c r="T46" s="62">
        <f t="shared" si="90"/>
        <v>2.2499999999999996</v>
      </c>
      <c r="U46" s="62">
        <f t="shared" si="91"/>
        <v>2.3999999999999995</v>
      </c>
      <c r="V46" s="62">
        <f t="shared" si="92"/>
        <v>2.5499999999999994</v>
      </c>
      <c r="W46" s="62">
        <f t="shared" si="93"/>
        <v>2.6999999999999993</v>
      </c>
      <c r="X46" s="62">
        <f t="shared" si="94"/>
        <v>2.8499999999999992</v>
      </c>
      <c r="Y46" s="62">
        <f t="shared" si="95"/>
        <v>2.9999999999999991</v>
      </c>
      <c r="Z46" s="62">
        <f t="shared" si="96"/>
        <v>3.149999999999999</v>
      </c>
      <c r="AA46" s="62">
        <f t="shared" si="97"/>
        <v>3.2999999999999989</v>
      </c>
      <c r="AB46" s="62">
        <f t="shared" si="98"/>
        <v>3.4499999999999988</v>
      </c>
      <c r="AC46" s="62">
        <f t="shared" si="99"/>
        <v>3.5999999999999988</v>
      </c>
      <c r="AD46" s="62">
        <f t="shared" si="100"/>
        <v>3.7499999999999987</v>
      </c>
      <c r="AE46" s="62">
        <f t="shared" si="101"/>
        <v>3.8999999999999986</v>
      </c>
      <c r="AF46" s="62">
        <f t="shared" si="102"/>
        <v>4.0499999999999989</v>
      </c>
      <c r="AG46" s="62">
        <f t="shared" si="103"/>
        <v>4.1999999999999993</v>
      </c>
      <c r="AH46" s="62">
        <f t="shared" si="104"/>
        <v>4.3499999999999996</v>
      </c>
      <c r="AI46" s="62">
        <f t="shared" si="105"/>
        <v>4.5</v>
      </c>
      <c r="AJ46" s="62">
        <f t="shared" si="106"/>
        <v>4.6500000000000004</v>
      </c>
      <c r="AK46" s="62">
        <f t="shared" si="107"/>
        <v>4.8000000000000007</v>
      </c>
      <c r="AL46" s="62">
        <f t="shared" si="108"/>
        <v>4.9500000000000011</v>
      </c>
      <c r="AM46" s="62">
        <f t="shared" si="109"/>
        <v>5.1000000000000014</v>
      </c>
      <c r="AN46" s="62">
        <f t="shared" si="110"/>
        <v>5.2500000000000018</v>
      </c>
      <c r="AO46" s="62">
        <f t="shared" si="111"/>
        <v>5.4000000000000021</v>
      </c>
      <c r="AP46" s="62">
        <f t="shared" si="112"/>
        <v>5.5500000000000025</v>
      </c>
      <c r="AQ46" s="62">
        <f t="shared" si="113"/>
        <v>5.7000000000000028</v>
      </c>
      <c r="AR46" s="62">
        <f t="shared" si="114"/>
        <v>5.8500000000000032</v>
      </c>
      <c r="AS46" s="62">
        <f t="shared" si="115"/>
        <v>6.0000000000000036</v>
      </c>
      <c r="AT46" s="62">
        <f t="shared" si="116"/>
        <v>6.1500000000000039</v>
      </c>
      <c r="AU46" s="62">
        <f t="shared" si="117"/>
        <v>6.3000000000000043</v>
      </c>
      <c r="AV46" s="62">
        <f t="shared" si="118"/>
        <v>6.4500000000000046</v>
      </c>
      <c r="AW46" s="62">
        <f t="shared" si="119"/>
        <v>6.600000000000005</v>
      </c>
      <c r="AX46" s="62">
        <f t="shared" si="120"/>
        <v>6.7500000000000053</v>
      </c>
      <c r="AY46" s="62">
        <f t="shared" si="121"/>
        <v>6.9000000000000057</v>
      </c>
      <c r="AZ46" s="62">
        <f t="shared" si="122"/>
        <v>7.050000000000006</v>
      </c>
      <c r="BA46" s="62">
        <f t="shared" si="123"/>
        <v>7.2000000000000064</v>
      </c>
      <c r="BB46" s="350">
        <f t="shared" si="124"/>
        <v>7.3500000000000068</v>
      </c>
      <c r="BC46" s="354"/>
      <c r="BE46" s="380"/>
      <c r="BF46" s="353">
        <v>0.15</v>
      </c>
      <c r="BG46" s="353" t="s">
        <v>59</v>
      </c>
    </row>
    <row r="47" spans="1:65" ht="14.4" x14ac:dyDescent="0.3">
      <c r="B47" s="364"/>
      <c r="C47" s="9" t="s">
        <v>182</v>
      </c>
      <c r="D47" s="365"/>
      <c r="E47" s="351"/>
      <c r="F47" s="62">
        <f t="shared" si="76"/>
        <v>0.1</v>
      </c>
      <c r="G47" s="62">
        <f t="shared" si="77"/>
        <v>0.2</v>
      </c>
      <c r="H47" s="62">
        <f t="shared" si="78"/>
        <v>0.30000000000000004</v>
      </c>
      <c r="I47" s="62">
        <f t="shared" si="79"/>
        <v>0.4</v>
      </c>
      <c r="J47" s="62">
        <f t="shared" si="80"/>
        <v>0.5</v>
      </c>
      <c r="K47" s="62">
        <f t="shared" si="81"/>
        <v>0.6</v>
      </c>
      <c r="L47" s="62">
        <f t="shared" si="82"/>
        <v>0.7</v>
      </c>
      <c r="M47" s="62">
        <f t="shared" si="83"/>
        <v>0.79999999999999993</v>
      </c>
      <c r="N47" s="62">
        <f t="shared" si="84"/>
        <v>0.89999999999999991</v>
      </c>
      <c r="O47" s="62">
        <f t="shared" si="85"/>
        <v>0.99999999999999989</v>
      </c>
      <c r="P47" s="62">
        <f t="shared" si="86"/>
        <v>1.0999999999999999</v>
      </c>
      <c r="Q47" s="62">
        <f t="shared" si="87"/>
        <v>1.2</v>
      </c>
      <c r="R47" s="62">
        <f t="shared" si="88"/>
        <v>1.3</v>
      </c>
      <c r="S47" s="62">
        <f t="shared" si="89"/>
        <v>1.4000000000000001</v>
      </c>
      <c r="T47" s="62">
        <f t="shared" si="90"/>
        <v>1.5000000000000002</v>
      </c>
      <c r="U47" s="62">
        <f t="shared" si="91"/>
        <v>1.6000000000000003</v>
      </c>
      <c r="V47" s="62">
        <f t="shared" si="92"/>
        <v>1.7000000000000004</v>
      </c>
      <c r="W47" s="62">
        <f t="shared" si="93"/>
        <v>1.8000000000000005</v>
      </c>
      <c r="X47" s="62">
        <f t="shared" si="94"/>
        <v>1.9000000000000006</v>
      </c>
      <c r="Y47" s="62">
        <f t="shared" si="95"/>
        <v>2.0000000000000004</v>
      </c>
      <c r="Z47" s="62">
        <f t="shared" si="96"/>
        <v>2.1000000000000005</v>
      </c>
      <c r="AA47" s="62">
        <f t="shared" si="97"/>
        <v>2.2000000000000006</v>
      </c>
      <c r="AB47" s="62">
        <f t="shared" si="98"/>
        <v>2.3000000000000007</v>
      </c>
      <c r="AC47" s="62">
        <f t="shared" si="99"/>
        <v>2.4000000000000008</v>
      </c>
      <c r="AD47" s="62">
        <f t="shared" si="100"/>
        <v>2.5000000000000009</v>
      </c>
      <c r="AE47" s="62">
        <f t="shared" si="101"/>
        <v>2.600000000000001</v>
      </c>
      <c r="AF47" s="62">
        <f t="shared" si="102"/>
        <v>2.7000000000000011</v>
      </c>
      <c r="AG47" s="62">
        <f t="shared" si="103"/>
        <v>2.8000000000000012</v>
      </c>
      <c r="AH47" s="62">
        <f t="shared" si="104"/>
        <v>2.9000000000000012</v>
      </c>
      <c r="AI47" s="62">
        <f t="shared" si="105"/>
        <v>3.0000000000000013</v>
      </c>
      <c r="AJ47" s="62">
        <f t="shared" si="106"/>
        <v>3.1000000000000014</v>
      </c>
      <c r="AK47" s="62">
        <f t="shared" si="107"/>
        <v>3.2000000000000015</v>
      </c>
      <c r="AL47" s="62">
        <f t="shared" si="108"/>
        <v>3.3000000000000016</v>
      </c>
      <c r="AM47" s="62">
        <f t="shared" si="109"/>
        <v>3.4000000000000017</v>
      </c>
      <c r="AN47" s="62">
        <f t="shared" si="110"/>
        <v>3.5000000000000018</v>
      </c>
      <c r="AO47" s="62">
        <f t="shared" si="111"/>
        <v>3.6000000000000019</v>
      </c>
      <c r="AP47" s="62">
        <f t="shared" si="112"/>
        <v>3.700000000000002</v>
      </c>
      <c r="AQ47" s="62">
        <f t="shared" si="113"/>
        <v>3.800000000000002</v>
      </c>
      <c r="AR47" s="62">
        <f t="shared" si="114"/>
        <v>3.9000000000000021</v>
      </c>
      <c r="AS47" s="62">
        <f t="shared" si="115"/>
        <v>4.0000000000000018</v>
      </c>
      <c r="AT47" s="62">
        <f t="shared" si="116"/>
        <v>4.1000000000000014</v>
      </c>
      <c r="AU47" s="62">
        <f t="shared" si="117"/>
        <v>4.2000000000000011</v>
      </c>
      <c r="AV47" s="62">
        <f t="shared" si="118"/>
        <v>4.3000000000000007</v>
      </c>
      <c r="AW47" s="62">
        <f t="shared" si="119"/>
        <v>4.4000000000000004</v>
      </c>
      <c r="AX47" s="62">
        <f t="shared" si="120"/>
        <v>4.5</v>
      </c>
      <c r="AY47" s="62">
        <f t="shared" si="121"/>
        <v>4.5999999999999996</v>
      </c>
      <c r="AZ47" s="62">
        <f t="shared" si="122"/>
        <v>4.6999999999999993</v>
      </c>
      <c r="BA47" s="62">
        <f t="shared" si="123"/>
        <v>4.7999999999999989</v>
      </c>
      <c r="BB47" s="350">
        <f t="shared" si="124"/>
        <v>4.8999999999999986</v>
      </c>
      <c r="BC47" s="354"/>
      <c r="BE47" s="380"/>
      <c r="BF47" s="353">
        <v>0.1</v>
      </c>
      <c r="BG47" s="353" t="s">
        <v>59</v>
      </c>
    </row>
    <row r="48" spans="1:65" ht="14.4" x14ac:dyDescent="0.3">
      <c r="B48" s="364"/>
      <c r="C48" s="9" t="s">
        <v>183</v>
      </c>
      <c r="D48" s="365"/>
      <c r="E48" s="351"/>
      <c r="F48" s="62">
        <f t="shared" si="76"/>
        <v>0.51</v>
      </c>
      <c r="G48" s="62">
        <f t="shared" si="77"/>
        <v>1.02</v>
      </c>
      <c r="H48" s="62">
        <f t="shared" si="78"/>
        <v>1.53</v>
      </c>
      <c r="I48" s="62">
        <f t="shared" si="79"/>
        <v>2.04</v>
      </c>
      <c r="J48" s="62">
        <f t="shared" si="80"/>
        <v>2.5499999999999998</v>
      </c>
      <c r="K48" s="62">
        <f t="shared" si="81"/>
        <v>3.0599999999999996</v>
      </c>
      <c r="L48" s="62">
        <f t="shared" si="82"/>
        <v>3.5699999999999994</v>
      </c>
      <c r="M48" s="62">
        <f t="shared" si="83"/>
        <v>4.0799999999999992</v>
      </c>
      <c r="N48" s="62">
        <f t="shared" si="84"/>
        <v>4.589999999999999</v>
      </c>
      <c r="O48" s="62">
        <f t="shared" si="85"/>
        <v>5.0999999999999988</v>
      </c>
      <c r="P48" s="62">
        <f t="shared" si="86"/>
        <v>5.6099999999999985</v>
      </c>
      <c r="Q48" s="62">
        <f t="shared" si="87"/>
        <v>6.1199999999999983</v>
      </c>
      <c r="R48" s="62">
        <f t="shared" si="88"/>
        <v>6.6299999999999981</v>
      </c>
      <c r="S48" s="62">
        <f t="shared" si="89"/>
        <v>7.1399999999999979</v>
      </c>
      <c r="T48" s="62">
        <f t="shared" si="90"/>
        <v>7.6499999999999977</v>
      </c>
      <c r="U48" s="62">
        <f t="shared" si="91"/>
        <v>8.1599999999999984</v>
      </c>
      <c r="V48" s="62">
        <f t="shared" si="92"/>
        <v>8.6699999999999982</v>
      </c>
      <c r="W48" s="62">
        <f t="shared" si="93"/>
        <v>9.1799999999999979</v>
      </c>
      <c r="X48" s="62">
        <f t="shared" si="94"/>
        <v>9.6899999999999977</v>
      </c>
      <c r="Y48" s="62">
        <f t="shared" si="95"/>
        <v>10.199999999999998</v>
      </c>
      <c r="Z48" s="62">
        <f t="shared" si="96"/>
        <v>10.709999999999997</v>
      </c>
      <c r="AA48" s="62">
        <f t="shared" si="97"/>
        <v>11.219999999999997</v>
      </c>
      <c r="AB48" s="62">
        <f t="shared" si="98"/>
        <v>11.729999999999997</v>
      </c>
      <c r="AC48" s="62">
        <f t="shared" si="99"/>
        <v>12.239999999999997</v>
      </c>
      <c r="AD48" s="62">
        <f t="shared" si="100"/>
        <v>12.749999999999996</v>
      </c>
      <c r="AE48" s="62">
        <f t="shared" si="101"/>
        <v>13.259999999999996</v>
      </c>
      <c r="AF48" s="62">
        <f t="shared" si="102"/>
        <v>13.769999999999996</v>
      </c>
      <c r="AG48" s="62">
        <f t="shared" si="103"/>
        <v>14.279999999999996</v>
      </c>
      <c r="AH48" s="62">
        <f t="shared" si="104"/>
        <v>14.789999999999996</v>
      </c>
      <c r="AI48" s="62">
        <f t="shared" si="105"/>
        <v>15.299999999999995</v>
      </c>
      <c r="AJ48" s="62">
        <f t="shared" si="106"/>
        <v>15.809999999999995</v>
      </c>
      <c r="AK48" s="62">
        <f t="shared" si="107"/>
        <v>16.319999999999997</v>
      </c>
      <c r="AL48" s="62">
        <f t="shared" si="108"/>
        <v>16.829999999999998</v>
      </c>
      <c r="AM48" s="62">
        <f t="shared" si="109"/>
        <v>17.34</v>
      </c>
      <c r="AN48" s="62">
        <f t="shared" si="110"/>
        <v>17.850000000000001</v>
      </c>
      <c r="AO48" s="62">
        <f t="shared" si="111"/>
        <v>18.360000000000003</v>
      </c>
      <c r="AP48" s="62">
        <f t="shared" si="112"/>
        <v>18.870000000000005</v>
      </c>
      <c r="AQ48" s="62">
        <f t="shared" si="113"/>
        <v>19.380000000000006</v>
      </c>
      <c r="AR48" s="62">
        <f t="shared" si="114"/>
        <v>19.890000000000008</v>
      </c>
      <c r="AS48" s="62">
        <f t="shared" si="115"/>
        <v>20.400000000000009</v>
      </c>
      <c r="AT48" s="62">
        <f t="shared" si="116"/>
        <v>20.910000000000011</v>
      </c>
      <c r="AU48" s="62">
        <f t="shared" si="117"/>
        <v>21.420000000000012</v>
      </c>
      <c r="AV48" s="62">
        <f t="shared" si="118"/>
        <v>21.930000000000014</v>
      </c>
      <c r="AW48" s="62">
        <f t="shared" si="119"/>
        <v>22.440000000000015</v>
      </c>
      <c r="AX48" s="62">
        <f t="shared" si="120"/>
        <v>22.950000000000017</v>
      </c>
      <c r="AY48" s="62">
        <f t="shared" si="121"/>
        <v>23.460000000000019</v>
      </c>
      <c r="AZ48" s="62">
        <f t="shared" si="122"/>
        <v>23.97000000000002</v>
      </c>
      <c r="BA48" s="62">
        <f t="shared" si="123"/>
        <v>24.480000000000022</v>
      </c>
      <c r="BB48" s="350">
        <f t="shared" si="124"/>
        <v>24.990000000000023</v>
      </c>
      <c r="BC48" s="354"/>
      <c r="BE48" s="380"/>
      <c r="BF48" s="353">
        <v>0.51</v>
      </c>
      <c r="BG48" s="353" t="s">
        <v>59</v>
      </c>
    </row>
    <row r="49" spans="1:65" ht="14.4" x14ac:dyDescent="0.3">
      <c r="B49" s="364"/>
      <c r="C49" s="9" t="s">
        <v>184</v>
      </c>
      <c r="D49" s="365"/>
      <c r="E49" s="351"/>
      <c r="F49" s="62">
        <f t="shared" si="76"/>
        <v>0.2</v>
      </c>
      <c r="G49" s="62">
        <f t="shared" si="77"/>
        <v>0.4</v>
      </c>
      <c r="H49" s="62">
        <f t="shared" si="78"/>
        <v>0.60000000000000009</v>
      </c>
      <c r="I49" s="62">
        <f t="shared" si="79"/>
        <v>0.8</v>
      </c>
      <c r="J49" s="62">
        <f t="shared" si="80"/>
        <v>1</v>
      </c>
      <c r="K49" s="62">
        <f t="shared" si="81"/>
        <v>1.2</v>
      </c>
      <c r="L49" s="62">
        <f t="shared" si="82"/>
        <v>1.4</v>
      </c>
      <c r="M49" s="62">
        <f t="shared" si="83"/>
        <v>1.5999999999999999</v>
      </c>
      <c r="N49" s="62">
        <f t="shared" si="84"/>
        <v>1.7999999999999998</v>
      </c>
      <c r="O49" s="62">
        <f t="shared" si="85"/>
        <v>1.9999999999999998</v>
      </c>
      <c r="P49" s="62">
        <f t="shared" si="86"/>
        <v>2.1999999999999997</v>
      </c>
      <c r="Q49" s="62">
        <f t="shared" si="87"/>
        <v>2.4</v>
      </c>
      <c r="R49" s="62">
        <f t="shared" si="88"/>
        <v>2.6</v>
      </c>
      <c r="S49" s="62">
        <f t="shared" si="89"/>
        <v>2.8000000000000003</v>
      </c>
      <c r="T49" s="62">
        <f t="shared" si="90"/>
        <v>3.0000000000000004</v>
      </c>
      <c r="U49" s="62">
        <f t="shared" si="91"/>
        <v>3.2000000000000006</v>
      </c>
      <c r="V49" s="62">
        <f t="shared" si="92"/>
        <v>3.4000000000000008</v>
      </c>
      <c r="W49" s="62">
        <f t="shared" si="93"/>
        <v>3.600000000000001</v>
      </c>
      <c r="X49" s="62">
        <f t="shared" si="94"/>
        <v>3.8000000000000012</v>
      </c>
      <c r="Y49" s="62">
        <f t="shared" si="95"/>
        <v>4.0000000000000009</v>
      </c>
      <c r="Z49" s="62">
        <f t="shared" si="96"/>
        <v>4.2000000000000011</v>
      </c>
      <c r="AA49" s="62">
        <f t="shared" si="97"/>
        <v>4.4000000000000012</v>
      </c>
      <c r="AB49" s="62">
        <f t="shared" si="98"/>
        <v>4.6000000000000014</v>
      </c>
      <c r="AC49" s="62">
        <f t="shared" si="99"/>
        <v>4.8000000000000016</v>
      </c>
      <c r="AD49" s="62">
        <f t="shared" si="100"/>
        <v>5.0000000000000018</v>
      </c>
      <c r="AE49" s="62">
        <f t="shared" si="101"/>
        <v>5.200000000000002</v>
      </c>
      <c r="AF49" s="62">
        <f t="shared" si="102"/>
        <v>5.4000000000000021</v>
      </c>
      <c r="AG49" s="62">
        <f t="shared" si="103"/>
        <v>5.6000000000000023</v>
      </c>
      <c r="AH49" s="62">
        <f t="shared" si="104"/>
        <v>5.8000000000000025</v>
      </c>
      <c r="AI49" s="62">
        <f t="shared" si="105"/>
        <v>6.0000000000000027</v>
      </c>
      <c r="AJ49" s="62">
        <f t="shared" si="106"/>
        <v>6.2000000000000028</v>
      </c>
      <c r="AK49" s="62">
        <f t="shared" si="107"/>
        <v>6.400000000000003</v>
      </c>
      <c r="AL49" s="62">
        <f t="shared" si="108"/>
        <v>6.6000000000000032</v>
      </c>
      <c r="AM49" s="62">
        <f t="shared" si="109"/>
        <v>6.8000000000000034</v>
      </c>
      <c r="AN49" s="62">
        <f t="shared" si="110"/>
        <v>7.0000000000000036</v>
      </c>
      <c r="AO49" s="62">
        <f t="shared" si="111"/>
        <v>7.2000000000000037</v>
      </c>
      <c r="AP49" s="62">
        <f t="shared" si="112"/>
        <v>7.4000000000000039</v>
      </c>
      <c r="AQ49" s="62">
        <f t="shared" si="113"/>
        <v>7.6000000000000041</v>
      </c>
      <c r="AR49" s="62">
        <f t="shared" si="114"/>
        <v>7.8000000000000043</v>
      </c>
      <c r="AS49" s="62">
        <f t="shared" si="115"/>
        <v>8.0000000000000036</v>
      </c>
      <c r="AT49" s="62">
        <f t="shared" si="116"/>
        <v>8.2000000000000028</v>
      </c>
      <c r="AU49" s="62">
        <f t="shared" si="117"/>
        <v>8.4000000000000021</v>
      </c>
      <c r="AV49" s="62">
        <f t="shared" si="118"/>
        <v>8.6000000000000014</v>
      </c>
      <c r="AW49" s="62">
        <f t="shared" si="119"/>
        <v>8.8000000000000007</v>
      </c>
      <c r="AX49" s="62">
        <f t="shared" si="120"/>
        <v>9</v>
      </c>
      <c r="AY49" s="62">
        <f t="shared" si="121"/>
        <v>9.1999999999999993</v>
      </c>
      <c r="AZ49" s="62">
        <f t="shared" si="122"/>
        <v>9.3999999999999986</v>
      </c>
      <c r="BA49" s="62">
        <f t="shared" si="123"/>
        <v>9.5999999999999979</v>
      </c>
      <c r="BB49" s="350">
        <f t="shared" si="124"/>
        <v>9.7999999999999972</v>
      </c>
      <c r="BC49" s="354"/>
      <c r="BE49" s="380"/>
      <c r="BF49" s="353">
        <v>0.2</v>
      </c>
      <c r="BG49" s="353" t="s">
        <v>59</v>
      </c>
    </row>
    <row r="50" spans="1:65" ht="14.4" x14ac:dyDescent="0.3">
      <c r="B50" s="364"/>
      <c r="C50" s="9" t="s">
        <v>185</v>
      </c>
      <c r="D50" s="365"/>
      <c r="E50" s="351"/>
      <c r="F50" s="62">
        <f t="shared" si="76"/>
        <v>0.51</v>
      </c>
      <c r="G50" s="62">
        <f t="shared" si="77"/>
        <v>1.02</v>
      </c>
      <c r="H50" s="62">
        <f t="shared" si="78"/>
        <v>1.53</v>
      </c>
      <c r="I50" s="62">
        <f t="shared" si="79"/>
        <v>2.04</v>
      </c>
      <c r="J50" s="62">
        <f t="shared" si="80"/>
        <v>2.5499999999999998</v>
      </c>
      <c r="K50" s="62">
        <f t="shared" si="81"/>
        <v>3.0599999999999996</v>
      </c>
      <c r="L50" s="62">
        <f t="shared" si="82"/>
        <v>3.5699999999999994</v>
      </c>
      <c r="M50" s="62">
        <f t="shared" si="83"/>
        <v>4.0799999999999992</v>
      </c>
      <c r="N50" s="62">
        <f t="shared" si="84"/>
        <v>4.589999999999999</v>
      </c>
      <c r="O50" s="62">
        <f t="shared" si="85"/>
        <v>5.0999999999999988</v>
      </c>
      <c r="P50" s="62">
        <f t="shared" si="86"/>
        <v>5.6099999999999985</v>
      </c>
      <c r="Q50" s="62">
        <f t="shared" si="87"/>
        <v>6.1199999999999983</v>
      </c>
      <c r="R50" s="62">
        <f t="shared" si="88"/>
        <v>6.6299999999999981</v>
      </c>
      <c r="S50" s="62">
        <f t="shared" si="89"/>
        <v>7.1399999999999979</v>
      </c>
      <c r="T50" s="62">
        <f t="shared" si="90"/>
        <v>7.6499999999999977</v>
      </c>
      <c r="U50" s="62">
        <f t="shared" si="91"/>
        <v>8.1599999999999984</v>
      </c>
      <c r="V50" s="62">
        <f t="shared" si="92"/>
        <v>8.6699999999999982</v>
      </c>
      <c r="W50" s="62">
        <f t="shared" si="93"/>
        <v>9.1799999999999979</v>
      </c>
      <c r="X50" s="62">
        <f t="shared" si="94"/>
        <v>9.6899999999999977</v>
      </c>
      <c r="Y50" s="62">
        <f t="shared" si="95"/>
        <v>10.199999999999998</v>
      </c>
      <c r="Z50" s="62">
        <f t="shared" si="96"/>
        <v>10.709999999999997</v>
      </c>
      <c r="AA50" s="62">
        <f t="shared" si="97"/>
        <v>11.219999999999997</v>
      </c>
      <c r="AB50" s="62">
        <f t="shared" si="98"/>
        <v>11.729999999999997</v>
      </c>
      <c r="AC50" s="62">
        <f t="shared" si="99"/>
        <v>12.239999999999997</v>
      </c>
      <c r="AD50" s="62">
        <f t="shared" si="100"/>
        <v>12.749999999999996</v>
      </c>
      <c r="AE50" s="62">
        <f t="shared" si="101"/>
        <v>13.259999999999996</v>
      </c>
      <c r="AF50" s="62">
        <f t="shared" si="102"/>
        <v>13.769999999999996</v>
      </c>
      <c r="AG50" s="62">
        <f t="shared" si="103"/>
        <v>14.279999999999996</v>
      </c>
      <c r="AH50" s="62">
        <f t="shared" si="104"/>
        <v>14.789999999999996</v>
      </c>
      <c r="AI50" s="62">
        <f t="shared" si="105"/>
        <v>15.299999999999995</v>
      </c>
      <c r="AJ50" s="62">
        <f t="shared" si="106"/>
        <v>15.809999999999995</v>
      </c>
      <c r="AK50" s="62">
        <f t="shared" si="107"/>
        <v>16.319999999999997</v>
      </c>
      <c r="AL50" s="62">
        <f t="shared" si="108"/>
        <v>16.829999999999998</v>
      </c>
      <c r="AM50" s="62">
        <f t="shared" si="109"/>
        <v>17.34</v>
      </c>
      <c r="AN50" s="62">
        <f t="shared" si="110"/>
        <v>17.850000000000001</v>
      </c>
      <c r="AO50" s="62">
        <f t="shared" si="111"/>
        <v>18.360000000000003</v>
      </c>
      <c r="AP50" s="62">
        <f t="shared" si="112"/>
        <v>18.870000000000005</v>
      </c>
      <c r="AQ50" s="62">
        <f t="shared" si="113"/>
        <v>19.380000000000006</v>
      </c>
      <c r="AR50" s="62">
        <f t="shared" si="114"/>
        <v>19.890000000000008</v>
      </c>
      <c r="AS50" s="62">
        <f t="shared" si="115"/>
        <v>20.400000000000009</v>
      </c>
      <c r="AT50" s="62">
        <f t="shared" si="116"/>
        <v>20.910000000000011</v>
      </c>
      <c r="AU50" s="62">
        <f t="shared" si="117"/>
        <v>21.420000000000012</v>
      </c>
      <c r="AV50" s="62">
        <f t="shared" si="118"/>
        <v>21.930000000000014</v>
      </c>
      <c r="AW50" s="62">
        <f t="shared" si="119"/>
        <v>22.440000000000015</v>
      </c>
      <c r="AX50" s="62">
        <f t="shared" si="120"/>
        <v>22.950000000000017</v>
      </c>
      <c r="AY50" s="62">
        <f t="shared" si="121"/>
        <v>23.460000000000019</v>
      </c>
      <c r="AZ50" s="62">
        <f t="shared" si="122"/>
        <v>23.97000000000002</v>
      </c>
      <c r="BA50" s="62">
        <f t="shared" si="123"/>
        <v>24.480000000000022</v>
      </c>
      <c r="BB50" s="350">
        <f t="shared" si="124"/>
        <v>24.990000000000023</v>
      </c>
      <c r="BC50" s="354"/>
      <c r="BE50" s="380"/>
      <c r="BF50" s="353">
        <v>0.51</v>
      </c>
      <c r="BG50" s="353" t="s">
        <v>59</v>
      </c>
    </row>
    <row r="51" spans="1:65" ht="14.4" x14ac:dyDescent="0.3">
      <c r="B51" s="364"/>
      <c r="C51" s="9" t="s">
        <v>186</v>
      </c>
      <c r="D51" s="365"/>
      <c r="E51" s="351"/>
      <c r="F51" s="62">
        <f t="shared" si="76"/>
        <v>0.1</v>
      </c>
      <c r="G51" s="62">
        <f t="shared" si="77"/>
        <v>0.2</v>
      </c>
      <c r="H51" s="62">
        <f t="shared" si="78"/>
        <v>0.30000000000000004</v>
      </c>
      <c r="I51" s="62">
        <f t="shared" si="79"/>
        <v>0.4</v>
      </c>
      <c r="J51" s="62">
        <f t="shared" si="80"/>
        <v>0.5</v>
      </c>
      <c r="K51" s="62">
        <f t="shared" si="81"/>
        <v>0.6</v>
      </c>
      <c r="L51" s="62">
        <f t="shared" si="82"/>
        <v>0.7</v>
      </c>
      <c r="M51" s="62">
        <f t="shared" si="83"/>
        <v>0.79999999999999993</v>
      </c>
      <c r="N51" s="62">
        <f t="shared" si="84"/>
        <v>0.89999999999999991</v>
      </c>
      <c r="O51" s="62">
        <f t="shared" si="85"/>
        <v>0.99999999999999989</v>
      </c>
      <c r="P51" s="62">
        <f t="shared" si="86"/>
        <v>1.0999999999999999</v>
      </c>
      <c r="Q51" s="62">
        <f t="shared" si="87"/>
        <v>1.2</v>
      </c>
      <c r="R51" s="62">
        <f t="shared" si="88"/>
        <v>1.3</v>
      </c>
      <c r="S51" s="62">
        <f t="shared" si="89"/>
        <v>1.4000000000000001</v>
      </c>
      <c r="T51" s="62">
        <f t="shared" si="90"/>
        <v>1.5000000000000002</v>
      </c>
      <c r="U51" s="62">
        <f t="shared" si="91"/>
        <v>1.6000000000000003</v>
      </c>
      <c r="V51" s="62">
        <f t="shared" si="92"/>
        <v>1.7000000000000004</v>
      </c>
      <c r="W51" s="62">
        <f t="shared" si="93"/>
        <v>1.8000000000000005</v>
      </c>
      <c r="X51" s="62">
        <f t="shared" si="94"/>
        <v>1.9000000000000006</v>
      </c>
      <c r="Y51" s="62">
        <f t="shared" si="95"/>
        <v>2.0000000000000004</v>
      </c>
      <c r="Z51" s="62">
        <f t="shared" si="96"/>
        <v>2.1000000000000005</v>
      </c>
      <c r="AA51" s="62">
        <f t="shared" si="97"/>
        <v>2.2000000000000006</v>
      </c>
      <c r="AB51" s="62">
        <f t="shared" si="98"/>
        <v>2.3000000000000007</v>
      </c>
      <c r="AC51" s="62">
        <f t="shared" si="99"/>
        <v>2.4000000000000008</v>
      </c>
      <c r="AD51" s="62">
        <f t="shared" si="100"/>
        <v>2.5000000000000009</v>
      </c>
      <c r="AE51" s="62">
        <f t="shared" si="101"/>
        <v>2.600000000000001</v>
      </c>
      <c r="AF51" s="62">
        <f t="shared" si="102"/>
        <v>2.7000000000000011</v>
      </c>
      <c r="AG51" s="62">
        <f t="shared" si="103"/>
        <v>2.8000000000000012</v>
      </c>
      <c r="AH51" s="62">
        <f t="shared" si="104"/>
        <v>2.9000000000000012</v>
      </c>
      <c r="AI51" s="62">
        <f t="shared" si="105"/>
        <v>3.0000000000000013</v>
      </c>
      <c r="AJ51" s="62">
        <f t="shared" si="106"/>
        <v>3.1000000000000014</v>
      </c>
      <c r="AK51" s="62">
        <f t="shared" si="107"/>
        <v>3.2000000000000015</v>
      </c>
      <c r="AL51" s="62">
        <f t="shared" si="108"/>
        <v>3.3000000000000016</v>
      </c>
      <c r="AM51" s="62">
        <f t="shared" si="109"/>
        <v>3.4000000000000017</v>
      </c>
      <c r="AN51" s="62">
        <f t="shared" si="110"/>
        <v>3.5000000000000018</v>
      </c>
      <c r="AO51" s="62">
        <f t="shared" si="111"/>
        <v>3.6000000000000019</v>
      </c>
      <c r="AP51" s="62">
        <f t="shared" si="112"/>
        <v>3.700000000000002</v>
      </c>
      <c r="AQ51" s="62">
        <f t="shared" si="113"/>
        <v>3.800000000000002</v>
      </c>
      <c r="AR51" s="62">
        <f t="shared" si="114"/>
        <v>3.9000000000000021</v>
      </c>
      <c r="AS51" s="62">
        <f t="shared" si="115"/>
        <v>4.0000000000000018</v>
      </c>
      <c r="AT51" s="62">
        <f t="shared" si="116"/>
        <v>4.1000000000000014</v>
      </c>
      <c r="AU51" s="62">
        <f t="shared" si="117"/>
        <v>4.2000000000000011</v>
      </c>
      <c r="AV51" s="62">
        <f t="shared" si="118"/>
        <v>4.3000000000000007</v>
      </c>
      <c r="AW51" s="62">
        <f t="shared" si="119"/>
        <v>4.4000000000000004</v>
      </c>
      <c r="AX51" s="62">
        <f t="shared" si="120"/>
        <v>4.5</v>
      </c>
      <c r="AY51" s="62">
        <f t="shared" si="121"/>
        <v>4.5999999999999996</v>
      </c>
      <c r="AZ51" s="62">
        <f t="shared" si="122"/>
        <v>4.6999999999999993</v>
      </c>
      <c r="BA51" s="62">
        <f t="shared" si="123"/>
        <v>4.7999999999999989</v>
      </c>
      <c r="BB51" s="350">
        <f t="shared" si="124"/>
        <v>4.8999999999999986</v>
      </c>
      <c r="BC51" s="354"/>
      <c r="BE51" s="380"/>
      <c r="BF51" s="353">
        <v>0.1</v>
      </c>
      <c r="BG51" s="353" t="s">
        <v>59</v>
      </c>
    </row>
    <row r="52" spans="1:65" ht="14.4" x14ac:dyDescent="0.3">
      <c r="B52" s="364"/>
      <c r="C52" s="9" t="s">
        <v>187</v>
      </c>
      <c r="D52" s="365"/>
      <c r="E52" s="351"/>
      <c r="F52" s="62">
        <f t="shared" si="76"/>
        <v>0.05</v>
      </c>
      <c r="G52" s="62">
        <f t="shared" si="77"/>
        <v>0.1</v>
      </c>
      <c r="H52" s="62">
        <f t="shared" si="78"/>
        <v>0.15000000000000002</v>
      </c>
      <c r="I52" s="62">
        <f t="shared" si="79"/>
        <v>0.2</v>
      </c>
      <c r="J52" s="62">
        <f t="shared" si="80"/>
        <v>0.25</v>
      </c>
      <c r="K52" s="62">
        <f t="shared" si="81"/>
        <v>0.3</v>
      </c>
      <c r="L52" s="62">
        <f t="shared" si="82"/>
        <v>0.35</v>
      </c>
      <c r="M52" s="62">
        <f t="shared" si="83"/>
        <v>0.39999999999999997</v>
      </c>
      <c r="N52" s="62">
        <f t="shared" si="84"/>
        <v>0.44999999999999996</v>
      </c>
      <c r="O52" s="62">
        <f t="shared" si="85"/>
        <v>0.49999999999999994</v>
      </c>
      <c r="P52" s="62">
        <f t="shared" si="86"/>
        <v>0.54999999999999993</v>
      </c>
      <c r="Q52" s="62">
        <f t="shared" si="87"/>
        <v>0.6</v>
      </c>
      <c r="R52" s="62">
        <f t="shared" si="88"/>
        <v>0.65</v>
      </c>
      <c r="S52" s="62">
        <f t="shared" si="89"/>
        <v>0.70000000000000007</v>
      </c>
      <c r="T52" s="62">
        <f t="shared" si="90"/>
        <v>0.75000000000000011</v>
      </c>
      <c r="U52" s="62">
        <f t="shared" si="91"/>
        <v>0.80000000000000016</v>
      </c>
      <c r="V52" s="62">
        <f t="shared" si="92"/>
        <v>0.8500000000000002</v>
      </c>
      <c r="W52" s="62">
        <f t="shared" si="93"/>
        <v>0.90000000000000024</v>
      </c>
      <c r="X52" s="62">
        <f t="shared" si="94"/>
        <v>0.95000000000000029</v>
      </c>
      <c r="Y52" s="62">
        <f t="shared" si="95"/>
        <v>1.0000000000000002</v>
      </c>
      <c r="Z52" s="62">
        <f t="shared" si="96"/>
        <v>1.0500000000000003</v>
      </c>
      <c r="AA52" s="62">
        <f t="shared" si="97"/>
        <v>1.1000000000000003</v>
      </c>
      <c r="AB52" s="62">
        <f t="shared" si="98"/>
        <v>1.1500000000000004</v>
      </c>
      <c r="AC52" s="62">
        <f t="shared" si="99"/>
        <v>1.2000000000000004</v>
      </c>
      <c r="AD52" s="62">
        <f t="shared" si="100"/>
        <v>1.2500000000000004</v>
      </c>
      <c r="AE52" s="62">
        <f t="shared" si="101"/>
        <v>1.3000000000000005</v>
      </c>
      <c r="AF52" s="62">
        <f t="shared" si="102"/>
        <v>1.3500000000000005</v>
      </c>
      <c r="AG52" s="62">
        <f t="shared" si="103"/>
        <v>1.4000000000000006</v>
      </c>
      <c r="AH52" s="62">
        <f t="shared" si="104"/>
        <v>1.4500000000000006</v>
      </c>
      <c r="AI52" s="62">
        <f t="shared" si="105"/>
        <v>1.5000000000000007</v>
      </c>
      <c r="AJ52" s="62">
        <f t="shared" si="106"/>
        <v>1.5500000000000007</v>
      </c>
      <c r="AK52" s="62">
        <f t="shared" si="107"/>
        <v>1.6000000000000008</v>
      </c>
      <c r="AL52" s="62">
        <f t="shared" si="108"/>
        <v>1.6500000000000008</v>
      </c>
      <c r="AM52" s="62">
        <f t="shared" si="109"/>
        <v>1.7000000000000008</v>
      </c>
      <c r="AN52" s="62">
        <f t="shared" si="110"/>
        <v>1.7500000000000009</v>
      </c>
      <c r="AO52" s="62">
        <f t="shared" si="111"/>
        <v>1.8000000000000009</v>
      </c>
      <c r="AP52" s="62">
        <f t="shared" si="112"/>
        <v>1.850000000000001</v>
      </c>
      <c r="AQ52" s="62">
        <f t="shared" si="113"/>
        <v>1.900000000000001</v>
      </c>
      <c r="AR52" s="62">
        <f t="shared" si="114"/>
        <v>1.9500000000000011</v>
      </c>
      <c r="AS52" s="62">
        <f t="shared" si="115"/>
        <v>2.0000000000000009</v>
      </c>
      <c r="AT52" s="62">
        <f t="shared" si="116"/>
        <v>2.0500000000000007</v>
      </c>
      <c r="AU52" s="62">
        <f t="shared" si="117"/>
        <v>2.1000000000000005</v>
      </c>
      <c r="AV52" s="62">
        <f t="shared" si="118"/>
        <v>2.1500000000000004</v>
      </c>
      <c r="AW52" s="62">
        <f t="shared" si="119"/>
        <v>2.2000000000000002</v>
      </c>
      <c r="AX52" s="62">
        <f t="shared" si="120"/>
        <v>2.25</v>
      </c>
      <c r="AY52" s="62">
        <f t="shared" si="121"/>
        <v>2.2999999999999998</v>
      </c>
      <c r="AZ52" s="62">
        <f t="shared" si="122"/>
        <v>2.3499999999999996</v>
      </c>
      <c r="BA52" s="62">
        <f t="shared" si="123"/>
        <v>2.3999999999999995</v>
      </c>
      <c r="BB52" s="350">
        <f t="shared" si="124"/>
        <v>2.4499999999999993</v>
      </c>
      <c r="BC52" s="354"/>
      <c r="BE52" s="380"/>
      <c r="BF52" s="353">
        <v>0.05</v>
      </c>
      <c r="BG52" s="353" t="s">
        <v>59</v>
      </c>
    </row>
    <row r="53" spans="1:65" ht="14.4" hidden="1" x14ac:dyDescent="0.3">
      <c r="A53" s="16" t="s">
        <v>50</v>
      </c>
      <c r="B53" s="16"/>
      <c r="C53" s="31" t="s">
        <v>113</v>
      </c>
      <c r="D53" s="351"/>
      <c r="E53" s="35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79"/>
      <c r="BC53" s="21"/>
      <c r="BE53" s="380"/>
      <c r="BF53" s="370"/>
      <c r="BG53" s="371"/>
      <c r="BI53" s="9"/>
      <c r="BJ53" s="9"/>
      <c r="BK53" s="9"/>
      <c r="BL53" s="9"/>
      <c r="BM53" s="9"/>
    </row>
    <row r="54" spans="1:65" ht="14.4" hidden="1" x14ac:dyDescent="0.3">
      <c r="B54" s="30"/>
      <c r="C54" s="9" t="s">
        <v>114</v>
      </c>
      <c r="D54" s="351" t="s">
        <v>157</v>
      </c>
      <c r="F54" s="62">
        <f t="shared" si="53"/>
        <v>1</v>
      </c>
      <c r="G54" s="62">
        <f t="shared" si="2"/>
        <v>2</v>
      </c>
      <c r="H54" s="62">
        <f t="shared" si="74"/>
        <v>3</v>
      </c>
      <c r="I54" s="62">
        <f t="shared" si="74"/>
        <v>4</v>
      </c>
      <c r="J54" s="62">
        <f t="shared" si="74"/>
        <v>5</v>
      </c>
      <c r="K54" s="62">
        <f t="shared" si="74"/>
        <v>6</v>
      </c>
      <c r="L54" s="62">
        <f t="shared" si="74"/>
        <v>7</v>
      </c>
      <c r="M54" s="62">
        <f t="shared" si="74"/>
        <v>8</v>
      </c>
      <c r="N54" s="62">
        <f t="shared" si="74"/>
        <v>9</v>
      </c>
      <c r="O54" s="62">
        <f t="shared" si="74"/>
        <v>10</v>
      </c>
      <c r="P54" s="62">
        <f t="shared" si="74"/>
        <v>11</v>
      </c>
      <c r="Q54" s="62">
        <f t="shared" si="74"/>
        <v>12</v>
      </c>
      <c r="R54" s="62">
        <f t="shared" si="74"/>
        <v>13</v>
      </c>
      <c r="S54" s="62">
        <f t="shared" si="74"/>
        <v>14</v>
      </c>
      <c r="T54" s="62">
        <f t="shared" si="74"/>
        <v>15</v>
      </c>
      <c r="U54" s="62">
        <f t="shared" si="74"/>
        <v>16</v>
      </c>
      <c r="V54" s="62">
        <f t="shared" si="74"/>
        <v>17</v>
      </c>
      <c r="W54" s="62">
        <f t="shared" si="74"/>
        <v>18</v>
      </c>
      <c r="X54" s="62">
        <f t="shared" si="74"/>
        <v>19</v>
      </c>
      <c r="Y54" s="62">
        <f t="shared" si="74"/>
        <v>20</v>
      </c>
      <c r="Z54" s="62">
        <f t="shared" si="74"/>
        <v>21</v>
      </c>
      <c r="AA54" s="62">
        <f t="shared" si="74"/>
        <v>22</v>
      </c>
      <c r="AB54" s="62">
        <f t="shared" si="74"/>
        <v>23</v>
      </c>
      <c r="AC54" s="62">
        <f t="shared" si="74"/>
        <v>24</v>
      </c>
      <c r="AD54" s="62">
        <f t="shared" si="74"/>
        <v>25</v>
      </c>
      <c r="AE54" s="62">
        <f t="shared" si="74"/>
        <v>26</v>
      </c>
      <c r="AF54" s="62">
        <f t="shared" si="74"/>
        <v>27</v>
      </c>
      <c r="AG54" s="62">
        <f t="shared" si="74"/>
        <v>28</v>
      </c>
      <c r="AH54" s="62">
        <f t="shared" si="74"/>
        <v>29</v>
      </c>
      <c r="AI54" s="62">
        <f t="shared" si="74"/>
        <v>30</v>
      </c>
      <c r="AJ54" s="62">
        <f t="shared" si="74"/>
        <v>31</v>
      </c>
      <c r="AK54" s="62">
        <f t="shared" si="74"/>
        <v>32</v>
      </c>
      <c r="AL54" s="62">
        <f t="shared" si="74"/>
        <v>33</v>
      </c>
      <c r="AM54" s="62">
        <f t="shared" si="74"/>
        <v>34</v>
      </c>
      <c r="AN54" s="62">
        <f t="shared" si="74"/>
        <v>35</v>
      </c>
      <c r="AO54" s="62">
        <f t="shared" si="74"/>
        <v>36</v>
      </c>
      <c r="AP54" s="62">
        <f t="shared" si="74"/>
        <v>37</v>
      </c>
      <c r="AQ54" s="62">
        <f t="shared" si="74"/>
        <v>38</v>
      </c>
      <c r="AR54" s="62">
        <f t="shared" si="74"/>
        <v>39</v>
      </c>
      <c r="AS54" s="62">
        <f t="shared" si="74"/>
        <v>40</v>
      </c>
      <c r="AT54" s="62">
        <f t="shared" si="74"/>
        <v>41</v>
      </c>
      <c r="AU54" s="62">
        <f t="shared" si="74"/>
        <v>42</v>
      </c>
      <c r="AV54" s="62">
        <f t="shared" si="74"/>
        <v>43</v>
      </c>
      <c r="AW54" s="62">
        <f t="shared" si="74"/>
        <v>44</v>
      </c>
      <c r="AX54" s="62">
        <f t="shared" si="74"/>
        <v>45</v>
      </c>
      <c r="AY54" s="62">
        <f t="shared" si="74"/>
        <v>46</v>
      </c>
      <c r="AZ54" s="62">
        <f t="shared" si="74"/>
        <v>47</v>
      </c>
      <c r="BA54" s="62">
        <f t="shared" si="74"/>
        <v>48</v>
      </c>
      <c r="BB54" s="79">
        <f t="shared" si="74"/>
        <v>49</v>
      </c>
      <c r="BC54" s="354"/>
      <c r="BE54" s="380"/>
      <c r="BF54" s="353">
        <v>1</v>
      </c>
      <c r="BG54" s="353" t="s">
        <v>59</v>
      </c>
    </row>
    <row r="55" spans="1:65" ht="14.4" customHeight="1" x14ac:dyDescent="0.3">
      <c r="A55" s="16" t="s">
        <v>115</v>
      </c>
      <c r="B55" s="16"/>
      <c r="C55" s="31" t="s">
        <v>116</v>
      </c>
      <c r="D55" s="351"/>
      <c r="E55" s="35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61"/>
      <c r="AR55" s="61"/>
      <c r="AS55" s="61"/>
      <c r="AT55" s="61"/>
      <c r="AU55" s="61"/>
      <c r="AV55" s="61"/>
      <c r="AW55" s="61"/>
      <c r="AX55" s="61"/>
      <c r="AY55" s="61"/>
      <c r="AZ55" s="61"/>
      <c r="BA55" s="61"/>
      <c r="BB55" s="79"/>
      <c r="BC55" s="21"/>
      <c r="BE55" s="380"/>
      <c r="BF55" s="370"/>
      <c r="BG55" s="371"/>
      <c r="BI55" s="9"/>
      <c r="BJ55" s="9"/>
      <c r="BK55" s="9"/>
      <c r="BL55" s="9"/>
      <c r="BM55" s="9"/>
    </row>
    <row r="56" spans="1:65" ht="14.4" x14ac:dyDescent="0.3">
      <c r="A56" s="16"/>
      <c r="B56" s="16"/>
      <c r="C56" s="9" t="s">
        <v>188</v>
      </c>
      <c r="D56" s="351" t="s">
        <v>157</v>
      </c>
      <c r="F56" s="62">
        <v>0</v>
      </c>
      <c r="G56" s="62">
        <v>0</v>
      </c>
      <c r="H56" s="62">
        <v>0</v>
      </c>
      <c r="I56" s="62">
        <v>0</v>
      </c>
      <c r="J56" s="62">
        <v>0</v>
      </c>
      <c r="K56" s="62">
        <v>0</v>
      </c>
      <c r="L56" s="62">
        <v>0</v>
      </c>
      <c r="M56" s="62">
        <v>0</v>
      </c>
      <c r="N56" s="62">
        <v>0</v>
      </c>
      <c r="O56" s="62">
        <v>0</v>
      </c>
      <c r="P56" s="62">
        <v>0</v>
      </c>
      <c r="Q56" s="62">
        <v>0</v>
      </c>
      <c r="R56" s="62">
        <v>0</v>
      </c>
      <c r="S56" s="62">
        <v>1</v>
      </c>
      <c r="T56" s="62">
        <f t="shared" ref="T56:AG66" si="125">S56+$BF56</f>
        <v>1.94</v>
      </c>
      <c r="U56" s="62">
        <f t="shared" si="125"/>
        <v>2.88</v>
      </c>
      <c r="V56" s="62">
        <f t="shared" si="125"/>
        <v>3.82</v>
      </c>
      <c r="W56" s="62">
        <f t="shared" si="125"/>
        <v>4.76</v>
      </c>
      <c r="X56" s="62">
        <f t="shared" si="125"/>
        <v>5.6999999999999993</v>
      </c>
      <c r="Y56" s="62">
        <f t="shared" si="125"/>
        <v>6.6399999999999988</v>
      </c>
      <c r="Z56" s="62">
        <f t="shared" si="125"/>
        <v>7.5799999999999983</v>
      </c>
      <c r="AA56" s="62">
        <f t="shared" si="125"/>
        <v>8.5199999999999978</v>
      </c>
      <c r="AB56" s="62">
        <f t="shared" si="125"/>
        <v>9.4599999999999973</v>
      </c>
      <c r="AC56" s="62">
        <f t="shared" si="125"/>
        <v>10.399999999999997</v>
      </c>
      <c r="AD56" s="62">
        <f t="shared" si="125"/>
        <v>11.339999999999996</v>
      </c>
      <c r="AE56" s="62">
        <f t="shared" si="125"/>
        <v>12.279999999999996</v>
      </c>
      <c r="AF56" s="62">
        <f t="shared" si="125"/>
        <v>13.219999999999995</v>
      </c>
      <c r="AG56" s="62">
        <f t="shared" si="125"/>
        <v>14.159999999999995</v>
      </c>
      <c r="AH56" s="62">
        <f>AG56+3*$BF56/5</f>
        <v>14.723999999999995</v>
      </c>
      <c r="AI56" s="62">
        <f t="shared" ref="AI56:BB56" si="126">AH56+3*$BF56/5</f>
        <v>15.287999999999995</v>
      </c>
      <c r="AJ56" s="62">
        <f t="shared" si="126"/>
        <v>15.851999999999995</v>
      </c>
      <c r="AK56" s="62">
        <f t="shared" si="126"/>
        <v>16.415999999999993</v>
      </c>
      <c r="AL56" s="62">
        <f t="shared" si="126"/>
        <v>16.979999999999993</v>
      </c>
      <c r="AM56" s="62">
        <f t="shared" si="126"/>
        <v>17.543999999999993</v>
      </c>
      <c r="AN56" s="62">
        <f t="shared" si="126"/>
        <v>18.107999999999993</v>
      </c>
      <c r="AO56" s="62">
        <f t="shared" si="126"/>
        <v>18.671999999999993</v>
      </c>
      <c r="AP56" s="62">
        <f t="shared" si="126"/>
        <v>19.235999999999994</v>
      </c>
      <c r="AQ56" s="62">
        <f t="shared" si="126"/>
        <v>19.799999999999994</v>
      </c>
      <c r="AR56" s="62">
        <f t="shared" si="126"/>
        <v>20.363999999999994</v>
      </c>
      <c r="AS56" s="62">
        <f t="shared" si="126"/>
        <v>20.927999999999994</v>
      </c>
      <c r="AT56" s="62">
        <f t="shared" si="126"/>
        <v>21.491999999999994</v>
      </c>
      <c r="AU56" s="62">
        <f t="shared" si="126"/>
        <v>22.055999999999994</v>
      </c>
      <c r="AV56" s="62">
        <f t="shared" si="126"/>
        <v>22.619999999999994</v>
      </c>
      <c r="AW56" s="62">
        <f t="shared" si="126"/>
        <v>23.183999999999994</v>
      </c>
      <c r="AX56" s="62">
        <f t="shared" si="126"/>
        <v>23.747999999999994</v>
      </c>
      <c r="AY56" s="62">
        <f t="shared" si="126"/>
        <v>24.311999999999994</v>
      </c>
      <c r="AZ56" s="62">
        <f t="shared" si="126"/>
        <v>24.875999999999994</v>
      </c>
      <c r="BA56" s="62">
        <f t="shared" si="126"/>
        <v>25.439999999999994</v>
      </c>
      <c r="BB56" s="79">
        <f t="shared" si="126"/>
        <v>26.003999999999994</v>
      </c>
      <c r="BC56" s="354"/>
      <c r="BE56" s="380"/>
      <c r="BF56" s="353">
        <v>0.94</v>
      </c>
      <c r="BG56" s="353" t="s">
        <v>55</v>
      </c>
    </row>
    <row r="57" spans="1:65" ht="14.4" x14ac:dyDescent="0.3">
      <c r="C57" s="9" t="s">
        <v>189</v>
      </c>
      <c r="D57" s="351" t="s">
        <v>157</v>
      </c>
      <c r="F57" s="62">
        <v>0</v>
      </c>
      <c r="G57" s="62">
        <v>0</v>
      </c>
      <c r="H57" s="62">
        <v>0</v>
      </c>
      <c r="I57" s="62">
        <v>0</v>
      </c>
      <c r="J57" s="62">
        <v>0</v>
      </c>
      <c r="K57" s="62">
        <v>0</v>
      </c>
      <c r="L57" s="62">
        <v>0</v>
      </c>
      <c r="M57" s="62">
        <v>0</v>
      </c>
      <c r="N57" s="62">
        <v>0</v>
      </c>
      <c r="O57" s="62">
        <v>0</v>
      </c>
      <c r="P57" s="62">
        <v>0</v>
      </c>
      <c r="Q57" s="62">
        <v>0</v>
      </c>
      <c r="R57" s="62">
        <v>0</v>
      </c>
      <c r="S57" s="62">
        <v>1</v>
      </c>
      <c r="T57" s="62">
        <f t="shared" si="125"/>
        <v>1.94</v>
      </c>
      <c r="U57" s="62">
        <f t="shared" si="125"/>
        <v>2.88</v>
      </c>
      <c r="V57" s="62">
        <f t="shared" si="125"/>
        <v>3.82</v>
      </c>
      <c r="W57" s="62">
        <f t="shared" si="125"/>
        <v>4.76</v>
      </c>
      <c r="X57" s="62">
        <f t="shared" si="125"/>
        <v>5.6999999999999993</v>
      </c>
      <c r="Y57" s="62">
        <f t="shared" si="125"/>
        <v>6.6399999999999988</v>
      </c>
      <c r="Z57" s="62">
        <f t="shared" si="125"/>
        <v>7.5799999999999983</v>
      </c>
      <c r="AA57" s="62">
        <f t="shared" si="125"/>
        <v>8.5199999999999978</v>
      </c>
      <c r="AB57" s="62">
        <f t="shared" si="125"/>
        <v>9.4599999999999973</v>
      </c>
      <c r="AC57" s="62">
        <f t="shared" si="125"/>
        <v>10.399999999999997</v>
      </c>
      <c r="AD57" s="62">
        <f t="shared" si="125"/>
        <v>11.339999999999996</v>
      </c>
      <c r="AE57" s="62">
        <f t="shared" si="125"/>
        <v>12.279999999999996</v>
      </c>
      <c r="AF57" s="62">
        <f t="shared" si="125"/>
        <v>13.219999999999995</v>
      </c>
      <c r="AG57" s="62">
        <f t="shared" si="125"/>
        <v>14.159999999999995</v>
      </c>
      <c r="AH57" s="62">
        <f>AG57+3*$BF57/5</f>
        <v>14.723999999999995</v>
      </c>
      <c r="AI57" s="62">
        <f t="shared" ref="AI57:BB57" si="127">AH57+3*$BF57/5</f>
        <v>15.287999999999995</v>
      </c>
      <c r="AJ57" s="62">
        <f t="shared" si="127"/>
        <v>15.851999999999995</v>
      </c>
      <c r="AK57" s="62">
        <f t="shared" si="127"/>
        <v>16.415999999999993</v>
      </c>
      <c r="AL57" s="62">
        <f t="shared" si="127"/>
        <v>16.979999999999993</v>
      </c>
      <c r="AM57" s="62">
        <f t="shared" si="127"/>
        <v>17.543999999999993</v>
      </c>
      <c r="AN57" s="62">
        <f t="shared" si="127"/>
        <v>18.107999999999993</v>
      </c>
      <c r="AO57" s="62">
        <f t="shared" si="127"/>
        <v>18.671999999999993</v>
      </c>
      <c r="AP57" s="62">
        <f t="shared" si="127"/>
        <v>19.235999999999994</v>
      </c>
      <c r="AQ57" s="62">
        <f t="shared" si="127"/>
        <v>19.799999999999994</v>
      </c>
      <c r="AR57" s="62">
        <f t="shared" si="127"/>
        <v>20.363999999999994</v>
      </c>
      <c r="AS57" s="62">
        <f t="shared" si="127"/>
        <v>20.927999999999994</v>
      </c>
      <c r="AT57" s="62">
        <f t="shared" si="127"/>
        <v>21.491999999999994</v>
      </c>
      <c r="AU57" s="62">
        <f t="shared" si="127"/>
        <v>22.055999999999994</v>
      </c>
      <c r="AV57" s="62">
        <f t="shared" si="127"/>
        <v>22.619999999999994</v>
      </c>
      <c r="AW57" s="62">
        <f t="shared" si="127"/>
        <v>23.183999999999994</v>
      </c>
      <c r="AX57" s="62">
        <f t="shared" si="127"/>
        <v>23.747999999999994</v>
      </c>
      <c r="AY57" s="62">
        <f t="shared" si="127"/>
        <v>24.311999999999994</v>
      </c>
      <c r="AZ57" s="62">
        <f t="shared" si="127"/>
        <v>24.875999999999994</v>
      </c>
      <c r="BA57" s="62">
        <f t="shared" si="127"/>
        <v>25.439999999999994</v>
      </c>
      <c r="BB57" s="79">
        <f t="shared" si="127"/>
        <v>26.003999999999994</v>
      </c>
      <c r="BC57" s="354"/>
      <c r="BE57" s="380"/>
      <c r="BF57" s="353">
        <v>0.94</v>
      </c>
      <c r="BG57" s="353" t="s">
        <v>55</v>
      </c>
    </row>
    <row r="58" spans="1:65" ht="14.4" x14ac:dyDescent="0.3">
      <c r="C58" s="9" t="s">
        <v>190</v>
      </c>
      <c r="D58" s="351" t="s">
        <v>157</v>
      </c>
      <c r="F58" s="62">
        <v>0</v>
      </c>
      <c r="G58" s="62">
        <v>0</v>
      </c>
      <c r="H58" s="62">
        <v>0</v>
      </c>
      <c r="I58" s="62">
        <v>0</v>
      </c>
      <c r="J58" s="62">
        <v>0</v>
      </c>
      <c r="K58" s="62">
        <v>0</v>
      </c>
      <c r="L58" s="62">
        <v>0</v>
      </c>
      <c r="M58" s="62">
        <v>0</v>
      </c>
      <c r="N58" s="62">
        <v>0</v>
      </c>
      <c r="O58" s="62">
        <v>0</v>
      </c>
      <c r="P58" s="62">
        <v>0</v>
      </c>
      <c r="Q58" s="62">
        <v>0</v>
      </c>
      <c r="R58" s="62">
        <v>0</v>
      </c>
      <c r="S58" s="62">
        <v>1</v>
      </c>
      <c r="T58" s="62">
        <f t="shared" ref="T58" si="128">S58+$BF58</f>
        <v>1.8</v>
      </c>
      <c r="U58" s="62">
        <f t="shared" ref="U58" si="129">T58+$BF58</f>
        <v>2.6</v>
      </c>
      <c r="V58" s="62">
        <f t="shared" ref="V58" si="130">U58+$BF58</f>
        <v>3.4000000000000004</v>
      </c>
      <c r="W58" s="62">
        <f t="shared" ref="W58" si="131">V58+$BF58</f>
        <v>4.2</v>
      </c>
      <c r="X58" s="62">
        <f t="shared" ref="X58" si="132">W58+$BF58</f>
        <v>5</v>
      </c>
      <c r="Y58" s="62">
        <f t="shared" ref="Y58" si="133">X58+$BF58</f>
        <v>5.8</v>
      </c>
      <c r="Z58" s="62">
        <f t="shared" ref="Z58" si="134">Y58+$BF58</f>
        <v>6.6</v>
      </c>
      <c r="AA58" s="62">
        <f t="shared" ref="AA58" si="135">Z58+$BF58</f>
        <v>7.3999999999999995</v>
      </c>
      <c r="AB58" s="62">
        <f t="shared" ref="AB58" si="136">AA58+$BF58</f>
        <v>8.1999999999999993</v>
      </c>
      <c r="AC58" s="62">
        <f t="shared" ref="AC58" si="137">AB58+$BF58</f>
        <v>9</v>
      </c>
      <c r="AD58" s="62">
        <f t="shared" ref="AD58" si="138">AC58+$BF58</f>
        <v>9.8000000000000007</v>
      </c>
      <c r="AE58" s="62">
        <f t="shared" ref="AE58" si="139">AD58+$BF58</f>
        <v>10.600000000000001</v>
      </c>
      <c r="AF58" s="62">
        <f t="shared" ref="AF58" si="140">AE58+$BF58</f>
        <v>11.400000000000002</v>
      </c>
      <c r="AG58" s="62">
        <f t="shared" ref="AG58" si="141">AF58+$BF58</f>
        <v>12.200000000000003</v>
      </c>
      <c r="AH58" s="62">
        <f>AG58+3*$BF58/5</f>
        <v>12.680000000000003</v>
      </c>
      <c r="AI58" s="62">
        <f t="shared" ref="AI58" si="142">AH58+3*$BF58/5</f>
        <v>13.160000000000004</v>
      </c>
      <c r="AJ58" s="62">
        <f t="shared" ref="AJ58" si="143">AI58+3*$BF58/5</f>
        <v>13.640000000000004</v>
      </c>
      <c r="AK58" s="62">
        <f t="shared" ref="AK58" si="144">AJ58+3*$BF58/5</f>
        <v>14.120000000000005</v>
      </c>
      <c r="AL58" s="62">
        <f t="shared" ref="AL58" si="145">AK58+3*$BF58/5</f>
        <v>14.600000000000005</v>
      </c>
      <c r="AM58" s="62">
        <f t="shared" ref="AM58" si="146">AL58+3*$BF58/5</f>
        <v>15.080000000000005</v>
      </c>
      <c r="AN58" s="62">
        <f t="shared" ref="AN58" si="147">AM58+3*$BF58/5</f>
        <v>15.560000000000006</v>
      </c>
      <c r="AO58" s="62">
        <f t="shared" ref="AO58" si="148">AN58+3*$BF58/5</f>
        <v>16.040000000000006</v>
      </c>
      <c r="AP58" s="62">
        <f t="shared" ref="AP58" si="149">AO58+3*$BF58/5</f>
        <v>16.520000000000007</v>
      </c>
      <c r="AQ58" s="62">
        <f t="shared" ref="AQ58" si="150">AP58+3*$BF58/5</f>
        <v>17.000000000000007</v>
      </c>
      <c r="AR58" s="62">
        <f t="shared" ref="AR58" si="151">AQ58+3*$BF58/5</f>
        <v>17.480000000000008</v>
      </c>
      <c r="AS58" s="62">
        <f t="shared" ref="AS58" si="152">AR58+3*$BF58/5</f>
        <v>17.960000000000008</v>
      </c>
      <c r="AT58" s="62">
        <f t="shared" ref="AT58" si="153">AS58+3*$BF58/5</f>
        <v>18.440000000000008</v>
      </c>
      <c r="AU58" s="62">
        <f t="shared" ref="AU58" si="154">AT58+3*$BF58/5</f>
        <v>18.920000000000009</v>
      </c>
      <c r="AV58" s="62">
        <f t="shared" ref="AV58" si="155">AU58+3*$BF58/5</f>
        <v>19.400000000000009</v>
      </c>
      <c r="AW58" s="62">
        <f t="shared" ref="AW58" si="156">AV58+3*$BF58/5</f>
        <v>19.88000000000001</v>
      </c>
      <c r="AX58" s="62">
        <f t="shared" ref="AX58" si="157">AW58+3*$BF58/5</f>
        <v>20.36000000000001</v>
      </c>
      <c r="AY58" s="62">
        <f t="shared" ref="AY58" si="158">AX58+3*$BF58/5</f>
        <v>20.840000000000011</v>
      </c>
      <c r="AZ58" s="62">
        <f t="shared" ref="AZ58" si="159">AY58+3*$BF58/5</f>
        <v>21.320000000000011</v>
      </c>
      <c r="BA58" s="62">
        <f t="shared" ref="BA58" si="160">AZ58+3*$BF58/5</f>
        <v>21.800000000000011</v>
      </c>
      <c r="BB58" s="79">
        <f t="shared" ref="BB58" si="161">BA58+3*$BF58/5</f>
        <v>22.280000000000012</v>
      </c>
      <c r="BC58" s="354"/>
      <c r="BE58" s="380"/>
      <c r="BF58" s="353">
        <v>0.8</v>
      </c>
      <c r="BG58" s="353" t="s">
        <v>55</v>
      </c>
    </row>
    <row r="59" spans="1:65" ht="14.4" customHeight="1" x14ac:dyDescent="0.3">
      <c r="A59" s="16" t="s">
        <v>115</v>
      </c>
      <c r="B59" s="16"/>
      <c r="C59" s="31" t="s">
        <v>119</v>
      </c>
      <c r="D59" s="351"/>
      <c r="E59" s="35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1"/>
      <c r="BB59" s="79"/>
      <c r="BC59" s="21"/>
      <c r="BE59" s="380"/>
      <c r="BF59" s="378"/>
      <c r="BG59" s="378"/>
      <c r="BI59" s="9"/>
      <c r="BJ59" s="9"/>
      <c r="BK59" s="9"/>
      <c r="BL59" s="9"/>
      <c r="BM59" s="9"/>
    </row>
    <row r="60" spans="1:65" ht="14.4" x14ac:dyDescent="0.3">
      <c r="C60" s="9" t="s">
        <v>191</v>
      </c>
      <c r="D60" s="351" t="s">
        <v>157</v>
      </c>
      <c r="F60" s="62">
        <v>0</v>
      </c>
      <c r="G60" s="62">
        <v>0</v>
      </c>
      <c r="H60" s="62">
        <v>0</v>
      </c>
      <c r="I60" s="62">
        <v>0</v>
      </c>
      <c r="J60" s="62">
        <v>0</v>
      </c>
      <c r="K60" s="62">
        <v>0</v>
      </c>
      <c r="L60" s="62">
        <v>0</v>
      </c>
      <c r="M60" s="62">
        <v>0</v>
      </c>
      <c r="N60" s="62">
        <v>0</v>
      </c>
      <c r="O60" s="62">
        <v>0</v>
      </c>
      <c r="P60" s="62">
        <v>0</v>
      </c>
      <c r="Q60" s="62">
        <v>0</v>
      </c>
      <c r="R60" s="62">
        <v>0</v>
      </c>
      <c r="S60" s="62">
        <v>0</v>
      </c>
      <c r="T60" s="62">
        <f t="shared" si="125"/>
        <v>0</v>
      </c>
      <c r="U60" s="62">
        <f t="shared" si="125"/>
        <v>0</v>
      </c>
      <c r="V60" s="62">
        <f t="shared" si="125"/>
        <v>0</v>
      </c>
      <c r="W60" s="62">
        <f t="shared" si="125"/>
        <v>0</v>
      </c>
      <c r="X60" s="62">
        <f t="shared" si="125"/>
        <v>0</v>
      </c>
      <c r="Y60" s="62">
        <f t="shared" si="125"/>
        <v>0</v>
      </c>
      <c r="Z60" s="62">
        <f t="shared" si="125"/>
        <v>0</v>
      </c>
      <c r="AA60" s="62">
        <f t="shared" si="125"/>
        <v>0</v>
      </c>
      <c r="AB60" s="62">
        <f t="shared" si="125"/>
        <v>0</v>
      </c>
      <c r="AC60" s="62">
        <f t="shared" si="125"/>
        <v>0</v>
      </c>
      <c r="AD60" s="62">
        <f t="shared" si="125"/>
        <v>0</v>
      </c>
      <c r="AE60" s="62">
        <f t="shared" si="125"/>
        <v>0</v>
      </c>
      <c r="AF60" s="62">
        <f t="shared" si="125"/>
        <v>0</v>
      </c>
      <c r="AG60" s="62">
        <f t="shared" si="125"/>
        <v>0</v>
      </c>
      <c r="AH60" s="62">
        <f>AG60+$BF60/8</f>
        <v>0</v>
      </c>
      <c r="AI60" s="62">
        <f t="shared" ref="AI60:BB60" si="162">AH60+$BF60/8</f>
        <v>0</v>
      </c>
      <c r="AJ60" s="62">
        <f t="shared" si="162"/>
        <v>0</v>
      </c>
      <c r="AK60" s="62">
        <f t="shared" si="162"/>
        <v>0</v>
      </c>
      <c r="AL60" s="62">
        <f t="shared" si="162"/>
        <v>0</v>
      </c>
      <c r="AM60" s="62">
        <f t="shared" si="162"/>
        <v>0</v>
      </c>
      <c r="AN60" s="62">
        <f t="shared" si="162"/>
        <v>0</v>
      </c>
      <c r="AO60" s="62">
        <f t="shared" si="162"/>
        <v>0</v>
      </c>
      <c r="AP60" s="62">
        <f t="shared" si="162"/>
        <v>0</v>
      </c>
      <c r="AQ60" s="62">
        <f t="shared" si="162"/>
        <v>0</v>
      </c>
      <c r="AR60" s="62">
        <f t="shared" si="162"/>
        <v>0</v>
      </c>
      <c r="AS60" s="62">
        <f t="shared" si="162"/>
        <v>0</v>
      </c>
      <c r="AT60" s="62">
        <f t="shared" si="162"/>
        <v>0</v>
      </c>
      <c r="AU60" s="62">
        <f t="shared" si="162"/>
        <v>0</v>
      </c>
      <c r="AV60" s="62">
        <f t="shared" si="162"/>
        <v>0</v>
      </c>
      <c r="AW60" s="62">
        <f t="shared" si="162"/>
        <v>0</v>
      </c>
      <c r="AX60" s="62">
        <f t="shared" si="162"/>
        <v>0</v>
      </c>
      <c r="AY60" s="62">
        <f t="shared" si="162"/>
        <v>0</v>
      </c>
      <c r="AZ60" s="62">
        <f t="shared" si="162"/>
        <v>0</v>
      </c>
      <c r="BA60" s="62">
        <f t="shared" si="162"/>
        <v>0</v>
      </c>
      <c r="BB60" s="79">
        <f t="shared" si="162"/>
        <v>0</v>
      </c>
      <c r="BC60" s="354"/>
      <c r="BE60" s="380"/>
      <c r="BF60" s="353">
        <v>0</v>
      </c>
      <c r="BG60" s="353" t="s">
        <v>59</v>
      </c>
    </row>
    <row r="61" spans="1:65" ht="14.4" x14ac:dyDescent="0.3">
      <c r="C61" s="9" t="s">
        <v>192</v>
      </c>
      <c r="D61" s="351" t="s">
        <v>157</v>
      </c>
      <c r="F61" s="62">
        <v>0</v>
      </c>
      <c r="G61" s="62">
        <v>0</v>
      </c>
      <c r="H61" s="62">
        <v>0</v>
      </c>
      <c r="I61" s="62">
        <v>0</v>
      </c>
      <c r="J61" s="62">
        <v>0</v>
      </c>
      <c r="K61" s="62">
        <v>0</v>
      </c>
      <c r="L61" s="62">
        <v>0</v>
      </c>
      <c r="M61" s="62">
        <v>0</v>
      </c>
      <c r="N61" s="62">
        <v>0</v>
      </c>
      <c r="O61" s="62">
        <v>0</v>
      </c>
      <c r="P61" s="62">
        <v>0</v>
      </c>
      <c r="Q61" s="62">
        <v>0</v>
      </c>
      <c r="R61" s="62">
        <v>0</v>
      </c>
      <c r="S61" s="62">
        <v>1.7450000000000001</v>
      </c>
      <c r="T61" s="62">
        <f t="shared" si="125"/>
        <v>2.8450000000000002</v>
      </c>
      <c r="U61" s="62">
        <f t="shared" si="125"/>
        <v>3.9450000000000003</v>
      </c>
      <c r="V61" s="62">
        <f t="shared" si="125"/>
        <v>5.0449999999999999</v>
      </c>
      <c r="W61" s="62">
        <f t="shared" si="125"/>
        <v>6.1449999999999996</v>
      </c>
      <c r="X61" s="62">
        <f t="shared" si="125"/>
        <v>7.2449999999999992</v>
      </c>
      <c r="Y61" s="62">
        <f t="shared" si="125"/>
        <v>8.3449999999999989</v>
      </c>
      <c r="Z61" s="62">
        <f t="shared" si="125"/>
        <v>9.4449999999999985</v>
      </c>
      <c r="AA61" s="62">
        <f t="shared" si="125"/>
        <v>10.544999999999998</v>
      </c>
      <c r="AB61" s="62">
        <f t="shared" si="125"/>
        <v>11.644999999999998</v>
      </c>
      <c r="AC61" s="62">
        <f t="shared" si="125"/>
        <v>12.744999999999997</v>
      </c>
      <c r="AD61" s="62">
        <f t="shared" si="125"/>
        <v>13.844999999999997</v>
      </c>
      <c r="AE61" s="62">
        <f t="shared" si="125"/>
        <v>14.944999999999997</v>
      </c>
      <c r="AF61" s="62">
        <f t="shared" si="125"/>
        <v>16.044999999999998</v>
      </c>
      <c r="AG61" s="62">
        <f t="shared" si="125"/>
        <v>17.145</v>
      </c>
      <c r="AH61" s="62">
        <f>AG61+$BF61/8</f>
        <v>17.282499999999999</v>
      </c>
      <c r="AI61" s="62">
        <f t="shared" ref="AI61:BB61" si="163">AH61+$BF61/8</f>
        <v>17.419999999999998</v>
      </c>
      <c r="AJ61" s="62">
        <f t="shared" si="163"/>
        <v>17.557499999999997</v>
      </c>
      <c r="AK61" s="62">
        <f t="shared" si="163"/>
        <v>17.694999999999997</v>
      </c>
      <c r="AL61" s="62">
        <f t="shared" si="163"/>
        <v>17.832499999999996</v>
      </c>
      <c r="AM61" s="62">
        <f t="shared" si="163"/>
        <v>17.969999999999995</v>
      </c>
      <c r="AN61" s="62">
        <f t="shared" si="163"/>
        <v>18.107499999999995</v>
      </c>
      <c r="AO61" s="62">
        <f t="shared" si="163"/>
        <v>18.244999999999994</v>
      </c>
      <c r="AP61" s="62">
        <f t="shared" si="163"/>
        <v>18.382499999999993</v>
      </c>
      <c r="AQ61" s="62">
        <f t="shared" si="163"/>
        <v>18.519999999999992</v>
      </c>
      <c r="AR61" s="62">
        <f t="shared" si="163"/>
        <v>18.657499999999992</v>
      </c>
      <c r="AS61" s="62">
        <f t="shared" si="163"/>
        <v>18.794999999999991</v>
      </c>
      <c r="AT61" s="62">
        <f t="shared" si="163"/>
        <v>18.93249999999999</v>
      </c>
      <c r="AU61" s="62">
        <f t="shared" si="163"/>
        <v>19.06999999999999</v>
      </c>
      <c r="AV61" s="62">
        <f t="shared" si="163"/>
        <v>19.207499999999989</v>
      </c>
      <c r="AW61" s="62">
        <f t="shared" si="163"/>
        <v>19.344999999999988</v>
      </c>
      <c r="AX61" s="62">
        <f t="shared" si="163"/>
        <v>19.482499999999987</v>
      </c>
      <c r="AY61" s="62">
        <f t="shared" si="163"/>
        <v>19.619999999999987</v>
      </c>
      <c r="AZ61" s="62">
        <f t="shared" si="163"/>
        <v>19.757499999999986</v>
      </c>
      <c r="BA61" s="62">
        <f t="shared" si="163"/>
        <v>19.894999999999985</v>
      </c>
      <c r="BB61" s="79">
        <f t="shared" si="163"/>
        <v>20.032499999999985</v>
      </c>
      <c r="BC61" s="354"/>
      <c r="BE61" s="380"/>
      <c r="BF61" s="353">
        <v>1.1000000000000001</v>
      </c>
      <c r="BG61" s="353" t="s">
        <v>59</v>
      </c>
    </row>
    <row r="62" spans="1:65" ht="14.4" customHeight="1" x14ac:dyDescent="0.3">
      <c r="A62" s="16" t="s">
        <v>115</v>
      </c>
      <c r="B62" s="16"/>
      <c r="C62" s="31" t="s">
        <v>193</v>
      </c>
      <c r="D62" s="351"/>
      <c r="E62" s="35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c r="AP62" s="61"/>
      <c r="AQ62" s="61"/>
      <c r="AR62" s="61"/>
      <c r="AS62" s="61"/>
      <c r="AT62" s="61"/>
      <c r="AU62" s="61"/>
      <c r="AV62" s="61"/>
      <c r="AW62" s="61"/>
      <c r="AX62" s="61"/>
      <c r="AY62" s="61"/>
      <c r="AZ62" s="61"/>
      <c r="BA62" s="61"/>
      <c r="BB62" s="79"/>
      <c r="BC62" s="21"/>
      <c r="BE62" s="380"/>
      <c r="BF62" s="378"/>
      <c r="BG62" s="378"/>
      <c r="BI62" s="9"/>
      <c r="BJ62" s="9"/>
      <c r="BK62" s="9"/>
      <c r="BL62" s="9"/>
      <c r="BM62" s="9"/>
    </row>
    <row r="63" spans="1:65" ht="14.4" hidden="1" x14ac:dyDescent="0.3">
      <c r="C63" s="9" t="s">
        <v>194</v>
      </c>
      <c r="D63" s="351" t="s">
        <v>53</v>
      </c>
      <c r="F63" s="62">
        <v>0</v>
      </c>
      <c r="G63" s="62">
        <v>0</v>
      </c>
      <c r="H63" s="62">
        <v>0</v>
      </c>
      <c r="I63" s="62">
        <v>0</v>
      </c>
      <c r="J63" s="62">
        <v>0</v>
      </c>
      <c r="K63" s="62">
        <v>0</v>
      </c>
      <c r="L63" s="62">
        <v>0</v>
      </c>
      <c r="M63" s="62">
        <v>0</v>
      </c>
      <c r="N63" s="62">
        <v>0</v>
      </c>
      <c r="O63" s="62">
        <v>0</v>
      </c>
      <c r="P63" s="62">
        <v>0</v>
      </c>
      <c r="Q63" s="62">
        <v>0</v>
      </c>
      <c r="R63" s="62">
        <v>0</v>
      </c>
      <c r="S63" s="62">
        <v>0.17660000000000001</v>
      </c>
      <c r="T63" s="62">
        <f t="shared" si="125"/>
        <v>0.27660000000000001</v>
      </c>
      <c r="U63" s="62">
        <f t="shared" si="125"/>
        <v>0.37660000000000005</v>
      </c>
      <c r="V63" s="62">
        <f t="shared" si="125"/>
        <v>0.47660000000000002</v>
      </c>
      <c r="W63" s="62">
        <f t="shared" si="125"/>
        <v>0.5766</v>
      </c>
      <c r="X63" s="62">
        <f t="shared" si="125"/>
        <v>0.67659999999999998</v>
      </c>
      <c r="Y63" s="62">
        <f t="shared" si="125"/>
        <v>0.77659999999999996</v>
      </c>
      <c r="Z63" s="62">
        <f t="shared" si="125"/>
        <v>0.87659999999999993</v>
      </c>
      <c r="AA63" s="62">
        <f t="shared" si="125"/>
        <v>0.97659999999999991</v>
      </c>
      <c r="AB63" s="62">
        <f t="shared" si="125"/>
        <v>1.0766</v>
      </c>
      <c r="AC63" s="62">
        <f t="shared" si="125"/>
        <v>1.1766000000000001</v>
      </c>
      <c r="AD63" s="62">
        <f t="shared" si="125"/>
        <v>1.2766000000000002</v>
      </c>
      <c r="AE63" s="62">
        <f t="shared" si="125"/>
        <v>1.3766000000000003</v>
      </c>
      <c r="AF63" s="62">
        <f t="shared" si="125"/>
        <v>1.4766000000000004</v>
      </c>
      <c r="AG63" s="62">
        <f t="shared" si="125"/>
        <v>1.5766000000000004</v>
      </c>
      <c r="AH63" s="62">
        <f>AG63+$BF63/4</f>
        <v>1.6016000000000004</v>
      </c>
      <c r="AI63" s="62">
        <f t="shared" ref="AI63:BB63" si="164">AH63+$BF63/4</f>
        <v>1.6266000000000003</v>
      </c>
      <c r="AJ63" s="62">
        <f t="shared" si="164"/>
        <v>1.6516000000000002</v>
      </c>
      <c r="AK63" s="62">
        <f t="shared" si="164"/>
        <v>1.6766000000000001</v>
      </c>
      <c r="AL63" s="62">
        <f t="shared" si="164"/>
        <v>1.7016</v>
      </c>
      <c r="AM63" s="62">
        <f t="shared" si="164"/>
        <v>1.7265999999999999</v>
      </c>
      <c r="AN63" s="62">
        <f t="shared" si="164"/>
        <v>1.7515999999999998</v>
      </c>
      <c r="AO63" s="62">
        <f t="shared" si="164"/>
        <v>1.7765999999999997</v>
      </c>
      <c r="AP63" s="62">
        <f t="shared" si="164"/>
        <v>1.8015999999999996</v>
      </c>
      <c r="AQ63" s="62">
        <f t="shared" si="164"/>
        <v>1.8265999999999996</v>
      </c>
      <c r="AR63" s="62">
        <f t="shared" si="164"/>
        <v>1.8515999999999995</v>
      </c>
      <c r="AS63" s="62">
        <f t="shared" si="164"/>
        <v>1.8765999999999994</v>
      </c>
      <c r="AT63" s="62">
        <f t="shared" si="164"/>
        <v>1.9015999999999993</v>
      </c>
      <c r="AU63" s="62">
        <f t="shared" si="164"/>
        <v>1.9265999999999992</v>
      </c>
      <c r="AV63" s="62">
        <f t="shared" si="164"/>
        <v>1.9515999999999991</v>
      </c>
      <c r="AW63" s="62">
        <f t="shared" si="164"/>
        <v>1.976599999999999</v>
      </c>
      <c r="AX63" s="62">
        <f t="shared" si="164"/>
        <v>2.0015999999999989</v>
      </c>
      <c r="AY63" s="62">
        <f t="shared" si="164"/>
        <v>2.0265999999999988</v>
      </c>
      <c r="AZ63" s="62">
        <f t="shared" si="164"/>
        <v>2.0515999999999988</v>
      </c>
      <c r="BA63" s="62">
        <f t="shared" si="164"/>
        <v>2.0765999999999987</v>
      </c>
      <c r="BB63" s="79">
        <f t="shared" si="164"/>
        <v>2.1015999999999986</v>
      </c>
      <c r="BC63" s="354"/>
      <c r="BE63" s="380"/>
      <c r="BF63" s="353">
        <v>0.1</v>
      </c>
      <c r="BG63" s="353" t="s">
        <v>55</v>
      </c>
    </row>
    <row r="64" spans="1:65" ht="14.4" x14ac:dyDescent="0.3">
      <c r="C64" s="9" t="s">
        <v>195</v>
      </c>
      <c r="D64" s="351" t="s">
        <v>157</v>
      </c>
      <c r="F64" s="62">
        <v>0</v>
      </c>
      <c r="G64" s="62">
        <v>0</v>
      </c>
      <c r="H64" s="62">
        <v>0</v>
      </c>
      <c r="I64" s="62">
        <v>0</v>
      </c>
      <c r="J64" s="62">
        <v>0</v>
      </c>
      <c r="K64" s="62">
        <v>0</v>
      </c>
      <c r="L64" s="62">
        <v>0</v>
      </c>
      <c r="M64" s="62">
        <v>0</v>
      </c>
      <c r="N64" s="62">
        <v>0</v>
      </c>
      <c r="O64" s="62">
        <v>0</v>
      </c>
      <c r="P64" s="62">
        <v>0</v>
      </c>
      <c r="Q64" s="62">
        <v>0</v>
      </c>
      <c r="R64" s="62">
        <v>0</v>
      </c>
      <c r="S64" s="62">
        <v>0.17660000000000001</v>
      </c>
      <c r="T64" s="62">
        <f t="shared" si="125"/>
        <v>0.27660000000000001</v>
      </c>
      <c r="U64" s="62">
        <f t="shared" si="125"/>
        <v>0.37660000000000005</v>
      </c>
      <c r="V64" s="62">
        <f t="shared" si="125"/>
        <v>0.47660000000000002</v>
      </c>
      <c r="W64" s="62">
        <f t="shared" si="125"/>
        <v>0.5766</v>
      </c>
      <c r="X64" s="62">
        <f t="shared" si="125"/>
        <v>0.67659999999999998</v>
      </c>
      <c r="Y64" s="62">
        <f t="shared" si="125"/>
        <v>0.77659999999999996</v>
      </c>
      <c r="Z64" s="62">
        <f t="shared" si="125"/>
        <v>0.87659999999999993</v>
      </c>
      <c r="AA64" s="62">
        <f t="shared" si="125"/>
        <v>0.97659999999999991</v>
      </c>
      <c r="AB64" s="62">
        <f t="shared" si="125"/>
        <v>1.0766</v>
      </c>
      <c r="AC64" s="62">
        <f t="shared" si="125"/>
        <v>1.1766000000000001</v>
      </c>
      <c r="AD64" s="62">
        <f t="shared" si="125"/>
        <v>1.2766000000000002</v>
      </c>
      <c r="AE64" s="62">
        <f t="shared" si="125"/>
        <v>1.3766000000000003</v>
      </c>
      <c r="AF64" s="62">
        <f t="shared" si="125"/>
        <v>1.4766000000000004</v>
      </c>
      <c r="AG64" s="62">
        <f t="shared" si="125"/>
        <v>1.5766000000000004</v>
      </c>
      <c r="AH64" s="62">
        <f>AG64+$BF64/4</f>
        <v>1.6016000000000004</v>
      </c>
      <c r="AI64" s="62">
        <f t="shared" ref="AI64:BB66" si="165">AH64+$BF64/4</f>
        <v>1.6266000000000003</v>
      </c>
      <c r="AJ64" s="62">
        <f t="shared" si="165"/>
        <v>1.6516000000000002</v>
      </c>
      <c r="AK64" s="62">
        <f t="shared" si="165"/>
        <v>1.6766000000000001</v>
      </c>
      <c r="AL64" s="62">
        <f t="shared" si="165"/>
        <v>1.7016</v>
      </c>
      <c r="AM64" s="62">
        <f t="shared" si="165"/>
        <v>1.7265999999999999</v>
      </c>
      <c r="AN64" s="62">
        <f t="shared" si="165"/>
        <v>1.7515999999999998</v>
      </c>
      <c r="AO64" s="62">
        <f t="shared" si="165"/>
        <v>1.7765999999999997</v>
      </c>
      <c r="AP64" s="62">
        <f t="shared" si="165"/>
        <v>1.8015999999999996</v>
      </c>
      <c r="AQ64" s="62">
        <f t="shared" si="165"/>
        <v>1.8265999999999996</v>
      </c>
      <c r="AR64" s="62">
        <f t="shared" si="165"/>
        <v>1.8515999999999995</v>
      </c>
      <c r="AS64" s="62">
        <f t="shared" si="165"/>
        <v>1.8765999999999994</v>
      </c>
      <c r="AT64" s="62">
        <f t="shared" si="165"/>
        <v>1.9015999999999993</v>
      </c>
      <c r="AU64" s="62">
        <f t="shared" si="165"/>
        <v>1.9265999999999992</v>
      </c>
      <c r="AV64" s="62">
        <f t="shared" si="165"/>
        <v>1.9515999999999991</v>
      </c>
      <c r="AW64" s="62">
        <f t="shared" si="165"/>
        <v>1.976599999999999</v>
      </c>
      <c r="AX64" s="62">
        <f t="shared" si="165"/>
        <v>2.0015999999999989</v>
      </c>
      <c r="AY64" s="62">
        <f t="shared" si="165"/>
        <v>2.0265999999999988</v>
      </c>
      <c r="AZ64" s="62">
        <f t="shared" si="165"/>
        <v>2.0515999999999988</v>
      </c>
      <c r="BA64" s="62">
        <f t="shared" si="165"/>
        <v>2.0765999999999987</v>
      </c>
      <c r="BB64" s="79">
        <f t="shared" si="165"/>
        <v>2.1015999999999986</v>
      </c>
      <c r="BC64" s="354"/>
      <c r="BE64" s="380"/>
      <c r="BF64" s="353">
        <v>0.1</v>
      </c>
      <c r="BG64" s="353" t="s">
        <v>55</v>
      </c>
    </row>
    <row r="65" spans="1:65" ht="14.4" customHeight="1" x14ac:dyDescent="0.3">
      <c r="A65" s="16" t="s">
        <v>115</v>
      </c>
      <c r="B65" s="16"/>
      <c r="C65" s="31" t="s">
        <v>134</v>
      </c>
      <c r="D65" s="351"/>
      <c r="E65" s="35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c r="AP65" s="61"/>
      <c r="AQ65" s="61"/>
      <c r="AR65" s="61"/>
      <c r="AS65" s="61"/>
      <c r="AT65" s="61"/>
      <c r="AU65" s="61"/>
      <c r="AV65" s="61"/>
      <c r="AW65" s="61"/>
      <c r="AX65" s="61"/>
      <c r="AY65" s="61"/>
      <c r="AZ65" s="61"/>
      <c r="BA65" s="61"/>
      <c r="BB65" s="79"/>
      <c r="BC65" s="21"/>
      <c r="BE65" s="380"/>
      <c r="BF65" s="370"/>
      <c r="BG65" s="371"/>
      <c r="BI65" s="9"/>
      <c r="BJ65" s="9"/>
      <c r="BK65" s="9"/>
      <c r="BL65" s="9"/>
      <c r="BM65" s="9"/>
    </row>
    <row r="66" spans="1:65" ht="14.4" x14ac:dyDescent="0.3">
      <c r="A66" s="16"/>
      <c r="B66" s="16"/>
      <c r="C66" s="9" t="s">
        <v>135</v>
      </c>
      <c r="D66" s="351" t="s">
        <v>157</v>
      </c>
      <c r="F66" s="61">
        <v>0</v>
      </c>
      <c r="G66" s="61">
        <v>0</v>
      </c>
      <c r="H66" s="61">
        <v>0</v>
      </c>
      <c r="I66" s="61">
        <v>0</v>
      </c>
      <c r="J66" s="61">
        <v>0</v>
      </c>
      <c r="K66" s="61">
        <v>0</v>
      </c>
      <c r="L66" s="61">
        <v>0</v>
      </c>
      <c r="M66" s="61">
        <v>0</v>
      </c>
      <c r="N66" s="61">
        <v>0</v>
      </c>
      <c r="O66" s="61">
        <v>0</v>
      </c>
      <c r="P66" s="61">
        <v>0</v>
      </c>
      <c r="Q66" s="61">
        <v>0</v>
      </c>
      <c r="R66" s="61">
        <v>0</v>
      </c>
      <c r="S66" s="61">
        <v>7.0000000000000007E-2</v>
      </c>
      <c r="T66" s="61">
        <f t="shared" si="125"/>
        <v>0.14000000000000001</v>
      </c>
      <c r="U66" s="61">
        <f t="shared" si="125"/>
        <v>0.21000000000000002</v>
      </c>
      <c r="V66" s="61">
        <f t="shared" si="125"/>
        <v>0.28000000000000003</v>
      </c>
      <c r="W66" s="61">
        <f t="shared" si="125"/>
        <v>0.35000000000000003</v>
      </c>
      <c r="X66" s="61">
        <f t="shared" si="125"/>
        <v>0.42000000000000004</v>
      </c>
      <c r="Y66" s="61">
        <f t="shared" si="125"/>
        <v>0.49000000000000005</v>
      </c>
      <c r="Z66" s="61">
        <f t="shared" si="125"/>
        <v>0.56000000000000005</v>
      </c>
      <c r="AA66" s="61">
        <f t="shared" si="125"/>
        <v>0.63000000000000012</v>
      </c>
      <c r="AB66" s="61">
        <f t="shared" si="125"/>
        <v>0.70000000000000018</v>
      </c>
      <c r="AC66" s="61">
        <f t="shared" si="125"/>
        <v>0.77000000000000024</v>
      </c>
      <c r="AD66" s="61">
        <f t="shared" si="125"/>
        <v>0.8400000000000003</v>
      </c>
      <c r="AE66" s="61">
        <f t="shared" si="125"/>
        <v>0.91000000000000036</v>
      </c>
      <c r="AF66" s="61">
        <f t="shared" si="125"/>
        <v>0.98000000000000043</v>
      </c>
      <c r="AG66" s="61">
        <f t="shared" si="125"/>
        <v>1.0500000000000005</v>
      </c>
      <c r="AH66" s="61">
        <f>AG66+$BF66/4</f>
        <v>1.0675000000000006</v>
      </c>
      <c r="AI66" s="61">
        <f t="shared" si="165"/>
        <v>1.0850000000000006</v>
      </c>
      <c r="AJ66" s="61">
        <f t="shared" si="165"/>
        <v>1.1025000000000007</v>
      </c>
      <c r="AK66" s="61">
        <f t="shared" si="165"/>
        <v>1.1200000000000008</v>
      </c>
      <c r="AL66" s="61">
        <f t="shared" si="165"/>
        <v>1.1375000000000008</v>
      </c>
      <c r="AM66" s="61">
        <f t="shared" si="165"/>
        <v>1.1550000000000009</v>
      </c>
      <c r="AN66" s="61">
        <f t="shared" si="165"/>
        <v>1.172500000000001</v>
      </c>
      <c r="AO66" s="61">
        <f t="shared" si="165"/>
        <v>1.1900000000000011</v>
      </c>
      <c r="AP66" s="61">
        <f t="shared" si="165"/>
        <v>1.2075000000000011</v>
      </c>
      <c r="AQ66" s="61">
        <f t="shared" si="165"/>
        <v>1.2250000000000012</v>
      </c>
      <c r="AR66" s="61">
        <f t="shared" si="165"/>
        <v>1.2425000000000013</v>
      </c>
      <c r="AS66" s="61">
        <f t="shared" si="165"/>
        <v>1.2600000000000013</v>
      </c>
      <c r="AT66" s="61">
        <f t="shared" si="165"/>
        <v>1.2775000000000014</v>
      </c>
      <c r="AU66" s="61">
        <f t="shared" si="165"/>
        <v>1.2950000000000015</v>
      </c>
      <c r="AV66" s="61">
        <f t="shared" si="165"/>
        <v>1.3125000000000016</v>
      </c>
      <c r="AW66" s="61">
        <f t="shared" si="165"/>
        <v>1.3300000000000016</v>
      </c>
      <c r="AX66" s="61">
        <f t="shared" si="165"/>
        <v>1.3475000000000017</v>
      </c>
      <c r="AY66" s="61">
        <f t="shared" si="165"/>
        <v>1.3650000000000018</v>
      </c>
      <c r="AZ66" s="61">
        <f t="shared" si="165"/>
        <v>1.3825000000000018</v>
      </c>
      <c r="BA66" s="61">
        <f t="shared" si="165"/>
        <v>1.4000000000000019</v>
      </c>
      <c r="BB66" s="79">
        <f t="shared" si="165"/>
        <v>1.417500000000002</v>
      </c>
      <c r="BC66" s="21"/>
      <c r="BE66" s="380"/>
      <c r="BF66" s="353">
        <v>7.0000000000000007E-2</v>
      </c>
      <c r="BG66" s="353" t="s">
        <v>59</v>
      </c>
    </row>
    <row r="67" spans="1:65" ht="14.4" x14ac:dyDescent="0.3">
      <c r="C67" s="9" t="s">
        <v>136</v>
      </c>
      <c r="D67" s="351" t="s">
        <v>157</v>
      </c>
      <c r="E67" s="351"/>
      <c r="F67" s="62">
        <v>0</v>
      </c>
      <c r="G67" s="62">
        <v>0</v>
      </c>
      <c r="H67" s="62">
        <v>0</v>
      </c>
      <c r="I67" s="62">
        <v>0</v>
      </c>
      <c r="J67" s="62">
        <v>0</v>
      </c>
      <c r="K67" s="62">
        <v>0</v>
      </c>
      <c r="L67" s="62">
        <v>0</v>
      </c>
      <c r="M67" s="62">
        <v>0</v>
      </c>
      <c r="N67" s="62">
        <v>0</v>
      </c>
      <c r="O67" s="62">
        <v>0</v>
      </c>
      <c r="P67" s="62">
        <v>0</v>
      </c>
      <c r="Q67" s="62">
        <v>0</v>
      </c>
      <c r="R67" s="62">
        <v>0</v>
      </c>
      <c r="S67" s="62">
        <v>2</v>
      </c>
      <c r="T67" s="62">
        <f t="shared" ref="T67:BB67" si="166">S67+$BF67</f>
        <v>4</v>
      </c>
      <c r="U67" s="62">
        <f t="shared" si="166"/>
        <v>6</v>
      </c>
      <c r="V67" s="62">
        <f t="shared" si="166"/>
        <v>8</v>
      </c>
      <c r="W67" s="62">
        <f t="shared" si="166"/>
        <v>10</v>
      </c>
      <c r="X67" s="62">
        <f t="shared" si="166"/>
        <v>12</v>
      </c>
      <c r="Y67" s="62">
        <f t="shared" si="166"/>
        <v>14</v>
      </c>
      <c r="Z67" s="62">
        <f t="shared" si="166"/>
        <v>16</v>
      </c>
      <c r="AA67" s="62">
        <f t="shared" si="166"/>
        <v>18</v>
      </c>
      <c r="AB67" s="62">
        <f t="shared" si="166"/>
        <v>20</v>
      </c>
      <c r="AC67" s="62">
        <f t="shared" si="166"/>
        <v>22</v>
      </c>
      <c r="AD67" s="62">
        <f t="shared" si="166"/>
        <v>24</v>
      </c>
      <c r="AE67" s="62">
        <f t="shared" si="166"/>
        <v>26</v>
      </c>
      <c r="AF67" s="62">
        <f t="shared" si="166"/>
        <v>28</v>
      </c>
      <c r="AG67" s="62">
        <f t="shared" si="166"/>
        <v>30</v>
      </c>
      <c r="AH67" s="62">
        <f t="shared" si="166"/>
        <v>32</v>
      </c>
      <c r="AI67" s="62">
        <f t="shared" si="166"/>
        <v>34</v>
      </c>
      <c r="AJ67" s="62">
        <f t="shared" si="166"/>
        <v>36</v>
      </c>
      <c r="AK67" s="62">
        <f t="shared" si="166"/>
        <v>38</v>
      </c>
      <c r="AL67" s="62">
        <f t="shared" si="166"/>
        <v>40</v>
      </c>
      <c r="AM67" s="62">
        <f t="shared" si="166"/>
        <v>42</v>
      </c>
      <c r="AN67" s="62">
        <f t="shared" si="166"/>
        <v>44</v>
      </c>
      <c r="AO67" s="62">
        <f t="shared" si="166"/>
        <v>46</v>
      </c>
      <c r="AP67" s="62">
        <f t="shared" si="166"/>
        <v>48</v>
      </c>
      <c r="AQ67" s="62">
        <f t="shared" si="166"/>
        <v>50</v>
      </c>
      <c r="AR67" s="62">
        <f t="shared" si="166"/>
        <v>52</v>
      </c>
      <c r="AS67" s="62">
        <f t="shared" si="166"/>
        <v>54</v>
      </c>
      <c r="AT67" s="62">
        <f t="shared" si="166"/>
        <v>56</v>
      </c>
      <c r="AU67" s="62">
        <f t="shared" si="166"/>
        <v>58</v>
      </c>
      <c r="AV67" s="62">
        <f t="shared" si="166"/>
        <v>60</v>
      </c>
      <c r="AW67" s="62">
        <f t="shared" si="166"/>
        <v>62</v>
      </c>
      <c r="AX67" s="62">
        <f t="shared" si="166"/>
        <v>64</v>
      </c>
      <c r="AY67" s="62">
        <f t="shared" si="166"/>
        <v>66</v>
      </c>
      <c r="AZ67" s="62">
        <f t="shared" si="166"/>
        <v>68</v>
      </c>
      <c r="BA67" s="62">
        <f t="shared" si="166"/>
        <v>70</v>
      </c>
      <c r="BB67" s="79">
        <f t="shared" si="166"/>
        <v>72</v>
      </c>
      <c r="BC67" s="354"/>
      <c r="BE67" s="381"/>
      <c r="BF67" s="353">
        <v>2</v>
      </c>
      <c r="BG67" s="353" t="s">
        <v>59</v>
      </c>
    </row>
    <row r="68" spans="1:65" ht="14.4" customHeight="1" x14ac:dyDescent="0.3">
      <c r="A68" s="16" t="s">
        <v>115</v>
      </c>
      <c r="B68" s="16"/>
      <c r="C68" s="31" t="s">
        <v>196</v>
      </c>
      <c r="D68" s="351"/>
      <c r="E68" s="35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c r="AL68" s="61"/>
      <c r="AM68" s="61"/>
      <c r="AN68" s="61"/>
      <c r="AO68" s="61"/>
      <c r="AP68" s="61"/>
      <c r="AQ68" s="61"/>
      <c r="AR68" s="61"/>
      <c r="AS68" s="61"/>
      <c r="AT68" s="61"/>
      <c r="AU68" s="61"/>
      <c r="AV68" s="61"/>
      <c r="AW68" s="61"/>
      <c r="AX68" s="61"/>
      <c r="AY68" s="61"/>
      <c r="AZ68" s="61"/>
      <c r="BA68" s="61"/>
      <c r="BB68" s="79"/>
      <c r="BC68" s="21"/>
      <c r="BF68" s="370"/>
      <c r="BG68" s="371"/>
      <c r="BI68" s="9"/>
      <c r="BJ68" s="9"/>
      <c r="BK68" s="9"/>
      <c r="BL68" s="9"/>
      <c r="BM68" s="9"/>
    </row>
    <row r="69" spans="1:65" ht="14.4" x14ac:dyDescent="0.3">
      <c r="A69" s="16"/>
      <c r="B69" s="16"/>
      <c r="C69" s="9" t="s">
        <v>197</v>
      </c>
      <c r="D69" s="351" t="s">
        <v>157</v>
      </c>
      <c r="F69" s="79">
        <v>0</v>
      </c>
      <c r="G69" s="79">
        <v>0</v>
      </c>
      <c r="H69" s="79">
        <v>0</v>
      </c>
      <c r="I69" s="79">
        <v>0</v>
      </c>
      <c r="J69" s="79">
        <v>0</v>
      </c>
      <c r="K69" s="79">
        <v>0</v>
      </c>
      <c r="L69" s="79">
        <v>0</v>
      </c>
      <c r="M69" s="79">
        <v>0</v>
      </c>
      <c r="N69" s="79">
        <v>0</v>
      </c>
      <c r="O69" s="61">
        <f>N69+$BF$69</f>
        <v>0.25</v>
      </c>
      <c r="P69" s="61">
        <f t="shared" ref="P69:BB69" si="167">O69+$BF$69</f>
        <v>0.5</v>
      </c>
      <c r="Q69" s="61">
        <f t="shared" si="167"/>
        <v>0.75</v>
      </c>
      <c r="R69" s="61">
        <f t="shared" si="167"/>
        <v>1</v>
      </c>
      <c r="S69" s="61">
        <f t="shared" si="167"/>
        <v>1.25</v>
      </c>
      <c r="T69" s="61">
        <f t="shared" si="167"/>
        <v>1.5</v>
      </c>
      <c r="U69" s="61">
        <f t="shared" si="167"/>
        <v>1.75</v>
      </c>
      <c r="V69" s="61">
        <f t="shared" si="167"/>
        <v>2</v>
      </c>
      <c r="W69" s="61">
        <f t="shared" si="167"/>
        <v>2.25</v>
      </c>
      <c r="X69" s="61">
        <f t="shared" si="167"/>
        <v>2.5</v>
      </c>
      <c r="Y69" s="61">
        <f t="shared" si="167"/>
        <v>2.75</v>
      </c>
      <c r="Z69" s="61">
        <f t="shared" si="167"/>
        <v>3</v>
      </c>
      <c r="AA69" s="61">
        <f t="shared" si="167"/>
        <v>3.25</v>
      </c>
      <c r="AB69" s="61">
        <f t="shared" si="167"/>
        <v>3.5</v>
      </c>
      <c r="AC69" s="61">
        <f t="shared" si="167"/>
        <v>3.75</v>
      </c>
      <c r="AD69" s="61">
        <f t="shared" si="167"/>
        <v>4</v>
      </c>
      <c r="AE69" s="61">
        <f t="shared" si="167"/>
        <v>4.25</v>
      </c>
      <c r="AF69" s="61">
        <f t="shared" si="167"/>
        <v>4.5</v>
      </c>
      <c r="AG69" s="61">
        <f t="shared" si="167"/>
        <v>4.75</v>
      </c>
      <c r="AH69" s="61">
        <f t="shared" si="167"/>
        <v>5</v>
      </c>
      <c r="AI69" s="61">
        <f t="shared" si="167"/>
        <v>5.25</v>
      </c>
      <c r="AJ69" s="61">
        <f t="shared" si="167"/>
        <v>5.5</v>
      </c>
      <c r="AK69" s="61">
        <f t="shared" si="167"/>
        <v>5.75</v>
      </c>
      <c r="AL69" s="61">
        <f t="shared" si="167"/>
        <v>6</v>
      </c>
      <c r="AM69" s="61">
        <f t="shared" si="167"/>
        <v>6.25</v>
      </c>
      <c r="AN69" s="61">
        <f t="shared" si="167"/>
        <v>6.5</v>
      </c>
      <c r="AO69" s="61">
        <f t="shared" si="167"/>
        <v>6.75</v>
      </c>
      <c r="AP69" s="61">
        <f t="shared" si="167"/>
        <v>7</v>
      </c>
      <c r="AQ69" s="61">
        <f t="shared" si="167"/>
        <v>7.25</v>
      </c>
      <c r="AR69" s="61">
        <f t="shared" si="167"/>
        <v>7.5</v>
      </c>
      <c r="AS69" s="61">
        <f t="shared" si="167"/>
        <v>7.75</v>
      </c>
      <c r="AT69" s="61">
        <f t="shared" si="167"/>
        <v>8</v>
      </c>
      <c r="AU69" s="61">
        <f t="shared" si="167"/>
        <v>8.25</v>
      </c>
      <c r="AV69" s="61">
        <f t="shared" si="167"/>
        <v>8.5</v>
      </c>
      <c r="AW69" s="61">
        <f t="shared" si="167"/>
        <v>8.75</v>
      </c>
      <c r="AX69" s="61">
        <f t="shared" si="167"/>
        <v>9</v>
      </c>
      <c r="AY69" s="61">
        <f t="shared" si="167"/>
        <v>9.25</v>
      </c>
      <c r="AZ69" s="61">
        <f t="shared" si="167"/>
        <v>9.5</v>
      </c>
      <c r="BA69" s="61">
        <f t="shared" si="167"/>
        <v>9.75</v>
      </c>
      <c r="BB69" s="79">
        <f t="shared" si="167"/>
        <v>10</v>
      </c>
      <c r="BC69" s="21"/>
      <c r="BF69" s="353">
        <v>0.25</v>
      </c>
      <c r="BG69" s="353" t="s">
        <v>59</v>
      </c>
    </row>
    <row r="70" spans="1:65" ht="14.4" x14ac:dyDescent="0.3">
      <c r="C70" s="9" t="s">
        <v>198</v>
      </c>
      <c r="D70" s="351" t="s">
        <v>157</v>
      </c>
      <c r="E70" s="351"/>
      <c r="F70" s="79">
        <v>0</v>
      </c>
      <c r="G70" s="79">
        <v>0</v>
      </c>
      <c r="H70" s="79">
        <v>0</v>
      </c>
      <c r="I70" s="79">
        <v>0</v>
      </c>
      <c r="J70" s="79">
        <v>0</v>
      </c>
      <c r="K70" s="79">
        <v>0</v>
      </c>
      <c r="L70" s="79">
        <v>0</v>
      </c>
      <c r="M70" s="79">
        <v>0</v>
      </c>
      <c r="N70" s="79">
        <v>0</v>
      </c>
      <c r="O70" s="61">
        <f>N70+$BF$70</f>
        <v>0.125</v>
      </c>
      <c r="P70" s="61">
        <f t="shared" ref="P70:BB70" si="168">O70+$BF$70</f>
        <v>0.25</v>
      </c>
      <c r="Q70" s="61">
        <f t="shared" si="168"/>
        <v>0.375</v>
      </c>
      <c r="R70" s="61">
        <f t="shared" si="168"/>
        <v>0.5</v>
      </c>
      <c r="S70" s="61">
        <f t="shared" si="168"/>
        <v>0.625</v>
      </c>
      <c r="T70" s="61">
        <f t="shared" si="168"/>
        <v>0.75</v>
      </c>
      <c r="U70" s="61">
        <f t="shared" si="168"/>
        <v>0.875</v>
      </c>
      <c r="V70" s="61">
        <f t="shared" si="168"/>
        <v>1</v>
      </c>
      <c r="W70" s="61">
        <f t="shared" si="168"/>
        <v>1.125</v>
      </c>
      <c r="X70" s="61">
        <f t="shared" si="168"/>
        <v>1.25</v>
      </c>
      <c r="Y70" s="61">
        <f t="shared" si="168"/>
        <v>1.375</v>
      </c>
      <c r="Z70" s="61">
        <f t="shared" si="168"/>
        <v>1.5</v>
      </c>
      <c r="AA70" s="61">
        <f t="shared" si="168"/>
        <v>1.625</v>
      </c>
      <c r="AB70" s="61">
        <f t="shared" si="168"/>
        <v>1.75</v>
      </c>
      <c r="AC70" s="61">
        <f t="shared" si="168"/>
        <v>1.875</v>
      </c>
      <c r="AD70" s="61">
        <f t="shared" si="168"/>
        <v>2</v>
      </c>
      <c r="AE70" s="61">
        <f t="shared" si="168"/>
        <v>2.125</v>
      </c>
      <c r="AF70" s="61">
        <f t="shared" si="168"/>
        <v>2.25</v>
      </c>
      <c r="AG70" s="61">
        <f t="shared" si="168"/>
        <v>2.375</v>
      </c>
      <c r="AH70" s="61">
        <f t="shared" si="168"/>
        <v>2.5</v>
      </c>
      <c r="AI70" s="61">
        <f t="shared" si="168"/>
        <v>2.625</v>
      </c>
      <c r="AJ70" s="61">
        <f t="shared" si="168"/>
        <v>2.75</v>
      </c>
      <c r="AK70" s="61">
        <f t="shared" si="168"/>
        <v>2.875</v>
      </c>
      <c r="AL70" s="61">
        <f t="shared" si="168"/>
        <v>3</v>
      </c>
      <c r="AM70" s="61">
        <f t="shared" si="168"/>
        <v>3.125</v>
      </c>
      <c r="AN70" s="61">
        <f t="shared" si="168"/>
        <v>3.25</v>
      </c>
      <c r="AO70" s="61">
        <f t="shared" si="168"/>
        <v>3.375</v>
      </c>
      <c r="AP70" s="61">
        <f t="shared" si="168"/>
        <v>3.5</v>
      </c>
      <c r="AQ70" s="61">
        <f t="shared" si="168"/>
        <v>3.625</v>
      </c>
      <c r="AR70" s="61">
        <f t="shared" si="168"/>
        <v>3.75</v>
      </c>
      <c r="AS70" s="61">
        <f t="shared" si="168"/>
        <v>3.875</v>
      </c>
      <c r="AT70" s="61">
        <f t="shared" si="168"/>
        <v>4</v>
      </c>
      <c r="AU70" s="61">
        <f t="shared" si="168"/>
        <v>4.125</v>
      </c>
      <c r="AV70" s="61">
        <f t="shared" si="168"/>
        <v>4.25</v>
      </c>
      <c r="AW70" s="61">
        <f t="shared" si="168"/>
        <v>4.375</v>
      </c>
      <c r="AX70" s="61">
        <f t="shared" si="168"/>
        <v>4.5</v>
      </c>
      <c r="AY70" s="61">
        <f t="shared" si="168"/>
        <v>4.625</v>
      </c>
      <c r="AZ70" s="61">
        <f t="shared" si="168"/>
        <v>4.75</v>
      </c>
      <c r="BA70" s="61">
        <f t="shared" si="168"/>
        <v>4.875</v>
      </c>
      <c r="BB70" s="79">
        <f t="shared" si="168"/>
        <v>5</v>
      </c>
      <c r="BC70" s="354"/>
      <c r="BF70" s="353">
        <f>BF69/2</f>
        <v>0.125</v>
      </c>
      <c r="BG70" s="353" t="s">
        <v>199</v>
      </c>
    </row>
    <row r="71" spans="1:65" ht="15" customHeight="1" x14ac:dyDescent="0.3">
      <c r="C71" s="9" t="s">
        <v>200</v>
      </c>
      <c r="D71" s="351" t="s">
        <v>157</v>
      </c>
      <c r="F71" s="79">
        <v>0</v>
      </c>
      <c r="G71" s="79">
        <v>0</v>
      </c>
      <c r="H71" s="79">
        <v>0</v>
      </c>
      <c r="I71" s="79">
        <v>0</v>
      </c>
      <c r="J71" s="79">
        <v>0</v>
      </c>
      <c r="K71" s="79">
        <v>0</v>
      </c>
      <c r="L71" s="79">
        <v>0</v>
      </c>
      <c r="M71" s="79">
        <v>0</v>
      </c>
      <c r="N71" s="79">
        <v>0</v>
      </c>
      <c r="O71" s="61">
        <f>N71+$BF$71</f>
        <v>0.125</v>
      </c>
      <c r="P71" s="61">
        <f t="shared" ref="P71:BB71" si="169">O71+$BF$71</f>
        <v>0.25</v>
      </c>
      <c r="Q71" s="61">
        <f t="shared" si="169"/>
        <v>0.375</v>
      </c>
      <c r="R71" s="61">
        <f t="shared" si="169"/>
        <v>0.5</v>
      </c>
      <c r="S71" s="61">
        <f t="shared" si="169"/>
        <v>0.625</v>
      </c>
      <c r="T71" s="61">
        <f t="shared" si="169"/>
        <v>0.75</v>
      </c>
      <c r="U71" s="61">
        <f t="shared" si="169"/>
        <v>0.875</v>
      </c>
      <c r="V71" s="61">
        <f t="shared" si="169"/>
        <v>1</v>
      </c>
      <c r="W71" s="61">
        <f t="shared" si="169"/>
        <v>1.125</v>
      </c>
      <c r="X71" s="61">
        <f t="shared" si="169"/>
        <v>1.25</v>
      </c>
      <c r="Y71" s="61">
        <f t="shared" si="169"/>
        <v>1.375</v>
      </c>
      <c r="Z71" s="61">
        <f t="shared" si="169"/>
        <v>1.5</v>
      </c>
      <c r="AA71" s="61">
        <f t="shared" si="169"/>
        <v>1.625</v>
      </c>
      <c r="AB71" s="61">
        <f t="shared" si="169"/>
        <v>1.75</v>
      </c>
      <c r="AC71" s="61">
        <f t="shared" si="169"/>
        <v>1.875</v>
      </c>
      <c r="AD71" s="61">
        <f t="shared" si="169"/>
        <v>2</v>
      </c>
      <c r="AE71" s="61">
        <f t="shared" si="169"/>
        <v>2.125</v>
      </c>
      <c r="AF71" s="61">
        <f t="shared" si="169"/>
        <v>2.25</v>
      </c>
      <c r="AG71" s="61">
        <f t="shared" si="169"/>
        <v>2.375</v>
      </c>
      <c r="AH71" s="61">
        <f t="shared" si="169"/>
        <v>2.5</v>
      </c>
      <c r="AI71" s="61">
        <f t="shared" si="169"/>
        <v>2.625</v>
      </c>
      <c r="AJ71" s="61">
        <f t="shared" si="169"/>
        <v>2.75</v>
      </c>
      <c r="AK71" s="61">
        <f t="shared" si="169"/>
        <v>2.875</v>
      </c>
      <c r="AL71" s="61">
        <f t="shared" si="169"/>
        <v>3</v>
      </c>
      <c r="AM71" s="61">
        <f t="shared" si="169"/>
        <v>3.125</v>
      </c>
      <c r="AN71" s="61">
        <f t="shared" si="169"/>
        <v>3.25</v>
      </c>
      <c r="AO71" s="61">
        <f t="shared" si="169"/>
        <v>3.375</v>
      </c>
      <c r="AP71" s="61">
        <f t="shared" si="169"/>
        <v>3.5</v>
      </c>
      <c r="AQ71" s="61">
        <f t="shared" si="169"/>
        <v>3.625</v>
      </c>
      <c r="AR71" s="61">
        <f t="shared" si="169"/>
        <v>3.75</v>
      </c>
      <c r="AS71" s="61">
        <f t="shared" si="169"/>
        <v>3.875</v>
      </c>
      <c r="AT71" s="61">
        <f t="shared" si="169"/>
        <v>4</v>
      </c>
      <c r="AU71" s="61">
        <f t="shared" si="169"/>
        <v>4.125</v>
      </c>
      <c r="AV71" s="61">
        <f t="shared" si="169"/>
        <v>4.25</v>
      </c>
      <c r="AW71" s="61">
        <f t="shared" si="169"/>
        <v>4.375</v>
      </c>
      <c r="AX71" s="61">
        <f t="shared" si="169"/>
        <v>4.5</v>
      </c>
      <c r="AY71" s="61">
        <f t="shared" si="169"/>
        <v>4.625</v>
      </c>
      <c r="AZ71" s="61">
        <f t="shared" si="169"/>
        <v>4.75</v>
      </c>
      <c r="BA71" s="61">
        <f t="shared" si="169"/>
        <v>4.875</v>
      </c>
      <c r="BB71" s="79">
        <f t="shared" si="169"/>
        <v>5</v>
      </c>
      <c r="BF71" s="353">
        <f>BF69/2</f>
        <v>0.125</v>
      </c>
      <c r="BG71" s="353" t="s">
        <v>199</v>
      </c>
    </row>
    <row r="72" spans="1:65" ht="14.4" x14ac:dyDescent="0.3">
      <c r="D72" s="28"/>
      <c r="E72" s="28"/>
    </row>
    <row r="75" spans="1:65" ht="14.4" x14ac:dyDescent="0.3">
      <c r="A75" s="28"/>
      <c r="B75" s="28"/>
    </row>
    <row r="76" spans="1:65" ht="14.4" x14ac:dyDescent="0.3">
      <c r="A76" s="28"/>
      <c r="B76" s="28"/>
    </row>
    <row r="77" spans="1:65" ht="14.4" x14ac:dyDescent="0.3">
      <c r="A77" s="28"/>
      <c r="B77" s="28"/>
    </row>
    <row r="78" spans="1:65" ht="14.4" x14ac:dyDescent="0.3">
      <c r="A78" s="28"/>
      <c r="B78" s="28"/>
    </row>
    <row r="79" spans="1:65" ht="14.4" x14ac:dyDescent="0.3">
      <c r="A79" s="28"/>
      <c r="B79" s="28"/>
    </row>
    <row r="80" spans="1:65" ht="14.4" x14ac:dyDescent="0.3">
      <c r="A80" s="28"/>
      <c r="B80" s="28"/>
    </row>
    <row r="81" spans="1:3" ht="14.4" x14ac:dyDescent="0.3">
      <c r="A81" s="28"/>
      <c r="B81" s="28"/>
      <c r="C81" s="28"/>
    </row>
    <row r="82" spans="1:3" ht="14.4" x14ac:dyDescent="0.3">
      <c r="A82" s="28"/>
      <c r="B82" s="28"/>
      <c r="C82" s="28"/>
    </row>
    <row r="83" spans="1:3" ht="14.4" x14ac:dyDescent="0.3">
      <c r="A83" s="28"/>
      <c r="B83" s="28"/>
      <c r="C83" s="28"/>
    </row>
    <row r="84" spans="1:3" ht="14.4" x14ac:dyDescent="0.3">
      <c r="A84" s="28"/>
      <c r="B84" s="28"/>
    </row>
    <row r="85" spans="1:3" ht="14.4" x14ac:dyDescent="0.3">
      <c r="A85" s="28"/>
      <c r="B85" s="28"/>
      <c r="C85" s="28"/>
    </row>
    <row r="86" spans="1:3" ht="14.4" x14ac:dyDescent="0.3">
      <c r="A86" s="28"/>
      <c r="B86" s="28"/>
      <c r="C86" s="28"/>
    </row>
    <row r="87" spans="1:3" ht="14.4" x14ac:dyDescent="0.3">
      <c r="A87" s="28"/>
      <c r="B87" s="28"/>
    </row>
    <row r="88" spans="1:3" ht="14.4" x14ac:dyDescent="0.3">
      <c r="A88" s="28"/>
      <c r="B88" s="28"/>
    </row>
    <row r="94" spans="1:3" ht="14.4" x14ac:dyDescent="0.3">
      <c r="C94" s="28"/>
    </row>
    <row r="97" spans="3:3" ht="14.4" x14ac:dyDescent="0.3">
      <c r="C97" s="28"/>
    </row>
    <row r="98" spans="3:3" ht="14.4" x14ac:dyDescent="0.3">
      <c r="C98" s="28"/>
    </row>
    <row r="99" spans="3:3" ht="14.4" x14ac:dyDescent="0.3">
      <c r="C99" s="28"/>
    </row>
    <row r="241" spans="3:54" ht="15" customHeight="1" x14ac:dyDescent="0.3">
      <c r="C241" s="52"/>
    </row>
    <row r="242" spans="3:54" ht="15" customHeight="1" x14ac:dyDescent="0.3">
      <c r="C242" s="9" t="s">
        <v>201</v>
      </c>
      <c r="F242" s="59">
        <f>F225+F208+F191</f>
        <v>0</v>
      </c>
      <c r="G242" s="59">
        <f t="shared" ref="G242:BB242" si="170">G225+G208+G191</f>
        <v>0</v>
      </c>
      <c r="H242" s="59">
        <f t="shared" si="170"/>
        <v>0</v>
      </c>
      <c r="I242" s="59">
        <f t="shared" si="170"/>
        <v>0</v>
      </c>
      <c r="J242" s="59">
        <f t="shared" si="170"/>
        <v>0</v>
      </c>
      <c r="K242" s="59">
        <f t="shared" si="170"/>
        <v>0</v>
      </c>
      <c r="L242" s="59">
        <f t="shared" si="170"/>
        <v>0</v>
      </c>
      <c r="M242" s="59">
        <f t="shared" si="170"/>
        <v>0</v>
      </c>
      <c r="N242" s="59">
        <f t="shared" si="170"/>
        <v>0</v>
      </c>
      <c r="O242" s="59">
        <f t="shared" si="170"/>
        <v>0</v>
      </c>
      <c r="P242" s="59">
        <f t="shared" si="170"/>
        <v>0</v>
      </c>
      <c r="Q242" s="59">
        <f t="shared" si="170"/>
        <v>0</v>
      </c>
      <c r="R242" s="59">
        <f t="shared" si="170"/>
        <v>0</v>
      </c>
      <c r="S242" s="59">
        <f t="shared" si="170"/>
        <v>0</v>
      </c>
      <c r="T242" s="59">
        <f t="shared" si="170"/>
        <v>0</v>
      </c>
      <c r="U242" s="59">
        <f t="shared" si="170"/>
        <v>0</v>
      </c>
      <c r="V242" s="59">
        <f t="shared" si="170"/>
        <v>0</v>
      </c>
      <c r="W242" s="59">
        <f t="shared" si="170"/>
        <v>0</v>
      </c>
      <c r="X242" s="59">
        <f t="shared" si="170"/>
        <v>0</v>
      </c>
      <c r="Y242" s="59">
        <f t="shared" si="170"/>
        <v>0</v>
      </c>
      <c r="Z242" s="59">
        <f t="shared" si="170"/>
        <v>0</v>
      </c>
      <c r="AA242" s="59">
        <f t="shared" si="170"/>
        <v>0</v>
      </c>
      <c r="AB242" s="59">
        <f t="shared" si="170"/>
        <v>0</v>
      </c>
      <c r="AC242" s="59">
        <f t="shared" si="170"/>
        <v>0</v>
      </c>
      <c r="AD242" s="59">
        <f t="shared" si="170"/>
        <v>0</v>
      </c>
      <c r="AE242" s="59">
        <f t="shared" si="170"/>
        <v>0</v>
      </c>
      <c r="AF242" s="59">
        <f t="shared" si="170"/>
        <v>0</v>
      </c>
      <c r="AG242" s="59">
        <f t="shared" si="170"/>
        <v>0</v>
      </c>
      <c r="AH242" s="59">
        <f t="shared" si="170"/>
        <v>0</v>
      </c>
      <c r="AI242" s="59">
        <f t="shared" si="170"/>
        <v>0</v>
      </c>
      <c r="AJ242" s="59">
        <f t="shared" si="170"/>
        <v>0</v>
      </c>
      <c r="AK242" s="59">
        <f t="shared" si="170"/>
        <v>0</v>
      </c>
      <c r="AL242" s="59">
        <f t="shared" si="170"/>
        <v>0</v>
      </c>
      <c r="AM242" s="59">
        <f t="shared" si="170"/>
        <v>0</v>
      </c>
      <c r="AN242" s="59">
        <f t="shared" si="170"/>
        <v>0</v>
      </c>
      <c r="AO242" s="59">
        <f t="shared" si="170"/>
        <v>0</v>
      </c>
      <c r="AP242" s="59">
        <f t="shared" si="170"/>
        <v>0</v>
      </c>
      <c r="AQ242" s="59">
        <f t="shared" si="170"/>
        <v>0</v>
      </c>
      <c r="AR242" s="59">
        <f t="shared" si="170"/>
        <v>0</v>
      </c>
      <c r="AS242" s="59">
        <f t="shared" si="170"/>
        <v>0</v>
      </c>
      <c r="AT242" s="59">
        <f t="shared" si="170"/>
        <v>0</v>
      </c>
      <c r="AU242" s="59">
        <f t="shared" si="170"/>
        <v>0</v>
      </c>
      <c r="AV242" s="59">
        <f t="shared" si="170"/>
        <v>0</v>
      </c>
      <c r="AW242" s="59">
        <f t="shared" si="170"/>
        <v>0</v>
      </c>
      <c r="AX242" s="59">
        <f t="shared" si="170"/>
        <v>0</v>
      </c>
      <c r="AY242" s="59">
        <f t="shared" si="170"/>
        <v>0</v>
      </c>
      <c r="AZ242" s="59">
        <f t="shared" si="170"/>
        <v>0</v>
      </c>
      <c r="BA242" s="59">
        <f t="shared" si="170"/>
        <v>0</v>
      </c>
      <c r="BB242" s="262">
        <f t="shared" si="170"/>
        <v>0</v>
      </c>
    </row>
    <row r="243" spans="3:54" ht="15" customHeight="1" x14ac:dyDescent="0.3">
      <c r="C243" s="9" t="s">
        <v>202</v>
      </c>
      <c r="F243" s="59">
        <f>0.93*F242</f>
        <v>0</v>
      </c>
      <c r="G243" s="59">
        <f t="shared" ref="G243:BB243" si="171">0.93*G242</f>
        <v>0</v>
      </c>
      <c r="H243" s="59">
        <f t="shared" si="171"/>
        <v>0</v>
      </c>
      <c r="I243" s="59">
        <f t="shared" si="171"/>
        <v>0</v>
      </c>
      <c r="J243" s="59">
        <f t="shared" si="171"/>
        <v>0</v>
      </c>
      <c r="K243" s="59">
        <f t="shared" si="171"/>
        <v>0</v>
      </c>
      <c r="L243" s="59">
        <f t="shared" si="171"/>
        <v>0</v>
      </c>
      <c r="M243" s="59">
        <f t="shared" si="171"/>
        <v>0</v>
      </c>
      <c r="N243" s="59">
        <f t="shared" si="171"/>
        <v>0</v>
      </c>
      <c r="O243" s="59">
        <f t="shared" si="171"/>
        <v>0</v>
      </c>
      <c r="P243" s="59">
        <f t="shared" si="171"/>
        <v>0</v>
      </c>
      <c r="Q243" s="59">
        <f t="shared" si="171"/>
        <v>0</v>
      </c>
      <c r="R243" s="59">
        <f t="shared" si="171"/>
        <v>0</v>
      </c>
      <c r="S243" s="59">
        <f t="shared" si="171"/>
        <v>0</v>
      </c>
      <c r="T243" s="59">
        <f t="shared" si="171"/>
        <v>0</v>
      </c>
      <c r="U243" s="59">
        <f t="shared" si="171"/>
        <v>0</v>
      </c>
      <c r="V243" s="59">
        <f t="shared" si="171"/>
        <v>0</v>
      </c>
      <c r="W243" s="59">
        <f t="shared" si="171"/>
        <v>0</v>
      </c>
      <c r="X243" s="59">
        <f t="shared" si="171"/>
        <v>0</v>
      </c>
      <c r="Y243" s="59">
        <f t="shared" si="171"/>
        <v>0</v>
      </c>
      <c r="Z243" s="59">
        <f t="shared" si="171"/>
        <v>0</v>
      </c>
      <c r="AA243" s="59">
        <f t="shared" si="171"/>
        <v>0</v>
      </c>
      <c r="AB243" s="59">
        <f t="shared" si="171"/>
        <v>0</v>
      </c>
      <c r="AC243" s="59">
        <f t="shared" si="171"/>
        <v>0</v>
      </c>
      <c r="AD243" s="59">
        <f t="shared" si="171"/>
        <v>0</v>
      </c>
      <c r="AE243" s="59">
        <f t="shared" si="171"/>
        <v>0</v>
      </c>
      <c r="AF243" s="59">
        <f t="shared" si="171"/>
        <v>0</v>
      </c>
      <c r="AG243" s="59">
        <f t="shared" si="171"/>
        <v>0</v>
      </c>
      <c r="AH243" s="59">
        <f t="shared" si="171"/>
        <v>0</v>
      </c>
      <c r="AI243" s="59">
        <f t="shared" si="171"/>
        <v>0</v>
      </c>
      <c r="AJ243" s="59">
        <f t="shared" si="171"/>
        <v>0</v>
      </c>
      <c r="AK243" s="59">
        <f t="shared" si="171"/>
        <v>0</v>
      </c>
      <c r="AL243" s="59">
        <f t="shared" si="171"/>
        <v>0</v>
      </c>
      <c r="AM243" s="59">
        <f t="shared" si="171"/>
        <v>0</v>
      </c>
      <c r="AN243" s="59">
        <f t="shared" si="171"/>
        <v>0</v>
      </c>
      <c r="AO243" s="59">
        <f t="shared" si="171"/>
        <v>0</v>
      </c>
      <c r="AP243" s="59">
        <f t="shared" si="171"/>
        <v>0</v>
      </c>
      <c r="AQ243" s="59">
        <f t="shared" si="171"/>
        <v>0</v>
      </c>
      <c r="AR243" s="59">
        <f t="shared" si="171"/>
        <v>0</v>
      </c>
      <c r="AS243" s="59">
        <f t="shared" si="171"/>
        <v>0</v>
      </c>
      <c r="AT243" s="59">
        <f t="shared" si="171"/>
        <v>0</v>
      </c>
      <c r="AU243" s="59">
        <f t="shared" si="171"/>
        <v>0</v>
      </c>
      <c r="AV243" s="59">
        <f t="shared" si="171"/>
        <v>0</v>
      </c>
      <c r="AW243" s="59">
        <f t="shared" si="171"/>
        <v>0</v>
      </c>
      <c r="AX243" s="59">
        <f t="shared" si="171"/>
        <v>0</v>
      </c>
      <c r="AY243" s="59">
        <f t="shared" si="171"/>
        <v>0</v>
      </c>
      <c r="AZ243" s="59">
        <f t="shared" si="171"/>
        <v>0</v>
      </c>
      <c r="BA243" s="59">
        <f t="shared" si="171"/>
        <v>0</v>
      </c>
      <c r="BB243" s="262">
        <f t="shared" si="171"/>
        <v>0</v>
      </c>
    </row>
    <row r="245" spans="3:54" ht="15" customHeight="1" x14ac:dyDescent="0.3">
      <c r="C245" s="52" t="s">
        <v>203</v>
      </c>
    </row>
  </sheetData>
  <mergeCells count="15">
    <mergeCell ref="BF68:BG68"/>
    <mergeCell ref="B22:B36"/>
    <mergeCell ref="D22:D36"/>
    <mergeCell ref="BF55:BG55"/>
    <mergeCell ref="BF59:BG59"/>
    <mergeCell ref="BF62:BG62"/>
    <mergeCell ref="BE3:BE67"/>
    <mergeCell ref="BF21:BG21"/>
    <mergeCell ref="BF53:BG53"/>
    <mergeCell ref="BF65:BG65"/>
    <mergeCell ref="B6:B20"/>
    <mergeCell ref="D6:D20"/>
    <mergeCell ref="BF37:BG37"/>
    <mergeCell ref="B38:B52"/>
    <mergeCell ref="D38:D5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CDAC5-686E-4F9C-8ADF-B873CED122E3}">
  <sheetPr>
    <tabColor theme="8" tint="0.79998168889431442"/>
  </sheetPr>
  <dimension ref="A1:BD338"/>
  <sheetViews>
    <sheetView zoomScale="85" zoomScaleNormal="85" workbookViewId="0">
      <pane xSplit="4" ySplit="1" topLeftCell="E148" activePane="bottomRight" state="frozen"/>
      <selection pane="topRight" activeCell="E1" sqref="E1"/>
      <selection pane="bottomLeft" activeCell="A2" sqref="A2"/>
      <selection pane="bottomRight" activeCell="BB87" sqref="BB87:BB101"/>
    </sheetView>
  </sheetViews>
  <sheetFormatPr baseColWidth="10" defaultColWidth="8.88671875" defaultRowHeight="15" customHeight="1" x14ac:dyDescent="0.3"/>
  <cols>
    <col min="1" max="1" width="18.33203125" style="9" bestFit="1" customWidth="1"/>
    <col min="2" max="2" width="18.33203125" style="9" hidden="1" customWidth="1"/>
    <col min="3" max="3" width="59.33203125" style="9" customWidth="1"/>
    <col min="4" max="4" width="29.44140625" style="9" hidden="1" customWidth="1"/>
    <col min="5" max="6" width="29.44140625" style="9" customWidth="1"/>
    <col min="7" max="33" width="10.5546875" style="9" bestFit="1" customWidth="1"/>
    <col min="34" max="34" width="11" style="9" bestFit="1" customWidth="1"/>
    <col min="35" max="54" width="10.5546875" style="9" bestFit="1" customWidth="1"/>
    <col min="55" max="55" width="5.88671875" style="9" customWidth="1"/>
  </cols>
  <sheetData>
    <row r="1" spans="1:55" s="36" customFormat="1" ht="17.399999999999999" x14ac:dyDescent="0.35">
      <c r="A1" s="32" t="s">
        <v>14</v>
      </c>
      <c r="B1" s="32"/>
      <c r="C1" s="32" t="s">
        <v>15</v>
      </c>
      <c r="D1" s="32" t="s">
        <v>16</v>
      </c>
      <c r="E1" s="32" t="s">
        <v>204</v>
      </c>
      <c r="F1" s="32" t="s">
        <v>16</v>
      </c>
      <c r="G1" s="32">
        <v>2023</v>
      </c>
      <c r="H1" s="32">
        <v>2024</v>
      </c>
      <c r="I1" s="32">
        <v>2025</v>
      </c>
      <c r="J1" s="32">
        <v>2026</v>
      </c>
      <c r="K1" s="32">
        <v>2027</v>
      </c>
      <c r="L1" s="32">
        <v>2028</v>
      </c>
      <c r="M1" s="32">
        <v>2029</v>
      </c>
      <c r="N1" s="32">
        <v>2030</v>
      </c>
      <c r="O1" s="32">
        <v>2031</v>
      </c>
      <c r="P1" s="32">
        <v>2032</v>
      </c>
      <c r="Q1" s="32">
        <v>2033</v>
      </c>
      <c r="R1" s="32">
        <v>2034</v>
      </c>
      <c r="S1" s="32">
        <v>2035</v>
      </c>
      <c r="T1" s="32">
        <v>2036</v>
      </c>
      <c r="U1" s="32">
        <v>2037</v>
      </c>
      <c r="V1" s="32">
        <v>2038</v>
      </c>
      <c r="W1" s="32">
        <v>2039</v>
      </c>
      <c r="X1" s="32">
        <v>2040</v>
      </c>
      <c r="Y1" s="32">
        <v>2041</v>
      </c>
      <c r="Z1" s="32">
        <v>2042</v>
      </c>
      <c r="AA1" s="32">
        <v>2043</v>
      </c>
      <c r="AB1" s="32">
        <v>2044</v>
      </c>
      <c r="AC1" s="32">
        <v>2045</v>
      </c>
      <c r="AD1" s="32">
        <v>2046</v>
      </c>
      <c r="AE1" s="32">
        <v>2047</v>
      </c>
      <c r="AF1" s="32">
        <v>2048</v>
      </c>
      <c r="AG1" s="32">
        <v>2049</v>
      </c>
      <c r="AH1" s="32">
        <v>2050</v>
      </c>
      <c r="AI1" s="32">
        <v>2051</v>
      </c>
      <c r="AJ1" s="32">
        <v>2052</v>
      </c>
      <c r="AK1" s="32">
        <v>2053</v>
      </c>
      <c r="AL1" s="32">
        <v>2054</v>
      </c>
      <c r="AM1" s="32">
        <v>2055</v>
      </c>
      <c r="AN1" s="32">
        <v>2056</v>
      </c>
      <c r="AO1" s="32">
        <v>2057</v>
      </c>
      <c r="AP1" s="32">
        <v>2058</v>
      </c>
      <c r="AQ1" s="32">
        <v>2059</v>
      </c>
      <c r="AR1" s="32">
        <v>2060</v>
      </c>
      <c r="AS1" s="32">
        <v>2061</v>
      </c>
      <c r="AT1" s="32">
        <v>2062</v>
      </c>
      <c r="AU1" s="32">
        <v>2063</v>
      </c>
      <c r="AV1" s="32">
        <v>2064</v>
      </c>
      <c r="AW1" s="32">
        <v>2065</v>
      </c>
      <c r="AX1" s="32">
        <v>2066</v>
      </c>
      <c r="AY1" s="32">
        <v>2067</v>
      </c>
      <c r="AZ1" s="32">
        <v>2068</v>
      </c>
      <c r="BA1" s="32">
        <v>2069</v>
      </c>
      <c r="BB1" s="32">
        <v>2070</v>
      </c>
      <c r="BC1" s="32"/>
    </row>
    <row r="2" spans="1:55" ht="14.4" x14ac:dyDescent="0.3">
      <c r="A2" s="16" t="s">
        <v>50</v>
      </c>
      <c r="B2" s="16"/>
      <c r="C2" s="31" t="s">
        <v>679</v>
      </c>
      <c r="D2" s="351"/>
      <c r="E2" s="351"/>
      <c r="F2" s="35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row>
    <row r="3" spans="1:55" ht="14.4" customHeight="1" x14ac:dyDescent="0.3">
      <c r="B3" s="384" t="s">
        <v>205</v>
      </c>
      <c r="C3" s="9" t="s">
        <v>206</v>
      </c>
      <c r="D3" s="365" t="s">
        <v>207</v>
      </c>
      <c r="E3" s="382" t="s">
        <v>208</v>
      </c>
      <c r="F3" s="382" t="s">
        <v>209</v>
      </c>
      <c r="G3" s="21">
        <f>Tendencial!T116</f>
        <v>39.694399999999973</v>
      </c>
      <c r="H3" s="21">
        <f>G3+0.22</f>
        <v>39.914399999999972</v>
      </c>
      <c r="I3" s="21">
        <f>H3+0.22</f>
        <v>40.134399999999971</v>
      </c>
      <c r="J3" s="21">
        <f t="shared" ref="J3:U3" si="0">I3+0.22</f>
        <v>40.35439999999997</v>
      </c>
      <c r="K3" s="21">
        <f t="shared" si="0"/>
        <v>40.574399999999969</v>
      </c>
      <c r="L3" s="21">
        <f t="shared" si="0"/>
        <v>40.794399999999968</v>
      </c>
      <c r="M3" s="21">
        <f t="shared" si="0"/>
        <v>41.014399999999966</v>
      </c>
      <c r="N3" s="21">
        <f t="shared" si="0"/>
        <v>41.234399999999965</v>
      </c>
      <c r="O3" s="21">
        <f t="shared" si="0"/>
        <v>41.454399999999964</v>
      </c>
      <c r="P3" s="21">
        <f t="shared" si="0"/>
        <v>41.674399999999963</v>
      </c>
      <c r="Q3" s="21">
        <f t="shared" si="0"/>
        <v>41.894399999999962</v>
      </c>
      <c r="R3" s="21">
        <f t="shared" si="0"/>
        <v>42.114399999999961</v>
      </c>
      <c r="S3" s="21">
        <f t="shared" si="0"/>
        <v>42.33439999999996</v>
      </c>
      <c r="T3" s="21">
        <f t="shared" si="0"/>
        <v>42.554399999999958</v>
      </c>
      <c r="U3" s="21">
        <f t="shared" si="0"/>
        <v>42.774399999999957</v>
      </c>
      <c r="V3" s="21">
        <f>U3+0.22</f>
        <v>42.994399999999956</v>
      </c>
      <c r="W3" s="21">
        <f t="shared" ref="W3:BB4" si="1">V3</f>
        <v>42.994399999999956</v>
      </c>
      <c r="X3" s="21">
        <f t="shared" si="1"/>
        <v>42.994399999999956</v>
      </c>
      <c r="Y3" s="21">
        <f t="shared" si="1"/>
        <v>42.994399999999956</v>
      </c>
      <c r="Z3" s="21">
        <f t="shared" si="1"/>
        <v>42.994399999999956</v>
      </c>
      <c r="AA3" s="21">
        <f t="shared" si="1"/>
        <v>42.994399999999956</v>
      </c>
      <c r="AB3" s="21">
        <f t="shared" si="1"/>
        <v>42.994399999999956</v>
      </c>
      <c r="AC3" s="21">
        <f t="shared" si="1"/>
        <v>42.994399999999956</v>
      </c>
      <c r="AD3" s="21">
        <f t="shared" si="1"/>
        <v>42.994399999999956</v>
      </c>
      <c r="AE3" s="21">
        <f t="shared" si="1"/>
        <v>42.994399999999956</v>
      </c>
      <c r="AF3" s="21">
        <f t="shared" si="1"/>
        <v>42.994399999999956</v>
      </c>
      <c r="AG3" s="21">
        <f t="shared" si="1"/>
        <v>42.994399999999956</v>
      </c>
      <c r="AH3" s="21">
        <f t="shared" si="1"/>
        <v>42.994399999999956</v>
      </c>
      <c r="AI3" s="21">
        <f t="shared" si="1"/>
        <v>42.994399999999956</v>
      </c>
      <c r="AJ3" s="21">
        <f t="shared" si="1"/>
        <v>42.994399999999956</v>
      </c>
      <c r="AK3" s="21">
        <f t="shared" si="1"/>
        <v>42.994399999999956</v>
      </c>
      <c r="AL3" s="21">
        <f t="shared" si="1"/>
        <v>42.994399999999956</v>
      </c>
      <c r="AM3" s="21">
        <f t="shared" si="1"/>
        <v>42.994399999999956</v>
      </c>
      <c r="AN3" s="21">
        <f t="shared" si="1"/>
        <v>42.994399999999956</v>
      </c>
      <c r="AO3" s="21">
        <f t="shared" si="1"/>
        <v>42.994399999999956</v>
      </c>
      <c r="AP3" s="21">
        <f t="shared" si="1"/>
        <v>42.994399999999956</v>
      </c>
      <c r="AQ3" s="21">
        <f t="shared" si="1"/>
        <v>42.994399999999956</v>
      </c>
      <c r="AR3" s="21">
        <f t="shared" si="1"/>
        <v>42.994399999999956</v>
      </c>
      <c r="AS3" s="21">
        <f t="shared" si="1"/>
        <v>42.994399999999956</v>
      </c>
      <c r="AT3" s="21">
        <f t="shared" si="1"/>
        <v>42.994399999999956</v>
      </c>
      <c r="AU3" s="21">
        <f t="shared" si="1"/>
        <v>42.994399999999956</v>
      </c>
      <c r="AV3" s="21">
        <f t="shared" si="1"/>
        <v>42.994399999999956</v>
      </c>
      <c r="AW3" s="21">
        <f t="shared" si="1"/>
        <v>42.994399999999956</v>
      </c>
      <c r="AX3" s="21">
        <f t="shared" si="1"/>
        <v>42.994399999999956</v>
      </c>
      <c r="AY3" s="21">
        <f t="shared" si="1"/>
        <v>42.994399999999956</v>
      </c>
      <c r="AZ3" s="21">
        <f t="shared" si="1"/>
        <v>42.994399999999956</v>
      </c>
      <c r="BA3" s="21">
        <f t="shared" si="1"/>
        <v>42.994399999999956</v>
      </c>
      <c r="BB3" s="21">
        <f t="shared" si="1"/>
        <v>42.994399999999956</v>
      </c>
      <c r="BC3" s="21"/>
    </row>
    <row r="4" spans="1:55" ht="14.4" x14ac:dyDescent="0.3">
      <c r="B4" s="384"/>
      <c r="C4" s="9" t="s">
        <v>210</v>
      </c>
      <c r="D4" s="365"/>
      <c r="E4" s="382"/>
      <c r="F4" s="382"/>
      <c r="G4" s="21">
        <f>Tendencial!T117</f>
        <v>0.70830000000000126</v>
      </c>
      <c r="H4" s="21">
        <f>G4+0.0145</f>
        <v>0.72280000000000122</v>
      </c>
      <c r="I4" s="21">
        <f t="shared" ref="I4:AA4" si="2">H4+0.0145</f>
        <v>0.73730000000000118</v>
      </c>
      <c r="J4" s="21">
        <f t="shared" si="2"/>
        <v>0.75180000000000113</v>
      </c>
      <c r="K4" s="21">
        <f t="shared" si="2"/>
        <v>0.76630000000000109</v>
      </c>
      <c r="L4" s="21">
        <f t="shared" si="2"/>
        <v>0.78080000000000105</v>
      </c>
      <c r="M4" s="21">
        <f t="shared" si="2"/>
        <v>0.79530000000000101</v>
      </c>
      <c r="N4" s="21">
        <f t="shared" si="2"/>
        <v>0.80980000000000096</v>
      </c>
      <c r="O4" s="21">
        <f t="shared" si="2"/>
        <v>0.82430000000000092</v>
      </c>
      <c r="P4" s="21">
        <f t="shared" si="2"/>
        <v>0.83880000000000088</v>
      </c>
      <c r="Q4" s="21">
        <f t="shared" si="2"/>
        <v>0.85330000000000084</v>
      </c>
      <c r="R4" s="21">
        <f t="shared" si="2"/>
        <v>0.86780000000000079</v>
      </c>
      <c r="S4" s="21">
        <f t="shared" si="2"/>
        <v>0.88230000000000075</v>
      </c>
      <c r="T4" s="21">
        <f t="shared" si="2"/>
        <v>0.89680000000000071</v>
      </c>
      <c r="U4" s="21">
        <f t="shared" si="2"/>
        <v>0.91130000000000067</v>
      </c>
      <c r="V4" s="21">
        <f t="shared" si="2"/>
        <v>0.92580000000000062</v>
      </c>
      <c r="W4" s="21">
        <f t="shared" si="2"/>
        <v>0.94030000000000058</v>
      </c>
      <c r="X4" s="21">
        <f t="shared" si="2"/>
        <v>0.95480000000000054</v>
      </c>
      <c r="Y4" s="21">
        <f t="shared" si="2"/>
        <v>0.96930000000000049</v>
      </c>
      <c r="Z4" s="21">
        <f t="shared" si="2"/>
        <v>0.98380000000000045</v>
      </c>
      <c r="AA4" s="21">
        <f t="shared" si="2"/>
        <v>0.99830000000000041</v>
      </c>
      <c r="AB4" s="21">
        <f>AA4</f>
        <v>0.99830000000000041</v>
      </c>
      <c r="AC4" s="21">
        <f t="shared" si="1"/>
        <v>0.99830000000000041</v>
      </c>
      <c r="AD4" s="21">
        <f t="shared" si="1"/>
        <v>0.99830000000000041</v>
      </c>
      <c r="AE4" s="21">
        <f t="shared" si="1"/>
        <v>0.99830000000000041</v>
      </c>
      <c r="AF4" s="21">
        <f t="shared" si="1"/>
        <v>0.99830000000000041</v>
      </c>
      <c r="AG4" s="21">
        <f t="shared" si="1"/>
        <v>0.99830000000000041</v>
      </c>
      <c r="AH4" s="21">
        <f t="shared" si="1"/>
        <v>0.99830000000000041</v>
      </c>
      <c r="AI4" s="21">
        <f t="shared" si="1"/>
        <v>0.99830000000000041</v>
      </c>
      <c r="AJ4" s="21">
        <f t="shared" si="1"/>
        <v>0.99830000000000041</v>
      </c>
      <c r="AK4" s="21">
        <f t="shared" si="1"/>
        <v>0.99830000000000041</v>
      </c>
      <c r="AL4" s="21">
        <f t="shared" si="1"/>
        <v>0.99830000000000041</v>
      </c>
      <c r="AM4" s="21">
        <f t="shared" si="1"/>
        <v>0.99830000000000041</v>
      </c>
      <c r="AN4" s="21">
        <f t="shared" si="1"/>
        <v>0.99830000000000041</v>
      </c>
      <c r="AO4" s="21">
        <f t="shared" si="1"/>
        <v>0.99830000000000041</v>
      </c>
      <c r="AP4" s="21">
        <f t="shared" si="1"/>
        <v>0.99830000000000041</v>
      </c>
      <c r="AQ4" s="21">
        <f t="shared" si="1"/>
        <v>0.99830000000000041</v>
      </c>
      <c r="AR4" s="21">
        <f t="shared" si="1"/>
        <v>0.99830000000000041</v>
      </c>
      <c r="AS4" s="21">
        <f t="shared" si="1"/>
        <v>0.99830000000000041</v>
      </c>
      <c r="AT4" s="21">
        <f t="shared" si="1"/>
        <v>0.99830000000000041</v>
      </c>
      <c r="AU4" s="21">
        <f t="shared" si="1"/>
        <v>0.99830000000000041</v>
      </c>
      <c r="AV4" s="21">
        <f t="shared" si="1"/>
        <v>0.99830000000000041</v>
      </c>
      <c r="AW4" s="21">
        <f t="shared" si="1"/>
        <v>0.99830000000000041</v>
      </c>
      <c r="AX4" s="21">
        <f t="shared" si="1"/>
        <v>0.99830000000000041</v>
      </c>
      <c r="AY4" s="21">
        <f t="shared" si="1"/>
        <v>0.99830000000000041</v>
      </c>
      <c r="AZ4" s="21">
        <f t="shared" si="1"/>
        <v>0.99830000000000041</v>
      </c>
      <c r="BA4" s="21">
        <f t="shared" si="1"/>
        <v>0.99830000000000041</v>
      </c>
      <c r="BB4" s="21">
        <f t="shared" si="1"/>
        <v>0.99830000000000041</v>
      </c>
      <c r="BC4" s="21"/>
    </row>
    <row r="5" spans="1:55" ht="14.4" x14ac:dyDescent="0.3">
      <c r="B5" s="384"/>
      <c r="C5" s="9" t="s">
        <v>211</v>
      </c>
      <c r="D5" s="365"/>
      <c r="E5" s="382"/>
      <c r="F5" s="382"/>
      <c r="G5" s="21">
        <f>Tendencial!T118</f>
        <v>0.25030000000000108</v>
      </c>
      <c r="H5" s="21">
        <f>((H1-$G$1)*($BB$5-$G$5)/(2070-2023))+$G$5</f>
        <v>0.25348510638297977</v>
      </c>
      <c r="I5" s="21">
        <f t="shared" ref="I5:BA5" si="3">((I1-$G$1)*($BB$5-$G$5)/(2070-2023))+$G$5</f>
        <v>0.25667021276595847</v>
      </c>
      <c r="J5" s="21">
        <f t="shared" si="3"/>
        <v>0.25985531914893717</v>
      </c>
      <c r="K5" s="21">
        <f t="shared" si="3"/>
        <v>0.26304042553191587</v>
      </c>
      <c r="L5" s="21">
        <f t="shared" si="3"/>
        <v>0.26622553191489456</v>
      </c>
      <c r="M5" s="21">
        <f t="shared" si="3"/>
        <v>0.26941063829787326</v>
      </c>
      <c r="N5" s="21">
        <f t="shared" si="3"/>
        <v>0.27259574468085201</v>
      </c>
      <c r="O5" s="21">
        <f t="shared" si="3"/>
        <v>0.27578085106383066</v>
      </c>
      <c r="P5" s="21">
        <f t="shared" si="3"/>
        <v>0.27896595744680941</v>
      </c>
      <c r="Q5" s="21">
        <f t="shared" si="3"/>
        <v>0.28215106382978811</v>
      </c>
      <c r="R5" s="21">
        <f t="shared" si="3"/>
        <v>0.2853361702127668</v>
      </c>
      <c r="S5" s="21">
        <f t="shared" si="3"/>
        <v>0.2885212765957455</v>
      </c>
      <c r="T5" s="21">
        <f t="shared" si="3"/>
        <v>0.2917063829787242</v>
      </c>
      <c r="U5" s="21">
        <f t="shared" si="3"/>
        <v>0.2948914893617029</v>
      </c>
      <c r="V5" s="21">
        <f t="shared" si="3"/>
        <v>0.29807659574468159</v>
      </c>
      <c r="W5" s="21">
        <f t="shared" si="3"/>
        <v>0.30126170212766029</v>
      </c>
      <c r="X5" s="21">
        <f t="shared" si="3"/>
        <v>0.30444680851063899</v>
      </c>
      <c r="Y5" s="21">
        <f t="shared" si="3"/>
        <v>0.30763191489361769</v>
      </c>
      <c r="Z5" s="21">
        <f t="shared" si="3"/>
        <v>0.31081702127659638</v>
      </c>
      <c r="AA5" s="21">
        <f t="shared" si="3"/>
        <v>0.31400212765957508</v>
      </c>
      <c r="AB5" s="21">
        <f t="shared" si="3"/>
        <v>0.31718723404255378</v>
      </c>
      <c r="AC5" s="21">
        <f t="shared" si="3"/>
        <v>0.32037234042553253</v>
      </c>
      <c r="AD5" s="21">
        <f t="shared" si="3"/>
        <v>0.32355744680851117</v>
      </c>
      <c r="AE5" s="21">
        <f t="shared" si="3"/>
        <v>0.32674255319148993</v>
      </c>
      <c r="AF5" s="21">
        <f t="shared" si="3"/>
        <v>0.32992765957446857</v>
      </c>
      <c r="AG5" s="21">
        <f t="shared" si="3"/>
        <v>0.33311276595744732</v>
      </c>
      <c r="AH5" s="21">
        <f t="shared" si="3"/>
        <v>0.33629787234042602</v>
      </c>
      <c r="AI5" s="21">
        <f t="shared" si="3"/>
        <v>0.33948297872340472</v>
      </c>
      <c r="AJ5" s="21">
        <f t="shared" si="3"/>
        <v>0.34266808510638341</v>
      </c>
      <c r="AK5" s="21">
        <f t="shared" si="3"/>
        <v>0.34585319148936211</v>
      </c>
      <c r="AL5" s="21">
        <f t="shared" si="3"/>
        <v>0.34903829787234081</v>
      </c>
      <c r="AM5" s="21">
        <f t="shared" si="3"/>
        <v>0.35222340425531951</v>
      </c>
      <c r="AN5" s="21">
        <f t="shared" si="3"/>
        <v>0.3554085106382982</v>
      </c>
      <c r="AO5" s="21">
        <f t="shared" si="3"/>
        <v>0.3585936170212769</v>
      </c>
      <c r="AP5" s="21">
        <f t="shared" si="3"/>
        <v>0.3617787234042556</v>
      </c>
      <c r="AQ5" s="21">
        <f t="shared" si="3"/>
        <v>0.3649638297872343</v>
      </c>
      <c r="AR5" s="21">
        <f t="shared" si="3"/>
        <v>0.36814893617021299</v>
      </c>
      <c r="AS5" s="21">
        <f t="shared" si="3"/>
        <v>0.37133404255319169</v>
      </c>
      <c r="AT5" s="21">
        <f t="shared" si="3"/>
        <v>0.37451914893617039</v>
      </c>
      <c r="AU5" s="21">
        <f t="shared" si="3"/>
        <v>0.37770425531914908</v>
      </c>
      <c r="AV5" s="21">
        <f t="shared" si="3"/>
        <v>0.38088936170212784</v>
      </c>
      <c r="AW5" s="21">
        <f t="shared" si="3"/>
        <v>0.38407446808510648</v>
      </c>
      <c r="AX5" s="21">
        <f t="shared" si="3"/>
        <v>0.38725957446808523</v>
      </c>
      <c r="AY5" s="21">
        <f t="shared" si="3"/>
        <v>0.39044468085106393</v>
      </c>
      <c r="AZ5" s="21">
        <f t="shared" si="3"/>
        <v>0.39362978723404263</v>
      </c>
      <c r="BA5" s="21">
        <f t="shared" si="3"/>
        <v>0.39681489361702132</v>
      </c>
      <c r="BB5" s="21">
        <v>0.4</v>
      </c>
      <c r="BC5" s="21"/>
    </row>
    <row r="6" spans="1:55" ht="14.4" x14ac:dyDescent="0.3">
      <c r="B6" s="384"/>
      <c r="C6" s="9" t="s">
        <v>212</v>
      </c>
      <c r="D6" s="365"/>
      <c r="E6" s="382"/>
      <c r="F6" s="382"/>
      <c r="G6" s="21">
        <f>Tendencial!T119</f>
        <v>68.154000000000451</v>
      </c>
      <c r="H6" s="21">
        <f>((H1-$G$1)*($BB$6-$G$6)/(2070-2023))+$G$6</f>
        <v>68.406042553191938</v>
      </c>
      <c r="I6" s="21">
        <f t="shared" ref="I6:BA6" si="4">((I1-$G$1)*($BB$6-$G$6)/(2070-2023))+$G$6</f>
        <v>68.65808510638341</v>
      </c>
      <c r="J6" s="21">
        <f t="shared" si="4"/>
        <v>68.910127659574897</v>
      </c>
      <c r="K6" s="21">
        <f t="shared" si="4"/>
        <v>69.16217021276637</v>
      </c>
      <c r="L6" s="21">
        <f t="shared" si="4"/>
        <v>69.414212765957856</v>
      </c>
      <c r="M6" s="21">
        <f t="shared" si="4"/>
        <v>69.666255319149329</v>
      </c>
      <c r="N6" s="21">
        <f t="shared" si="4"/>
        <v>69.918297872340816</v>
      </c>
      <c r="O6" s="21">
        <f t="shared" si="4"/>
        <v>70.170340425532288</v>
      </c>
      <c r="P6" s="21">
        <f t="shared" si="4"/>
        <v>70.422382978723775</v>
      </c>
      <c r="Q6" s="21">
        <f t="shared" si="4"/>
        <v>70.674425531915247</v>
      </c>
      <c r="R6" s="21">
        <f t="shared" si="4"/>
        <v>70.926468085106734</v>
      </c>
      <c r="S6" s="21">
        <f t="shared" si="4"/>
        <v>71.178510638298206</v>
      </c>
      <c r="T6" s="21">
        <f t="shared" si="4"/>
        <v>71.430553191489693</v>
      </c>
      <c r="U6" s="21">
        <f t="shared" si="4"/>
        <v>71.682595744681166</v>
      </c>
      <c r="V6" s="21">
        <f t="shared" si="4"/>
        <v>71.934638297872652</v>
      </c>
      <c r="W6" s="21">
        <f t="shared" si="4"/>
        <v>72.186680851064125</v>
      </c>
      <c r="X6" s="21">
        <f t="shared" si="4"/>
        <v>72.438723404255612</v>
      </c>
      <c r="Y6" s="21">
        <f t="shared" si="4"/>
        <v>72.690765957447084</v>
      </c>
      <c r="Z6" s="21">
        <f t="shared" si="4"/>
        <v>72.942808510638571</v>
      </c>
      <c r="AA6" s="21">
        <f t="shared" si="4"/>
        <v>73.194851063830043</v>
      </c>
      <c r="AB6" s="21">
        <f t="shared" si="4"/>
        <v>73.44689361702153</v>
      </c>
      <c r="AC6" s="21">
        <f t="shared" si="4"/>
        <v>73.698936170213003</v>
      </c>
      <c r="AD6" s="21">
        <f t="shared" si="4"/>
        <v>73.950978723404489</v>
      </c>
      <c r="AE6" s="21">
        <f t="shared" si="4"/>
        <v>74.203021276595962</v>
      </c>
      <c r="AF6" s="21">
        <f t="shared" si="4"/>
        <v>74.455063829787449</v>
      </c>
      <c r="AG6" s="21">
        <f t="shared" si="4"/>
        <v>74.707106382978921</v>
      </c>
      <c r="AH6" s="21">
        <f t="shared" si="4"/>
        <v>74.959148936170408</v>
      </c>
      <c r="AI6" s="21">
        <f t="shared" si="4"/>
        <v>75.21119148936188</v>
      </c>
      <c r="AJ6" s="21">
        <f t="shared" si="4"/>
        <v>75.463234042553367</v>
      </c>
      <c r="AK6" s="21">
        <f t="shared" si="4"/>
        <v>75.715276595744839</v>
      </c>
      <c r="AL6" s="21">
        <f t="shared" si="4"/>
        <v>75.967319148936326</v>
      </c>
      <c r="AM6" s="21">
        <f t="shared" si="4"/>
        <v>76.219361702127799</v>
      </c>
      <c r="AN6" s="21">
        <f t="shared" si="4"/>
        <v>76.471404255319285</v>
      </c>
      <c r="AO6" s="21">
        <f t="shared" si="4"/>
        <v>76.723446808510758</v>
      </c>
      <c r="AP6" s="21">
        <f t="shared" si="4"/>
        <v>76.975489361702245</v>
      </c>
      <c r="AQ6" s="21">
        <f t="shared" si="4"/>
        <v>77.227531914893717</v>
      </c>
      <c r="AR6" s="21">
        <f t="shared" si="4"/>
        <v>77.479574468085204</v>
      </c>
      <c r="AS6" s="21">
        <f t="shared" si="4"/>
        <v>77.731617021276676</v>
      </c>
      <c r="AT6" s="21">
        <f t="shared" si="4"/>
        <v>77.983659574468163</v>
      </c>
      <c r="AU6" s="21">
        <f t="shared" si="4"/>
        <v>78.235702127659636</v>
      </c>
      <c r="AV6" s="21">
        <f t="shared" si="4"/>
        <v>78.487744680851122</v>
      </c>
      <c r="AW6" s="21">
        <f t="shared" si="4"/>
        <v>78.739787234042609</v>
      </c>
      <c r="AX6" s="21">
        <f t="shared" si="4"/>
        <v>78.991829787234082</v>
      </c>
      <c r="AY6" s="21">
        <f t="shared" si="4"/>
        <v>79.243872340425554</v>
      </c>
      <c r="AZ6" s="21">
        <f t="shared" si="4"/>
        <v>79.495914893617041</v>
      </c>
      <c r="BA6" s="21">
        <f t="shared" si="4"/>
        <v>79.747957446808527</v>
      </c>
      <c r="BB6" s="21">
        <v>80</v>
      </c>
      <c r="BC6" s="21"/>
    </row>
    <row r="7" spans="1:55" ht="14.4" x14ac:dyDescent="0.3">
      <c r="B7" s="384"/>
      <c r="C7" s="9" t="s">
        <v>213</v>
      </c>
      <c r="D7" s="365"/>
      <c r="E7" s="382"/>
      <c r="F7" s="382"/>
      <c r="G7" s="21">
        <f>Tendencial!T120</f>
        <v>4.547800000000052</v>
      </c>
      <c r="H7" s="21">
        <f>((H1-$G$1)*($BB$7-$G$7)/(2070-2023))+$G$7</f>
        <v>4.5934425531915402</v>
      </c>
      <c r="I7" s="21">
        <f t="shared" ref="I7:BA7" si="5">((I1-$G$1)*($BB$7-$G$7)/(2070-2023))+$G$7</f>
        <v>4.6390851063830283</v>
      </c>
      <c r="J7" s="21">
        <f t="shared" si="5"/>
        <v>4.6847276595745164</v>
      </c>
      <c r="K7" s="21">
        <f t="shared" si="5"/>
        <v>4.7303702127660046</v>
      </c>
      <c r="L7" s="21">
        <f t="shared" si="5"/>
        <v>4.7760127659574936</v>
      </c>
      <c r="M7" s="21">
        <f t="shared" si="5"/>
        <v>4.8216553191489817</v>
      </c>
      <c r="N7" s="21">
        <f t="shared" si="5"/>
        <v>4.8672978723404698</v>
      </c>
      <c r="O7" s="21">
        <f t="shared" si="5"/>
        <v>4.912940425531958</v>
      </c>
      <c r="P7" s="21">
        <f t="shared" si="5"/>
        <v>4.9585829787234461</v>
      </c>
      <c r="Q7" s="21">
        <f t="shared" si="5"/>
        <v>5.0042255319149342</v>
      </c>
      <c r="R7" s="21">
        <f t="shared" si="5"/>
        <v>5.0498680851064233</v>
      </c>
      <c r="S7" s="21">
        <f t="shared" si="5"/>
        <v>5.0955106382979114</v>
      </c>
      <c r="T7" s="21">
        <f t="shared" si="5"/>
        <v>5.1411531914893995</v>
      </c>
      <c r="U7" s="21">
        <f t="shared" si="5"/>
        <v>5.1867957446808877</v>
      </c>
      <c r="V7" s="21">
        <f t="shared" si="5"/>
        <v>5.2324382978723758</v>
      </c>
      <c r="W7" s="21">
        <f t="shared" si="5"/>
        <v>5.2780808510638639</v>
      </c>
      <c r="X7" s="21">
        <f t="shared" si="5"/>
        <v>5.3237234042553521</v>
      </c>
      <c r="Y7" s="21">
        <f t="shared" si="5"/>
        <v>5.3693659574468402</v>
      </c>
      <c r="Z7" s="21">
        <f t="shared" si="5"/>
        <v>5.4150085106383283</v>
      </c>
      <c r="AA7" s="21">
        <f t="shared" si="5"/>
        <v>5.4606510638298165</v>
      </c>
      <c r="AB7" s="21">
        <f t="shared" si="5"/>
        <v>5.5062936170213055</v>
      </c>
      <c r="AC7" s="21">
        <f t="shared" si="5"/>
        <v>5.5519361702127936</v>
      </c>
      <c r="AD7" s="21">
        <f t="shared" si="5"/>
        <v>5.5975787234042818</v>
      </c>
      <c r="AE7" s="21">
        <f t="shared" si="5"/>
        <v>5.6432212765957699</v>
      </c>
      <c r="AF7" s="21">
        <f t="shared" si="5"/>
        <v>5.688863829787258</v>
      </c>
      <c r="AG7" s="21">
        <f t="shared" si="5"/>
        <v>5.7345063829787462</v>
      </c>
      <c r="AH7" s="21">
        <f t="shared" si="5"/>
        <v>5.7801489361702352</v>
      </c>
      <c r="AI7" s="21">
        <f t="shared" si="5"/>
        <v>5.8257914893617233</v>
      </c>
      <c r="AJ7" s="21">
        <f t="shared" si="5"/>
        <v>5.8714340425532114</v>
      </c>
      <c r="AK7" s="21">
        <f t="shared" si="5"/>
        <v>5.9170765957446996</v>
      </c>
      <c r="AL7" s="21">
        <f t="shared" si="5"/>
        <v>5.9627191489361877</v>
      </c>
      <c r="AM7" s="21">
        <f t="shared" si="5"/>
        <v>6.0083617021276758</v>
      </c>
      <c r="AN7" s="21">
        <f t="shared" si="5"/>
        <v>6.054004255319164</v>
      </c>
      <c r="AO7" s="21">
        <f t="shared" si="5"/>
        <v>6.0996468085106521</v>
      </c>
      <c r="AP7" s="21">
        <f t="shared" si="5"/>
        <v>6.1452893617021402</v>
      </c>
      <c r="AQ7" s="21">
        <f t="shared" si="5"/>
        <v>6.1909319148936284</v>
      </c>
      <c r="AR7" s="21">
        <f t="shared" si="5"/>
        <v>6.2365744680851174</v>
      </c>
      <c r="AS7" s="21">
        <f t="shared" si="5"/>
        <v>6.2822170212766055</v>
      </c>
      <c r="AT7" s="21">
        <f t="shared" si="5"/>
        <v>6.3278595744680937</v>
      </c>
      <c r="AU7" s="21">
        <f t="shared" si="5"/>
        <v>6.3735021276595818</v>
      </c>
      <c r="AV7" s="21">
        <f t="shared" si="5"/>
        <v>6.4191446808510699</v>
      </c>
      <c r="AW7" s="21">
        <f t="shared" si="5"/>
        <v>6.4647872340425581</v>
      </c>
      <c r="AX7" s="21">
        <f t="shared" si="5"/>
        <v>6.5104297872340462</v>
      </c>
      <c r="AY7" s="21">
        <f t="shared" si="5"/>
        <v>6.5560723404255352</v>
      </c>
      <c r="AZ7" s="21">
        <f t="shared" si="5"/>
        <v>6.6017148936170233</v>
      </c>
      <c r="BA7" s="21">
        <f t="shared" si="5"/>
        <v>6.6473574468085115</v>
      </c>
      <c r="BB7" s="21">
        <v>6.6929999999999996</v>
      </c>
      <c r="BC7" s="21"/>
    </row>
    <row r="8" spans="1:55" ht="14.4" x14ac:dyDescent="0.3">
      <c r="B8" s="384"/>
      <c r="C8" s="9" t="s">
        <v>214</v>
      </c>
      <c r="D8" s="365"/>
      <c r="E8" s="382"/>
      <c r="F8" s="382"/>
      <c r="G8" s="21">
        <f>Tendencial!T121</f>
        <v>14.440600000000018</v>
      </c>
      <c r="H8" s="21">
        <f>((H1-$G$1)*($BB$8-$G$8)/(2070-2023))+$G$8</f>
        <v>14.5452680851064</v>
      </c>
      <c r="I8" s="21">
        <f t="shared" ref="I8:BA8" si="6">((I1-$G$1)*($BB$8-$G$8)/(2070-2023))+$G$8</f>
        <v>14.649936170212783</v>
      </c>
      <c r="J8" s="21">
        <f t="shared" si="6"/>
        <v>14.754604255319165</v>
      </c>
      <c r="K8" s="21">
        <f t="shared" si="6"/>
        <v>14.859272340425548</v>
      </c>
      <c r="L8" s="21">
        <f t="shared" si="6"/>
        <v>14.963940425531931</v>
      </c>
      <c r="M8" s="21">
        <f t="shared" si="6"/>
        <v>15.068608510638313</v>
      </c>
      <c r="N8" s="21">
        <f t="shared" si="6"/>
        <v>15.173276595744696</v>
      </c>
      <c r="O8" s="21">
        <f t="shared" si="6"/>
        <v>15.277944680851078</v>
      </c>
      <c r="P8" s="21">
        <f t="shared" si="6"/>
        <v>15.382612765957461</v>
      </c>
      <c r="Q8" s="21">
        <f t="shared" si="6"/>
        <v>15.487280851063844</v>
      </c>
      <c r="R8" s="21">
        <f t="shared" si="6"/>
        <v>15.591948936170226</v>
      </c>
      <c r="S8" s="21">
        <f t="shared" si="6"/>
        <v>15.696617021276609</v>
      </c>
      <c r="T8" s="21">
        <f t="shared" si="6"/>
        <v>15.801285106382991</v>
      </c>
      <c r="U8" s="21">
        <f t="shared" si="6"/>
        <v>15.905953191489374</v>
      </c>
      <c r="V8" s="21">
        <f t="shared" si="6"/>
        <v>16.010621276595757</v>
      </c>
      <c r="W8" s="21">
        <f t="shared" si="6"/>
        <v>16.115289361702139</v>
      </c>
      <c r="X8" s="21">
        <f t="shared" si="6"/>
        <v>16.219957446808522</v>
      </c>
      <c r="Y8" s="21">
        <f t="shared" si="6"/>
        <v>16.324625531914904</v>
      </c>
      <c r="Z8" s="21">
        <f t="shared" si="6"/>
        <v>16.429293617021287</v>
      </c>
      <c r="AA8" s="21">
        <f t="shared" si="6"/>
        <v>16.533961702127669</v>
      </c>
      <c r="AB8" s="21">
        <f t="shared" si="6"/>
        <v>16.638629787234052</v>
      </c>
      <c r="AC8" s="21">
        <f t="shared" si="6"/>
        <v>16.743297872340435</v>
      </c>
      <c r="AD8" s="21">
        <f t="shared" si="6"/>
        <v>16.847965957446817</v>
      </c>
      <c r="AE8" s="21">
        <f t="shared" si="6"/>
        <v>16.9526340425532</v>
      </c>
      <c r="AF8" s="21">
        <f t="shared" si="6"/>
        <v>17.057302127659582</v>
      </c>
      <c r="AG8" s="21">
        <f t="shared" si="6"/>
        <v>17.161970212765965</v>
      </c>
      <c r="AH8" s="21">
        <f t="shared" si="6"/>
        <v>17.266638297872348</v>
      </c>
      <c r="AI8" s="21">
        <f t="shared" si="6"/>
        <v>17.37130638297873</v>
      </c>
      <c r="AJ8" s="21">
        <f t="shared" si="6"/>
        <v>17.475974468085113</v>
      </c>
      <c r="AK8" s="21">
        <f t="shared" si="6"/>
        <v>17.580642553191495</v>
      </c>
      <c r="AL8" s="21">
        <f t="shared" si="6"/>
        <v>17.685310638297878</v>
      </c>
      <c r="AM8" s="21">
        <f t="shared" si="6"/>
        <v>17.789978723404261</v>
      </c>
      <c r="AN8" s="21">
        <f t="shared" si="6"/>
        <v>17.894646808510643</v>
      </c>
      <c r="AO8" s="21">
        <f t="shared" si="6"/>
        <v>17.999314893617026</v>
      </c>
      <c r="AP8" s="21">
        <f t="shared" si="6"/>
        <v>18.103982978723408</v>
      </c>
      <c r="AQ8" s="21">
        <f t="shared" si="6"/>
        <v>18.208651063829791</v>
      </c>
      <c r="AR8" s="21">
        <f t="shared" si="6"/>
        <v>18.313319148936174</v>
      </c>
      <c r="AS8" s="21">
        <f t="shared" si="6"/>
        <v>18.417987234042556</v>
      </c>
      <c r="AT8" s="21">
        <f t="shared" si="6"/>
        <v>18.522655319148939</v>
      </c>
      <c r="AU8" s="21">
        <f t="shared" si="6"/>
        <v>18.627323404255321</v>
      </c>
      <c r="AV8" s="21">
        <f t="shared" si="6"/>
        <v>18.731991489361704</v>
      </c>
      <c r="AW8" s="21">
        <f t="shared" si="6"/>
        <v>18.836659574468086</v>
      </c>
      <c r="AX8" s="21">
        <f t="shared" si="6"/>
        <v>18.941327659574469</v>
      </c>
      <c r="AY8" s="21">
        <f t="shared" si="6"/>
        <v>19.045995744680852</v>
      </c>
      <c r="AZ8" s="21">
        <f t="shared" si="6"/>
        <v>19.150663829787234</v>
      </c>
      <c r="BA8" s="21">
        <f t="shared" si="6"/>
        <v>19.255331914893617</v>
      </c>
      <c r="BB8" s="21">
        <v>19.36</v>
      </c>
      <c r="BC8" s="21"/>
    </row>
    <row r="9" spans="1:55" ht="14.4" x14ac:dyDescent="0.3">
      <c r="B9" s="384"/>
      <c r="C9" s="9" t="s">
        <v>215</v>
      </c>
      <c r="D9" s="365"/>
      <c r="E9" s="382"/>
      <c r="F9" s="382"/>
      <c r="G9" s="21">
        <f>Tendencial!T122</f>
        <v>1.2250000000000014</v>
      </c>
      <c r="H9" s="21">
        <f>((H$1-$G$1)*($BB9-$G9)/(2070-2023))+$G9</f>
        <v>1.2266595744680866</v>
      </c>
      <c r="I9" s="21">
        <f t="shared" ref="I9:BA14" si="7">((I$1-$G$1)*($BB9-$G9)/(2070-2023))+$G9</f>
        <v>1.2283191489361716</v>
      </c>
      <c r="J9" s="21">
        <f t="shared" si="7"/>
        <v>1.2299787234042567</v>
      </c>
      <c r="K9" s="21">
        <f t="shared" si="7"/>
        <v>1.2316382978723417</v>
      </c>
      <c r="L9" s="21">
        <f t="shared" si="7"/>
        <v>1.2332978723404269</v>
      </c>
      <c r="M9" s="21">
        <f t="shared" si="7"/>
        <v>1.2349574468085118</v>
      </c>
      <c r="N9" s="21">
        <f t="shared" si="7"/>
        <v>1.236617021276597</v>
      </c>
      <c r="O9" s="21">
        <f t="shared" si="7"/>
        <v>1.238276595744682</v>
      </c>
      <c r="P9" s="21">
        <f t="shared" si="7"/>
        <v>1.2399361702127671</v>
      </c>
      <c r="Q9" s="21">
        <f t="shared" si="7"/>
        <v>1.2415957446808521</v>
      </c>
      <c r="R9" s="21">
        <f t="shared" si="7"/>
        <v>1.2432553191489373</v>
      </c>
      <c r="S9" s="21">
        <f t="shared" si="7"/>
        <v>1.2449148936170222</v>
      </c>
      <c r="T9" s="21">
        <f t="shared" si="7"/>
        <v>1.2465744680851074</v>
      </c>
      <c r="U9" s="21">
        <f t="shared" si="7"/>
        <v>1.2482340425531924</v>
      </c>
      <c r="V9" s="21">
        <f t="shared" si="7"/>
        <v>1.2498936170212775</v>
      </c>
      <c r="W9" s="21">
        <f t="shared" si="7"/>
        <v>1.2515531914893627</v>
      </c>
      <c r="X9" s="21">
        <f t="shared" si="7"/>
        <v>1.2532127659574477</v>
      </c>
      <c r="Y9" s="21">
        <f t="shared" si="7"/>
        <v>1.2548723404255329</v>
      </c>
      <c r="Z9" s="21">
        <f t="shared" si="7"/>
        <v>1.2565319148936178</v>
      </c>
      <c r="AA9" s="21">
        <f t="shared" si="7"/>
        <v>1.258191489361703</v>
      </c>
      <c r="AB9" s="21">
        <f t="shared" si="7"/>
        <v>1.259851063829788</v>
      </c>
      <c r="AC9" s="21">
        <f t="shared" si="7"/>
        <v>1.2615106382978731</v>
      </c>
      <c r="AD9" s="21">
        <f t="shared" si="7"/>
        <v>1.2631702127659581</v>
      </c>
      <c r="AE9" s="21">
        <f t="shared" si="7"/>
        <v>1.2648297872340433</v>
      </c>
      <c r="AF9" s="21">
        <f t="shared" si="7"/>
        <v>1.2664893617021282</v>
      </c>
      <c r="AG9" s="21">
        <f t="shared" si="7"/>
        <v>1.2681489361702134</v>
      </c>
      <c r="AH9" s="21">
        <f t="shared" si="7"/>
        <v>1.2698085106382984</v>
      </c>
      <c r="AI9" s="21">
        <f t="shared" si="7"/>
        <v>1.2714680851063835</v>
      </c>
      <c r="AJ9" s="21">
        <f t="shared" si="7"/>
        <v>1.2731276595744685</v>
      </c>
      <c r="AK9" s="21">
        <f t="shared" si="7"/>
        <v>1.2747872340425537</v>
      </c>
      <c r="AL9" s="21">
        <f t="shared" si="7"/>
        <v>1.2764468085106389</v>
      </c>
      <c r="AM9" s="21">
        <f t="shared" si="7"/>
        <v>1.2781063829787238</v>
      </c>
      <c r="AN9" s="21">
        <f t="shared" si="7"/>
        <v>1.279765957446809</v>
      </c>
      <c r="AO9" s="21">
        <f t="shared" si="7"/>
        <v>1.2814255319148939</v>
      </c>
      <c r="AP9" s="21">
        <f t="shared" si="7"/>
        <v>1.2830851063829791</v>
      </c>
      <c r="AQ9" s="21">
        <f t="shared" si="7"/>
        <v>1.2847446808510641</v>
      </c>
      <c r="AR9" s="21">
        <f t="shared" si="7"/>
        <v>1.2864042553191493</v>
      </c>
      <c r="AS9" s="21">
        <f t="shared" si="7"/>
        <v>1.2880638297872342</v>
      </c>
      <c r="AT9" s="21">
        <f t="shared" si="7"/>
        <v>1.2897234042553194</v>
      </c>
      <c r="AU9" s="21">
        <f t="shared" si="7"/>
        <v>1.2913829787234044</v>
      </c>
      <c r="AV9" s="21">
        <f t="shared" si="7"/>
        <v>1.2930425531914895</v>
      </c>
      <c r="AW9" s="21">
        <f t="shared" si="7"/>
        <v>1.2947021276595745</v>
      </c>
      <c r="AX9" s="21">
        <f t="shared" si="7"/>
        <v>1.2963617021276597</v>
      </c>
      <c r="AY9" s="21">
        <f t="shared" si="7"/>
        <v>1.2980212765957446</v>
      </c>
      <c r="AZ9" s="21">
        <f t="shared" si="7"/>
        <v>1.2996808510638298</v>
      </c>
      <c r="BA9" s="21">
        <f t="shared" si="7"/>
        <v>1.3013404255319148</v>
      </c>
      <c r="BB9" s="21">
        <v>1.3029999999999999</v>
      </c>
      <c r="BC9" s="21"/>
    </row>
    <row r="10" spans="1:55" ht="14.4" customHeight="1" x14ac:dyDescent="0.3">
      <c r="B10" s="384"/>
      <c r="C10" s="9" t="s">
        <v>216</v>
      </c>
      <c r="D10" s="365"/>
      <c r="E10" s="382"/>
      <c r="F10" s="382"/>
      <c r="G10" s="21">
        <f>Tendencial!T123</f>
        <v>6.6410999999999945</v>
      </c>
      <c r="H10" s="21">
        <f>Tendencial!U123</f>
        <v>6.6341821874999942</v>
      </c>
      <c r="I10" s="21">
        <f>Tendencial!V123</f>
        <v>6.6272715810546812</v>
      </c>
      <c r="J10" s="21">
        <f>Tendencial!W123</f>
        <v>6.6203681731577486</v>
      </c>
      <c r="K10" s="21">
        <f>Tendencial!X123</f>
        <v>6.6134719563107094</v>
      </c>
      <c r="L10" s="21">
        <f>Tendencial!Y123</f>
        <v>6.6065829230228852</v>
      </c>
      <c r="M10" s="21">
        <f>Tendencial!Z123</f>
        <v>6.599701065811403</v>
      </c>
      <c r="N10" s="21">
        <f>Tendencial!AA123</f>
        <v>6.5928263772011828</v>
      </c>
      <c r="O10" s="21">
        <f>Tendencial!AB123</f>
        <v>6.5859588497249311</v>
      </c>
      <c r="P10" s="21">
        <f>Tendencial!AC123</f>
        <v>6.5790984759231339</v>
      </c>
      <c r="Q10" s="21">
        <f>Tendencial!AD123</f>
        <v>6.5722452483440472</v>
      </c>
      <c r="R10" s="21">
        <f>Tendencial!AE123</f>
        <v>6.5653991595436887</v>
      </c>
      <c r="S10" s="21">
        <f>Tendencial!AF123</f>
        <v>6.5585602020858307</v>
      </c>
      <c r="T10" s="21">
        <f>Tendencial!AG123</f>
        <v>6.5517283685419914</v>
      </c>
      <c r="U10" s="21">
        <f>Tendencial!AH123</f>
        <v>6.5449036514914267</v>
      </c>
      <c r="V10" s="21">
        <f>Tendencial!AI123</f>
        <v>6.5380860435211225</v>
      </c>
      <c r="W10" s="21">
        <f>Tendencial!AJ123</f>
        <v>6.5312755372257874</v>
      </c>
      <c r="X10" s="21">
        <f>Tendencial!AK123</f>
        <v>6.5244721252078435</v>
      </c>
      <c r="Y10" s="21">
        <f>Tendencial!AL123</f>
        <v>6.5176758000774182</v>
      </c>
      <c r="Z10" s="21">
        <f>Tendencial!AM123</f>
        <v>6.5108865544523375</v>
      </c>
      <c r="AA10" s="21">
        <f>Tendencial!AN123</f>
        <v>6.5041043809581156</v>
      </c>
      <c r="AB10" s="21">
        <f>Tendencial!AO123</f>
        <v>6.497329272227951</v>
      </c>
      <c r="AC10" s="21">
        <f>Tendencial!AP123</f>
        <v>6.4905612209027135</v>
      </c>
      <c r="AD10" s="21">
        <f>Tendencial!AQ123</f>
        <v>6.4838002196309397</v>
      </c>
      <c r="AE10" s="21">
        <f>Tendencial!AR123</f>
        <v>6.477046261068824</v>
      </c>
      <c r="AF10" s="21">
        <f>Tendencial!AS123</f>
        <v>6.4702993378802107</v>
      </c>
      <c r="AG10" s="21">
        <f>Tendencial!AT123</f>
        <v>6.4635594427365852</v>
      </c>
      <c r="AH10" s="21">
        <f>Tendencial!AU123</f>
        <v>6.4568265683170676</v>
      </c>
      <c r="AI10" s="21">
        <f>Tendencial!AV123</f>
        <v>6.4501007073084038</v>
      </c>
      <c r="AJ10" s="21">
        <f>Tendencial!AW123</f>
        <v>6.4433818524049569</v>
      </c>
      <c r="AK10" s="21">
        <f>Tendencial!AX123</f>
        <v>6.4366699963087015</v>
      </c>
      <c r="AL10" s="21">
        <f>Tendencial!AY123</f>
        <v>6.4299651317292126</v>
      </c>
      <c r="AM10" s="21">
        <f>Tendencial!AZ123</f>
        <v>6.4232672513836606</v>
      </c>
      <c r="AN10" s="21">
        <f>Tendencial!BA123</f>
        <v>6.4165763479968021</v>
      </c>
      <c r="AO10" s="21">
        <f>Tendencial!BB123</f>
        <v>6.4098924143009715</v>
      </c>
      <c r="AP10" s="21">
        <f>Tendencial!BC123</f>
        <v>6.4032154430360739</v>
      </c>
      <c r="AQ10" s="21">
        <f>Tendencial!BD123</f>
        <v>6.3965454269495776</v>
      </c>
      <c r="AR10" s="21">
        <f>Tendencial!BE123</f>
        <v>6.3898823587965046</v>
      </c>
      <c r="AS10" s="21">
        <f>Tendencial!BF123</f>
        <v>6.3832262313394246</v>
      </c>
      <c r="AT10" s="21">
        <f>Tendencial!BG123</f>
        <v>6.3765770373484454</v>
      </c>
      <c r="AU10" s="21">
        <f>Tendencial!BH123</f>
        <v>6.3699347696012074</v>
      </c>
      <c r="AV10" s="21">
        <f>Tendencial!BI123</f>
        <v>6.3632994208828721</v>
      </c>
      <c r="AW10" s="21">
        <f>Tendencial!BJ123</f>
        <v>6.3566709839861186</v>
      </c>
      <c r="AX10" s="21">
        <f>Tendencial!BK123</f>
        <v>6.3500494517111328</v>
      </c>
      <c r="AY10" s="21">
        <f>Tendencial!BL123</f>
        <v>6.3434348168656003</v>
      </c>
      <c r="AZ10" s="21">
        <f>Tendencial!BM123</f>
        <v>6.3368270722646987</v>
      </c>
      <c r="BA10" s="21">
        <f>Tendencial!BN123</f>
        <v>6.3302262107310892</v>
      </c>
      <c r="BB10" s="21">
        <f>Tendencial!BO123</f>
        <v>6.3236322250949106</v>
      </c>
      <c r="BC10" s="21"/>
    </row>
    <row r="11" spans="1:55" ht="14.4" x14ac:dyDescent="0.3">
      <c r="B11" s="384"/>
      <c r="C11" s="9" t="s">
        <v>217</v>
      </c>
      <c r="D11" s="365"/>
      <c r="E11" s="382"/>
      <c r="F11" s="382"/>
      <c r="G11" s="21">
        <f>Tendencial!T124</f>
        <v>1.8811000000000035</v>
      </c>
      <c r="H11" s="21">
        <f t="shared" ref="H11:H17" si="8">((H$1-$G$1)*($BB11-$G11)/(2070-2023))+$G11</f>
        <v>1.8852086955959004</v>
      </c>
      <c r="I11" s="21">
        <f t="shared" si="7"/>
        <v>1.8893173911917971</v>
      </c>
      <c r="J11" s="21">
        <f t="shared" si="7"/>
        <v>1.893426086787694</v>
      </c>
      <c r="K11" s="21">
        <f t="shared" si="7"/>
        <v>1.8975347823835909</v>
      </c>
      <c r="L11" s="21">
        <f t="shared" si="7"/>
        <v>1.9016434779794875</v>
      </c>
      <c r="M11" s="21">
        <f t="shared" si="7"/>
        <v>1.9057521735753844</v>
      </c>
      <c r="N11" s="21">
        <f t="shared" si="7"/>
        <v>1.9098608691712813</v>
      </c>
      <c r="O11" s="21">
        <f t="shared" si="7"/>
        <v>1.9139695647671779</v>
      </c>
      <c r="P11" s="21">
        <f t="shared" si="7"/>
        <v>1.9180782603630748</v>
      </c>
      <c r="Q11" s="21">
        <f t="shared" si="7"/>
        <v>1.9221869559589717</v>
      </c>
      <c r="R11" s="21">
        <f t="shared" si="7"/>
        <v>1.9262956515548684</v>
      </c>
      <c r="S11" s="21">
        <f t="shared" si="7"/>
        <v>1.9304043471507653</v>
      </c>
      <c r="T11" s="21">
        <f t="shared" si="7"/>
        <v>1.9345130427466621</v>
      </c>
      <c r="U11" s="21">
        <f t="shared" si="7"/>
        <v>1.9386217383425588</v>
      </c>
      <c r="V11" s="21">
        <f t="shared" si="7"/>
        <v>1.9427304339384557</v>
      </c>
      <c r="W11" s="21">
        <f t="shared" si="7"/>
        <v>1.9468391295343526</v>
      </c>
      <c r="X11" s="21">
        <f t="shared" si="7"/>
        <v>1.9509478251302492</v>
      </c>
      <c r="Y11" s="21">
        <f t="shared" si="7"/>
        <v>1.9550565207261461</v>
      </c>
      <c r="Z11" s="21">
        <f t="shared" si="7"/>
        <v>1.959165216322043</v>
      </c>
      <c r="AA11" s="21">
        <f t="shared" si="7"/>
        <v>1.9632739119179397</v>
      </c>
      <c r="AB11" s="21">
        <f t="shared" si="7"/>
        <v>1.9673826075138365</v>
      </c>
      <c r="AC11" s="21">
        <f t="shared" si="7"/>
        <v>1.9714913031097332</v>
      </c>
      <c r="AD11" s="21">
        <f t="shared" si="7"/>
        <v>1.9755999987056301</v>
      </c>
      <c r="AE11" s="21">
        <f t="shared" si="7"/>
        <v>1.979708694301527</v>
      </c>
      <c r="AF11" s="21">
        <f t="shared" si="7"/>
        <v>1.9838173898974238</v>
      </c>
      <c r="AG11" s="21">
        <f t="shared" si="7"/>
        <v>1.9879260854933205</v>
      </c>
      <c r="AH11" s="21">
        <f t="shared" si="7"/>
        <v>1.9920347810892174</v>
      </c>
      <c r="AI11" s="21">
        <f t="shared" si="7"/>
        <v>1.996143476685114</v>
      </c>
      <c r="AJ11" s="21">
        <f t="shared" si="7"/>
        <v>2.0002521722810109</v>
      </c>
      <c r="AK11" s="21">
        <f t="shared" si="7"/>
        <v>2.0043608678769078</v>
      </c>
      <c r="AL11" s="21">
        <f t="shared" si="7"/>
        <v>2.0084695634728047</v>
      </c>
      <c r="AM11" s="21">
        <f t="shared" si="7"/>
        <v>2.0125782590687016</v>
      </c>
      <c r="AN11" s="21">
        <f t="shared" si="7"/>
        <v>2.016686954664598</v>
      </c>
      <c r="AO11" s="21">
        <f t="shared" si="7"/>
        <v>2.0207956502604949</v>
      </c>
      <c r="AP11" s="21">
        <f t="shared" si="7"/>
        <v>2.0249043458563918</v>
      </c>
      <c r="AQ11" s="21">
        <f t="shared" si="7"/>
        <v>2.0290130414522887</v>
      </c>
      <c r="AR11" s="21">
        <f t="shared" si="7"/>
        <v>2.0331217370481856</v>
      </c>
      <c r="AS11" s="21">
        <f t="shared" si="7"/>
        <v>2.0372304326440824</v>
      </c>
      <c r="AT11" s="21">
        <f t="shared" si="7"/>
        <v>2.0413391282399789</v>
      </c>
      <c r="AU11" s="21">
        <f t="shared" si="7"/>
        <v>2.0454478238358758</v>
      </c>
      <c r="AV11" s="21">
        <f t="shared" si="7"/>
        <v>2.0495565194317726</v>
      </c>
      <c r="AW11" s="21">
        <f t="shared" si="7"/>
        <v>2.0536652150276695</v>
      </c>
      <c r="AX11" s="21">
        <f t="shared" si="7"/>
        <v>2.0577739106235664</v>
      </c>
      <c r="AY11" s="21">
        <f t="shared" si="7"/>
        <v>2.0618826062194628</v>
      </c>
      <c r="AZ11" s="21">
        <f t="shared" si="7"/>
        <v>2.0659913018153597</v>
      </c>
      <c r="BA11" s="21">
        <f t="shared" si="7"/>
        <v>2.0700999974112566</v>
      </c>
      <c r="BB11" s="21">
        <f>1.05*Tendencial!BO124</f>
        <v>2.0742086930071535</v>
      </c>
      <c r="BC11" s="21"/>
    </row>
    <row r="12" spans="1:55" ht="14.4" x14ac:dyDescent="0.3">
      <c r="B12" s="384"/>
      <c r="C12" s="9" t="s">
        <v>218</v>
      </c>
      <c r="D12" s="365"/>
      <c r="E12" s="382"/>
      <c r="F12" s="382"/>
      <c r="G12" s="21">
        <f>Tendencial!T125</f>
        <v>1.8078000000000145</v>
      </c>
      <c r="H12" s="21">
        <f t="shared" si="8"/>
        <v>1.8161446808510779</v>
      </c>
      <c r="I12" s="21">
        <f t="shared" si="7"/>
        <v>1.8244893617021416</v>
      </c>
      <c r="J12" s="21">
        <f t="shared" si="7"/>
        <v>1.832834042553205</v>
      </c>
      <c r="K12" s="21">
        <f t="shared" si="7"/>
        <v>1.8411787234042687</v>
      </c>
      <c r="L12" s="21">
        <f t="shared" si="7"/>
        <v>1.8495234042553321</v>
      </c>
      <c r="M12" s="21">
        <f t="shared" si="7"/>
        <v>1.8578680851063956</v>
      </c>
      <c r="N12" s="21">
        <f t="shared" si="7"/>
        <v>1.8662127659574592</v>
      </c>
      <c r="O12" s="21">
        <f t="shared" si="7"/>
        <v>1.8745574468085227</v>
      </c>
      <c r="P12" s="21">
        <f t="shared" si="7"/>
        <v>1.8829021276595863</v>
      </c>
      <c r="Q12" s="21">
        <f t="shared" si="7"/>
        <v>1.8912468085106497</v>
      </c>
      <c r="R12" s="21">
        <f t="shared" si="7"/>
        <v>1.8995914893617132</v>
      </c>
      <c r="S12" s="21">
        <f t="shared" si="7"/>
        <v>1.9079361702127768</v>
      </c>
      <c r="T12" s="21">
        <f t="shared" si="7"/>
        <v>1.9162808510638403</v>
      </c>
      <c r="U12" s="21">
        <f t="shared" si="7"/>
        <v>1.9246255319149039</v>
      </c>
      <c r="V12" s="21">
        <f t="shared" si="7"/>
        <v>1.9329702127659674</v>
      </c>
      <c r="W12" s="21">
        <f t="shared" si="7"/>
        <v>1.9413148936170308</v>
      </c>
      <c r="X12" s="21">
        <f t="shared" si="7"/>
        <v>1.9496595744680945</v>
      </c>
      <c r="Y12" s="21">
        <f t="shared" si="7"/>
        <v>1.9580042553191579</v>
      </c>
      <c r="Z12" s="21">
        <f t="shared" si="7"/>
        <v>1.9663489361702216</v>
      </c>
      <c r="AA12" s="21">
        <f t="shared" si="7"/>
        <v>1.974693617021285</v>
      </c>
      <c r="AB12" s="21">
        <f t="shared" si="7"/>
        <v>1.9830382978723484</v>
      </c>
      <c r="AC12" s="21">
        <f t="shared" si="7"/>
        <v>1.9913829787234121</v>
      </c>
      <c r="AD12" s="21">
        <f t="shared" si="7"/>
        <v>1.9997276595744755</v>
      </c>
      <c r="AE12" s="21">
        <f t="shared" si="7"/>
        <v>2.0080723404255392</v>
      </c>
      <c r="AF12" s="21">
        <f t="shared" si="7"/>
        <v>2.0164170212766024</v>
      </c>
      <c r="AG12" s="21">
        <f t="shared" si="7"/>
        <v>2.024761702127666</v>
      </c>
      <c r="AH12" s="21">
        <f t="shared" si="7"/>
        <v>2.0331063829787297</v>
      </c>
      <c r="AI12" s="21">
        <f t="shared" si="7"/>
        <v>2.0414510638297934</v>
      </c>
      <c r="AJ12" s="21">
        <f t="shared" si="7"/>
        <v>2.0497957446808566</v>
      </c>
      <c r="AK12" s="21">
        <f t="shared" si="7"/>
        <v>2.0581404255319202</v>
      </c>
      <c r="AL12" s="21">
        <f t="shared" si="7"/>
        <v>2.0664851063829839</v>
      </c>
      <c r="AM12" s="21">
        <f t="shared" si="7"/>
        <v>2.0748297872340471</v>
      </c>
      <c r="AN12" s="21">
        <f t="shared" si="7"/>
        <v>2.0831744680851108</v>
      </c>
      <c r="AO12" s="21">
        <f t="shared" si="7"/>
        <v>2.0915191489361744</v>
      </c>
      <c r="AP12" s="21">
        <f t="shared" si="7"/>
        <v>2.0998638297872381</v>
      </c>
      <c r="AQ12" s="21">
        <f t="shared" si="7"/>
        <v>2.1082085106383013</v>
      </c>
      <c r="AR12" s="21">
        <f t="shared" si="7"/>
        <v>2.1165531914893649</v>
      </c>
      <c r="AS12" s="21">
        <f t="shared" si="7"/>
        <v>2.1248978723404286</v>
      </c>
      <c r="AT12" s="21">
        <f t="shared" si="7"/>
        <v>2.1332425531914918</v>
      </c>
      <c r="AU12" s="21">
        <f t="shared" si="7"/>
        <v>2.1415872340425555</v>
      </c>
      <c r="AV12" s="21">
        <f t="shared" si="7"/>
        <v>2.1499319148936191</v>
      </c>
      <c r="AW12" s="21">
        <f t="shared" si="7"/>
        <v>2.1582765957446823</v>
      </c>
      <c r="AX12" s="21">
        <f t="shared" si="7"/>
        <v>2.166621276595746</v>
      </c>
      <c r="AY12" s="21">
        <f t="shared" si="7"/>
        <v>2.1749659574468097</v>
      </c>
      <c r="AZ12" s="21">
        <f t="shared" si="7"/>
        <v>2.1833106382978729</v>
      </c>
      <c r="BA12" s="21">
        <f t="shared" si="7"/>
        <v>2.1916553191489365</v>
      </c>
      <c r="BB12" s="21">
        <v>2.2000000000000002</v>
      </c>
      <c r="BC12" s="21"/>
    </row>
    <row r="13" spans="1:55" ht="14.4" x14ac:dyDescent="0.3">
      <c r="B13" s="384"/>
      <c r="C13" s="9" t="s">
        <v>219</v>
      </c>
      <c r="D13" s="365"/>
      <c r="E13" s="382"/>
      <c r="F13" s="382"/>
      <c r="G13" s="21">
        <f>Tendencial!T126</f>
        <v>12.049399999999878</v>
      </c>
      <c r="H13" s="21">
        <f t="shared" si="8"/>
        <v>12.095157446808392</v>
      </c>
      <c r="I13" s="21">
        <f t="shared" si="7"/>
        <v>12.140914893616904</v>
      </c>
      <c r="J13" s="21">
        <f t="shared" si="7"/>
        <v>12.186672340425417</v>
      </c>
      <c r="K13" s="21">
        <f t="shared" si="7"/>
        <v>12.232429787233931</v>
      </c>
      <c r="L13" s="21">
        <f t="shared" si="7"/>
        <v>12.278187234042443</v>
      </c>
      <c r="M13" s="21">
        <f t="shared" si="7"/>
        <v>12.323944680850957</v>
      </c>
      <c r="N13" s="21">
        <f t="shared" si="7"/>
        <v>12.369702127659471</v>
      </c>
      <c r="O13" s="21">
        <f t="shared" si="7"/>
        <v>12.415459574467983</v>
      </c>
      <c r="P13" s="21">
        <f t="shared" si="7"/>
        <v>12.461217021276497</v>
      </c>
      <c r="Q13" s="21">
        <f t="shared" si="7"/>
        <v>12.50697446808501</v>
      </c>
      <c r="R13" s="21">
        <f t="shared" si="7"/>
        <v>12.552731914893524</v>
      </c>
      <c r="S13" s="21">
        <f t="shared" si="7"/>
        <v>12.598489361702036</v>
      </c>
      <c r="T13" s="21">
        <f t="shared" si="7"/>
        <v>12.64424680851055</v>
      </c>
      <c r="U13" s="21">
        <f t="shared" si="7"/>
        <v>12.690004255319064</v>
      </c>
      <c r="V13" s="21">
        <f t="shared" si="7"/>
        <v>12.735761702127576</v>
      </c>
      <c r="W13" s="21">
        <f t="shared" si="7"/>
        <v>12.78151914893609</v>
      </c>
      <c r="X13" s="21">
        <f t="shared" si="7"/>
        <v>12.827276595744603</v>
      </c>
      <c r="Y13" s="21">
        <f t="shared" si="7"/>
        <v>12.873034042553115</v>
      </c>
      <c r="Z13" s="21">
        <f t="shared" si="7"/>
        <v>12.918791489361629</v>
      </c>
      <c r="AA13" s="21">
        <f t="shared" si="7"/>
        <v>12.964548936170143</v>
      </c>
      <c r="AB13" s="21">
        <f t="shared" si="7"/>
        <v>13.010306382978655</v>
      </c>
      <c r="AC13" s="21">
        <f t="shared" si="7"/>
        <v>13.056063829787169</v>
      </c>
      <c r="AD13" s="21">
        <f t="shared" si="7"/>
        <v>13.101821276595683</v>
      </c>
      <c r="AE13" s="21">
        <f t="shared" si="7"/>
        <v>13.147578723404195</v>
      </c>
      <c r="AF13" s="21">
        <f t="shared" si="7"/>
        <v>13.193336170212708</v>
      </c>
      <c r="AG13" s="21">
        <f t="shared" si="7"/>
        <v>13.239093617021222</v>
      </c>
      <c r="AH13" s="21">
        <f t="shared" si="7"/>
        <v>13.284851063829734</v>
      </c>
      <c r="AI13" s="21">
        <f t="shared" si="7"/>
        <v>13.330608510638248</v>
      </c>
      <c r="AJ13" s="21">
        <f t="shared" si="7"/>
        <v>13.376365957446762</v>
      </c>
      <c r="AK13" s="21">
        <f t="shared" si="7"/>
        <v>13.422123404255274</v>
      </c>
      <c r="AL13" s="21">
        <f t="shared" si="7"/>
        <v>13.467880851063788</v>
      </c>
      <c r="AM13" s="21">
        <f t="shared" si="7"/>
        <v>13.513638297872301</v>
      </c>
      <c r="AN13" s="21">
        <f t="shared" si="7"/>
        <v>13.559395744680813</v>
      </c>
      <c r="AO13" s="21">
        <f t="shared" si="7"/>
        <v>13.605153191489327</v>
      </c>
      <c r="AP13" s="21">
        <f t="shared" si="7"/>
        <v>13.650910638297841</v>
      </c>
      <c r="AQ13" s="21">
        <f t="shared" si="7"/>
        <v>13.696668085106353</v>
      </c>
      <c r="AR13" s="21">
        <f t="shared" si="7"/>
        <v>13.742425531914867</v>
      </c>
      <c r="AS13" s="21">
        <f t="shared" si="7"/>
        <v>13.788182978723381</v>
      </c>
      <c r="AT13" s="21">
        <f t="shared" si="7"/>
        <v>13.833940425531893</v>
      </c>
      <c r="AU13" s="21">
        <f t="shared" si="7"/>
        <v>13.879697872340406</v>
      </c>
      <c r="AV13" s="21">
        <f t="shared" si="7"/>
        <v>13.92545531914892</v>
      </c>
      <c r="AW13" s="21">
        <f t="shared" si="7"/>
        <v>13.971212765957434</v>
      </c>
      <c r="AX13" s="21">
        <f t="shared" si="7"/>
        <v>14.016970212765946</v>
      </c>
      <c r="AY13" s="21">
        <f t="shared" si="7"/>
        <v>14.06272765957446</v>
      </c>
      <c r="AZ13" s="21">
        <f t="shared" si="7"/>
        <v>14.108485106382973</v>
      </c>
      <c r="BA13" s="21">
        <f t="shared" si="7"/>
        <v>14.154242553191485</v>
      </c>
      <c r="BB13" s="21">
        <v>14.2</v>
      </c>
      <c r="BC13" s="21"/>
    </row>
    <row r="14" spans="1:55" ht="14.4" x14ac:dyDescent="0.3">
      <c r="B14" s="384"/>
      <c r="C14" s="9" t="s">
        <v>220</v>
      </c>
      <c r="D14" s="365"/>
      <c r="E14" s="382"/>
      <c r="F14" s="382"/>
      <c r="G14" s="21">
        <f>Tendencial!T127</f>
        <v>7.6707999999999856</v>
      </c>
      <c r="H14" s="21">
        <f t="shared" si="8"/>
        <v>7.71547642951331</v>
      </c>
      <c r="I14" s="21">
        <f t="shared" si="7"/>
        <v>7.7601528590266353</v>
      </c>
      <c r="J14" s="21">
        <f t="shared" si="7"/>
        <v>7.8048292885399597</v>
      </c>
      <c r="K14" s="21">
        <f t="shared" si="7"/>
        <v>7.849505718053285</v>
      </c>
      <c r="L14" s="21">
        <f t="shared" si="7"/>
        <v>7.8941821475666094</v>
      </c>
      <c r="M14" s="21">
        <f t="shared" si="7"/>
        <v>7.9388585770799338</v>
      </c>
      <c r="N14" s="21">
        <f t="shared" si="7"/>
        <v>7.9835350065932591</v>
      </c>
      <c r="O14" s="21">
        <f t="shared" si="7"/>
        <v>8.0282114361065844</v>
      </c>
      <c r="P14" s="21">
        <f t="shared" si="7"/>
        <v>8.0728878656199079</v>
      </c>
      <c r="Q14" s="21">
        <f t="shared" si="7"/>
        <v>8.1175642951332332</v>
      </c>
      <c r="R14" s="21">
        <f t="shared" si="7"/>
        <v>8.1622407246465585</v>
      </c>
      <c r="S14" s="21">
        <f t="shared" si="7"/>
        <v>8.206917154159882</v>
      </c>
      <c r="T14" s="21">
        <f t="shared" si="7"/>
        <v>8.2515935836732073</v>
      </c>
      <c r="U14" s="21">
        <f t="shared" si="7"/>
        <v>8.2962700131865326</v>
      </c>
      <c r="V14" s="21">
        <f t="shared" si="7"/>
        <v>8.3409464426998579</v>
      </c>
      <c r="W14" s="21">
        <f t="shared" si="7"/>
        <v>8.3856228722131814</v>
      </c>
      <c r="X14" s="21">
        <f t="shared" si="7"/>
        <v>8.4302993017265067</v>
      </c>
      <c r="Y14" s="21">
        <f t="shared" si="7"/>
        <v>8.4749757312398319</v>
      </c>
      <c r="Z14" s="21">
        <f t="shared" si="7"/>
        <v>8.5196521607531555</v>
      </c>
      <c r="AA14" s="21">
        <f t="shared" si="7"/>
        <v>8.5643285902664807</v>
      </c>
      <c r="AB14" s="21">
        <f t="shared" si="7"/>
        <v>8.609005019779806</v>
      </c>
      <c r="AC14" s="21">
        <f t="shared" si="7"/>
        <v>8.6536814492931313</v>
      </c>
      <c r="AD14" s="21">
        <f t="shared" si="7"/>
        <v>8.6983578788064548</v>
      </c>
      <c r="AE14" s="21">
        <f t="shared" si="7"/>
        <v>8.7430343083197801</v>
      </c>
      <c r="AF14" s="21">
        <f t="shared" si="7"/>
        <v>8.7877107378331054</v>
      </c>
      <c r="AG14" s="21">
        <f t="shared" si="7"/>
        <v>8.8323871673464289</v>
      </c>
      <c r="AH14" s="21">
        <f t="shared" si="7"/>
        <v>8.8770635968597542</v>
      </c>
      <c r="AI14" s="21">
        <f t="shared" si="7"/>
        <v>8.9217400263730795</v>
      </c>
      <c r="AJ14" s="21">
        <f t="shared" si="7"/>
        <v>8.966416455886403</v>
      </c>
      <c r="AK14" s="21">
        <f t="shared" si="7"/>
        <v>9.0110928853997283</v>
      </c>
      <c r="AL14" s="21">
        <f t="shared" si="7"/>
        <v>9.0557693149130536</v>
      </c>
      <c r="AM14" s="21">
        <f t="shared" si="7"/>
        <v>9.1004457444263771</v>
      </c>
      <c r="AN14" s="21">
        <f t="shared" si="7"/>
        <v>9.1451221739397024</v>
      </c>
      <c r="AO14" s="21">
        <f t="shared" si="7"/>
        <v>9.1897986034530277</v>
      </c>
      <c r="AP14" s="21">
        <f t="shared" si="7"/>
        <v>9.234475032966353</v>
      </c>
      <c r="AQ14" s="21">
        <f t="shared" si="7"/>
        <v>9.2791514624796765</v>
      </c>
      <c r="AR14" s="21">
        <f t="shared" si="7"/>
        <v>9.3238278919930018</v>
      </c>
      <c r="AS14" s="21">
        <f t="shared" si="7"/>
        <v>9.3685043215063271</v>
      </c>
      <c r="AT14" s="21">
        <f t="shared" si="7"/>
        <v>9.4131807510196506</v>
      </c>
      <c r="AU14" s="21">
        <f t="shared" si="7"/>
        <v>9.4578571805329759</v>
      </c>
      <c r="AV14" s="21">
        <f t="shared" si="7"/>
        <v>9.5025336100463011</v>
      </c>
      <c r="AW14" s="21">
        <f t="shared" si="7"/>
        <v>9.5472100395596264</v>
      </c>
      <c r="AX14" s="21">
        <f t="shared" si="7"/>
        <v>9.59188646907295</v>
      </c>
      <c r="AY14" s="21">
        <f t="shared" si="7"/>
        <v>9.6365628985862752</v>
      </c>
      <c r="AZ14" s="21">
        <f t="shared" si="7"/>
        <v>9.6812393280996005</v>
      </c>
      <c r="BA14" s="21">
        <f t="shared" si="7"/>
        <v>9.725915757612924</v>
      </c>
      <c r="BB14" s="21">
        <f>1.1*Tendencial!BO127</f>
        <v>9.7705921871262493</v>
      </c>
      <c r="BC14" s="21"/>
    </row>
    <row r="15" spans="1:55" ht="14.4" x14ac:dyDescent="0.3">
      <c r="B15" s="384"/>
      <c r="C15" s="9" t="s">
        <v>221</v>
      </c>
      <c r="D15" s="365"/>
      <c r="E15" s="382"/>
      <c r="F15" s="382"/>
      <c r="G15" s="21">
        <f>Tendencial!T128</f>
        <v>10.571800000000167</v>
      </c>
      <c r="H15" s="21">
        <f t="shared" si="8"/>
        <v>10.647694803546035</v>
      </c>
      <c r="I15" s="21">
        <f t="shared" ref="I15:BA17" si="9">((I$1-$G$1)*($BB15-$G15)/(2070-2023))+$G15</f>
        <v>10.723589607091904</v>
      </c>
      <c r="J15" s="21">
        <f t="shared" si="9"/>
        <v>10.799484410637772</v>
      </c>
      <c r="K15" s="21">
        <f t="shared" si="9"/>
        <v>10.87537921418364</v>
      </c>
      <c r="L15" s="21">
        <f t="shared" si="9"/>
        <v>10.95127401772951</v>
      </c>
      <c r="M15" s="21">
        <f t="shared" si="9"/>
        <v>11.027168821275378</v>
      </c>
      <c r="N15" s="21">
        <f t="shared" si="9"/>
        <v>11.103063624821246</v>
      </c>
      <c r="O15" s="21">
        <f t="shared" si="9"/>
        <v>11.178958428367116</v>
      </c>
      <c r="P15" s="21">
        <f t="shared" si="9"/>
        <v>11.254853231912984</v>
      </c>
      <c r="Q15" s="21">
        <f t="shared" si="9"/>
        <v>11.330748035458852</v>
      </c>
      <c r="R15" s="21">
        <f t="shared" si="9"/>
        <v>11.406642839004721</v>
      </c>
      <c r="S15" s="21">
        <f t="shared" si="9"/>
        <v>11.482537642550589</v>
      </c>
      <c r="T15" s="21">
        <f t="shared" si="9"/>
        <v>11.558432446096457</v>
      </c>
      <c r="U15" s="21">
        <f t="shared" si="9"/>
        <v>11.634327249642327</v>
      </c>
      <c r="V15" s="21">
        <f t="shared" si="9"/>
        <v>11.710222053188195</v>
      </c>
      <c r="W15" s="21">
        <f t="shared" si="9"/>
        <v>11.786116856734065</v>
      </c>
      <c r="X15" s="21">
        <f t="shared" si="9"/>
        <v>11.862011660279933</v>
      </c>
      <c r="Y15" s="21">
        <f t="shared" si="9"/>
        <v>11.937906463825801</v>
      </c>
      <c r="Z15" s="21">
        <f t="shared" si="9"/>
        <v>12.013801267371669</v>
      </c>
      <c r="AA15" s="21">
        <f t="shared" si="9"/>
        <v>12.089696070917539</v>
      </c>
      <c r="AB15" s="21">
        <f t="shared" si="9"/>
        <v>12.165590874463406</v>
      </c>
      <c r="AC15" s="21">
        <f t="shared" si="9"/>
        <v>12.241485678009274</v>
      </c>
      <c r="AD15" s="21">
        <f t="shared" si="9"/>
        <v>12.317380481555144</v>
      </c>
      <c r="AE15" s="21">
        <f t="shared" si="9"/>
        <v>12.393275285101012</v>
      </c>
      <c r="AF15" s="21">
        <f t="shared" si="9"/>
        <v>12.46917008864688</v>
      </c>
      <c r="AG15" s="21">
        <f t="shared" si="9"/>
        <v>12.54506489219275</v>
      </c>
      <c r="AH15" s="21">
        <f t="shared" si="9"/>
        <v>12.620959695738618</v>
      </c>
      <c r="AI15" s="21">
        <f t="shared" si="9"/>
        <v>12.696854499284488</v>
      </c>
      <c r="AJ15" s="21">
        <f t="shared" si="9"/>
        <v>12.772749302830356</v>
      </c>
      <c r="AK15" s="21">
        <f t="shared" si="9"/>
        <v>12.848644106376224</v>
      </c>
      <c r="AL15" s="21">
        <f t="shared" si="9"/>
        <v>12.924538909922092</v>
      </c>
      <c r="AM15" s="21">
        <f t="shared" si="9"/>
        <v>13.000433713467961</v>
      </c>
      <c r="AN15" s="21">
        <f t="shared" si="9"/>
        <v>13.076328517013829</v>
      </c>
      <c r="AO15" s="21">
        <f t="shared" si="9"/>
        <v>13.152223320559699</v>
      </c>
      <c r="AP15" s="21">
        <f t="shared" si="9"/>
        <v>13.228118124105567</v>
      </c>
      <c r="AQ15" s="21">
        <f t="shared" si="9"/>
        <v>13.304012927651435</v>
      </c>
      <c r="AR15" s="21">
        <f t="shared" si="9"/>
        <v>13.379907731197305</v>
      </c>
      <c r="AS15" s="21">
        <f t="shared" si="9"/>
        <v>13.455802534743173</v>
      </c>
      <c r="AT15" s="21">
        <f t="shared" si="9"/>
        <v>13.531697338289042</v>
      </c>
      <c r="AU15" s="21">
        <f t="shared" si="9"/>
        <v>13.60759214183491</v>
      </c>
      <c r="AV15" s="21">
        <f t="shared" si="9"/>
        <v>13.683486945380778</v>
      </c>
      <c r="AW15" s="21">
        <f t="shared" si="9"/>
        <v>13.759381748926646</v>
      </c>
      <c r="AX15" s="21">
        <f t="shared" si="9"/>
        <v>13.835276552472514</v>
      </c>
      <c r="AY15" s="21">
        <f t="shared" si="9"/>
        <v>13.911171356018384</v>
      </c>
      <c r="AZ15" s="21">
        <f t="shared" si="9"/>
        <v>13.987066159564252</v>
      </c>
      <c r="BA15" s="21">
        <f t="shared" si="9"/>
        <v>14.062960963110122</v>
      </c>
      <c r="BB15" s="21">
        <f>1.1*Tendencial!BO128</f>
        <v>14.13885576665599</v>
      </c>
      <c r="BC15" s="21"/>
    </row>
    <row r="16" spans="1:55" ht="14.4" x14ac:dyDescent="0.3">
      <c r="B16" s="384"/>
      <c r="C16" s="9" t="s">
        <v>222</v>
      </c>
      <c r="D16" s="365"/>
      <c r="E16" s="382"/>
      <c r="F16" s="382"/>
      <c r="G16" s="21">
        <f>Tendencial!T129</f>
        <v>57.706900000000132</v>
      </c>
      <c r="H16" s="21">
        <f t="shared" si="8"/>
        <v>58.116813546207588</v>
      </c>
      <c r="I16" s="21">
        <f t="shared" si="9"/>
        <v>58.526727092415044</v>
      </c>
      <c r="J16" s="21">
        <f t="shared" si="9"/>
        <v>58.936640638622492</v>
      </c>
      <c r="K16" s="21">
        <f t="shared" si="9"/>
        <v>59.346554184829948</v>
      </c>
      <c r="L16" s="21">
        <f t="shared" si="9"/>
        <v>59.756467731037404</v>
      </c>
      <c r="M16" s="21">
        <f t="shared" si="9"/>
        <v>60.166381277244859</v>
      </c>
      <c r="N16" s="21">
        <f t="shared" si="9"/>
        <v>60.576294823452308</v>
      </c>
      <c r="O16" s="21">
        <f t="shared" si="9"/>
        <v>60.986208369659764</v>
      </c>
      <c r="P16" s="21">
        <f t="shared" si="9"/>
        <v>61.396121915867219</v>
      </c>
      <c r="Q16" s="21">
        <f t="shared" si="9"/>
        <v>61.806035462074675</v>
      </c>
      <c r="R16" s="21">
        <f t="shared" si="9"/>
        <v>62.215949008282124</v>
      </c>
      <c r="S16" s="21">
        <f t="shared" si="9"/>
        <v>62.625862554489579</v>
      </c>
      <c r="T16" s="21">
        <f t="shared" si="9"/>
        <v>63.035776100697035</v>
      </c>
      <c r="U16" s="21">
        <f t="shared" si="9"/>
        <v>63.445689646904491</v>
      </c>
      <c r="V16" s="21">
        <f t="shared" si="9"/>
        <v>63.855603193111946</v>
      </c>
      <c r="W16" s="21">
        <f t="shared" si="9"/>
        <v>64.265516739319395</v>
      </c>
      <c r="X16" s="21">
        <f t="shared" si="9"/>
        <v>64.675430285526858</v>
      </c>
      <c r="Y16" s="21">
        <f t="shared" si="9"/>
        <v>65.085343831734306</v>
      </c>
      <c r="Z16" s="21">
        <f t="shared" si="9"/>
        <v>65.495257377941755</v>
      </c>
      <c r="AA16" s="21">
        <f t="shared" si="9"/>
        <v>65.905170924149218</v>
      </c>
      <c r="AB16" s="21">
        <f t="shared" si="9"/>
        <v>66.315084470356666</v>
      </c>
      <c r="AC16" s="21">
        <f t="shared" si="9"/>
        <v>66.724998016564115</v>
      </c>
      <c r="AD16" s="21">
        <f t="shared" si="9"/>
        <v>67.134911562771578</v>
      </c>
      <c r="AE16" s="21">
        <f t="shared" si="9"/>
        <v>67.544825108979026</v>
      </c>
      <c r="AF16" s="21">
        <f t="shared" si="9"/>
        <v>67.954738655186489</v>
      </c>
      <c r="AG16" s="21">
        <f t="shared" si="9"/>
        <v>68.364652201393938</v>
      </c>
      <c r="AH16" s="21">
        <f t="shared" si="9"/>
        <v>68.774565747601386</v>
      </c>
      <c r="AI16" s="21">
        <f t="shared" si="9"/>
        <v>69.184479293808849</v>
      </c>
      <c r="AJ16" s="21">
        <f t="shared" si="9"/>
        <v>69.594392840016297</v>
      </c>
      <c r="AK16" s="21">
        <f t="shared" si="9"/>
        <v>70.00430638622376</v>
      </c>
      <c r="AL16" s="21">
        <f t="shared" si="9"/>
        <v>70.414219932431209</v>
      </c>
      <c r="AM16" s="21">
        <f t="shared" si="9"/>
        <v>70.824133478638657</v>
      </c>
      <c r="AN16" s="21">
        <f t="shared" si="9"/>
        <v>71.23404702484612</v>
      </c>
      <c r="AO16" s="21">
        <f t="shared" si="9"/>
        <v>71.643960571053569</v>
      </c>
      <c r="AP16" s="21">
        <f t="shared" si="9"/>
        <v>72.053874117261017</v>
      </c>
      <c r="AQ16" s="21">
        <f t="shared" si="9"/>
        <v>72.46378766346848</v>
      </c>
      <c r="AR16" s="21">
        <f t="shared" si="9"/>
        <v>72.873701209675929</v>
      </c>
      <c r="AS16" s="21">
        <f t="shared" si="9"/>
        <v>73.283614755883377</v>
      </c>
      <c r="AT16" s="21">
        <f t="shared" si="9"/>
        <v>73.69352830209084</v>
      </c>
      <c r="AU16" s="21">
        <f t="shared" si="9"/>
        <v>74.103441848298289</v>
      </c>
      <c r="AV16" s="21">
        <f t="shared" si="9"/>
        <v>74.513355394505751</v>
      </c>
      <c r="AW16" s="21">
        <f t="shared" si="9"/>
        <v>74.9232689407132</v>
      </c>
      <c r="AX16" s="21">
        <f t="shared" si="9"/>
        <v>75.333182486920663</v>
      </c>
      <c r="AY16" s="21">
        <f t="shared" si="9"/>
        <v>75.743096033128111</v>
      </c>
      <c r="AZ16" s="21">
        <f t="shared" si="9"/>
        <v>76.15300957933556</v>
      </c>
      <c r="BA16" s="21">
        <f t="shared" si="9"/>
        <v>76.562923125543023</v>
      </c>
      <c r="BB16" s="21">
        <f>1.05*Tendencial!BO129</f>
        <v>76.972836671750471</v>
      </c>
      <c r="BC16" s="21"/>
    </row>
    <row r="17" spans="1:55" ht="14.4" x14ac:dyDescent="0.3">
      <c r="B17" s="384"/>
      <c r="C17" s="9" t="s">
        <v>223</v>
      </c>
      <c r="D17" s="365"/>
      <c r="E17" s="382"/>
      <c r="F17" s="382"/>
      <c r="G17" s="21">
        <f>Tendencial!T238</f>
        <v>4.2968999999999973</v>
      </c>
      <c r="H17" s="21">
        <f t="shared" si="8"/>
        <v>4.3469733255846386</v>
      </c>
      <c r="I17" s="21">
        <f t="shared" si="9"/>
        <v>4.3970466511692798</v>
      </c>
      <c r="J17" s="21">
        <f t="shared" si="9"/>
        <v>4.4471199767539211</v>
      </c>
      <c r="K17" s="21">
        <f t="shared" si="9"/>
        <v>4.4971933023385624</v>
      </c>
      <c r="L17" s="21">
        <f t="shared" si="9"/>
        <v>4.5472666279232037</v>
      </c>
      <c r="M17" s="21">
        <f t="shared" si="9"/>
        <v>4.597339953507845</v>
      </c>
      <c r="N17" s="21">
        <f t="shared" si="9"/>
        <v>4.6474132790924862</v>
      </c>
      <c r="O17" s="21">
        <f t="shared" si="9"/>
        <v>4.6974866046771275</v>
      </c>
      <c r="P17" s="21">
        <f t="shared" si="9"/>
        <v>4.7475599302617688</v>
      </c>
      <c r="Q17" s="21">
        <f t="shared" si="9"/>
        <v>4.7976332558464101</v>
      </c>
      <c r="R17" s="21">
        <f t="shared" si="9"/>
        <v>4.8477065814310514</v>
      </c>
      <c r="S17" s="21">
        <f t="shared" si="9"/>
        <v>4.8977799070156927</v>
      </c>
      <c r="T17" s="21">
        <f t="shared" si="9"/>
        <v>4.9478532326003339</v>
      </c>
      <c r="U17" s="21">
        <f t="shared" si="9"/>
        <v>4.9979265581849761</v>
      </c>
      <c r="V17" s="21">
        <f t="shared" si="9"/>
        <v>5.0479998837696174</v>
      </c>
      <c r="W17" s="21">
        <f t="shared" si="9"/>
        <v>5.0980732093542587</v>
      </c>
      <c r="X17" s="21">
        <f t="shared" si="9"/>
        <v>5.1481465349389</v>
      </c>
      <c r="Y17" s="21">
        <f t="shared" si="9"/>
        <v>5.1982198605235412</v>
      </c>
      <c r="Z17" s="21">
        <f t="shared" si="9"/>
        <v>5.2482931861081825</v>
      </c>
      <c r="AA17" s="21">
        <f t="shared" si="9"/>
        <v>5.2983665116928238</v>
      </c>
      <c r="AB17" s="21">
        <f t="shared" si="9"/>
        <v>5.3484398372774651</v>
      </c>
      <c r="AC17" s="21">
        <f t="shared" si="9"/>
        <v>5.3985131628621064</v>
      </c>
      <c r="AD17" s="21">
        <f t="shared" si="9"/>
        <v>5.4485864884467476</v>
      </c>
      <c r="AE17" s="21">
        <f t="shared" si="9"/>
        <v>5.4986598140313889</v>
      </c>
      <c r="AF17" s="21">
        <f t="shared" si="9"/>
        <v>5.5487331396160302</v>
      </c>
      <c r="AG17" s="21">
        <f t="shared" si="9"/>
        <v>5.5988064652006715</v>
      </c>
      <c r="AH17" s="21">
        <f t="shared" si="9"/>
        <v>5.6488797907853128</v>
      </c>
      <c r="AI17" s="21">
        <f t="shared" si="9"/>
        <v>5.6989531163699541</v>
      </c>
      <c r="AJ17" s="21">
        <f t="shared" si="9"/>
        <v>5.7490264419545953</v>
      </c>
      <c r="AK17" s="21">
        <f t="shared" si="9"/>
        <v>5.7990997675392366</v>
      </c>
      <c r="AL17" s="21">
        <f t="shared" si="9"/>
        <v>5.8491730931238779</v>
      </c>
      <c r="AM17" s="21">
        <f t="shared" si="9"/>
        <v>5.8992464187085192</v>
      </c>
      <c r="AN17" s="21">
        <f t="shared" si="9"/>
        <v>5.9493197442931613</v>
      </c>
      <c r="AO17" s="21">
        <f t="shared" si="9"/>
        <v>5.9993930698778017</v>
      </c>
      <c r="AP17" s="21">
        <f t="shared" si="9"/>
        <v>6.0494663954624439</v>
      </c>
      <c r="AQ17" s="21">
        <f t="shared" si="9"/>
        <v>6.0995397210470843</v>
      </c>
      <c r="AR17" s="21">
        <f t="shared" si="9"/>
        <v>6.1496130466317265</v>
      </c>
      <c r="AS17" s="21">
        <f t="shared" si="9"/>
        <v>6.1996863722163678</v>
      </c>
      <c r="AT17" s="21">
        <f t="shared" si="9"/>
        <v>6.249759697801009</v>
      </c>
      <c r="AU17" s="21">
        <f t="shared" si="9"/>
        <v>6.2998330233856503</v>
      </c>
      <c r="AV17" s="21">
        <f t="shared" si="9"/>
        <v>6.3499063489702916</v>
      </c>
      <c r="AW17" s="21">
        <f t="shared" si="9"/>
        <v>6.3999796745549329</v>
      </c>
      <c r="AX17" s="21">
        <f t="shared" si="9"/>
        <v>6.4500530001395742</v>
      </c>
      <c r="AY17" s="21">
        <f t="shared" si="9"/>
        <v>6.5001263257242154</v>
      </c>
      <c r="AZ17" s="21">
        <f t="shared" si="9"/>
        <v>6.5501996513088567</v>
      </c>
      <c r="BA17" s="21">
        <f t="shared" si="9"/>
        <v>6.600272976893498</v>
      </c>
      <c r="BB17" s="21">
        <f>1.1*Tendencial!BO238</f>
        <v>6.6503463024781393</v>
      </c>
      <c r="BC17" s="21"/>
    </row>
    <row r="18" spans="1:55" ht="14.4" x14ac:dyDescent="0.3">
      <c r="A18" s="16" t="s">
        <v>50</v>
      </c>
      <c r="B18" s="16"/>
      <c r="C18" s="31" t="s">
        <v>680</v>
      </c>
      <c r="D18" s="351"/>
      <c r="E18" s="351"/>
      <c r="F18" s="35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row>
    <row r="19" spans="1:55" ht="14.4" x14ac:dyDescent="0.3">
      <c r="A19" s="16"/>
      <c r="B19" s="16"/>
      <c r="C19" s="363" t="s">
        <v>681</v>
      </c>
      <c r="D19" s="351"/>
      <c r="E19" s="351"/>
      <c r="F19" s="35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row>
    <row r="20" spans="1:55" ht="14.4" customHeight="1" x14ac:dyDescent="0.3">
      <c r="B20" s="384" t="s">
        <v>224</v>
      </c>
      <c r="C20" s="9" t="s">
        <v>225</v>
      </c>
      <c r="D20" s="365" t="s">
        <v>207</v>
      </c>
      <c r="E20" s="382" t="s">
        <v>208</v>
      </c>
      <c r="F20" s="382" t="s">
        <v>207</v>
      </c>
      <c r="G20" s="21">
        <f>Tendencial!T208</f>
        <v>0.60024386329620949</v>
      </c>
      <c r="H20" s="21">
        <f>Tendencial!U208</f>
        <v>0.94331515642818431</v>
      </c>
      <c r="I20" s="21">
        <f>Tendencial!V208</f>
        <v>0.89466247686261813</v>
      </c>
      <c r="J20" s="21">
        <f>Tendencial!W208</f>
        <v>0.92982978720220988</v>
      </c>
      <c r="K20" s="21">
        <f>Tendencial!X208</f>
        <v>0.96517292200065441</v>
      </c>
      <c r="L20" s="21">
        <f>Tendencial!Y208</f>
        <v>1.0006927603802431</v>
      </c>
      <c r="M20" s="21">
        <f>Tendencial!Z208</f>
        <v>1.0363901858588855</v>
      </c>
      <c r="N20" s="21">
        <f>Tendencial!AA208</f>
        <v>1.0722660863720739</v>
      </c>
      <c r="O20" s="21">
        <f>Tendencial!AB208</f>
        <v>1.1083213542949819</v>
      </c>
      <c r="P20" s="21">
        <f>Tendencial!AC208</f>
        <v>1.1445568864646578</v>
      </c>
      <c r="Q20" s="21">
        <f>Tendencial!AD208</f>
        <v>1.180973584202337</v>
      </c>
      <c r="R20" s="21">
        <f>Tendencial!AE208</f>
        <v>1.2175723533358571</v>
      </c>
      <c r="S20" s="21">
        <f>Tendencial!AF208</f>
        <v>1.2543541042221991</v>
      </c>
      <c r="T20" s="21">
        <f>Tendencial!AG208</f>
        <v>1.2913175820317244</v>
      </c>
      <c r="U20" s="21">
        <f>Tendencial!AH208</f>
        <v>1.3284674818866185</v>
      </c>
      <c r="V20" s="21">
        <f>Tendencial!AI208</f>
        <v>1.3658029093196413</v>
      </c>
      <c r="W20" s="21">
        <f>Tendencial!AJ208</f>
        <v>1.4033249140177562</v>
      </c>
      <c r="X20" s="21">
        <f>Tendencial!AK208</f>
        <v>1.4410342597674113</v>
      </c>
      <c r="Y20" s="21">
        <f>Tendencial!AL208</f>
        <v>1.4789321915084903</v>
      </c>
      <c r="Z20" s="21">
        <f>Tendencial!AM208</f>
        <v>1.5170198519327434</v>
      </c>
      <c r="AA20" s="21">
        <f>Tendencial!AN208</f>
        <v>1.5552975607649326</v>
      </c>
      <c r="AB20" s="21">
        <f>Tendencial!AO208</f>
        <v>1.5937669238867516</v>
      </c>
      <c r="AC20" s="21">
        <f>Tendencial!AP208</f>
        <v>1.632428420530097</v>
      </c>
      <c r="AD20" s="21">
        <f>Tendencial!AQ208</f>
        <v>1.6712835680431439</v>
      </c>
      <c r="AE20" s="21">
        <f>Tendencial!AR208</f>
        <v>1.7103327265164223</v>
      </c>
      <c r="AF20" s="21">
        <f>Tendencial!AS208</f>
        <v>1.7495770881011588</v>
      </c>
      <c r="AG20" s="21">
        <f>Tendencial!AT208</f>
        <v>1.7890177069844659</v>
      </c>
      <c r="AH20" s="21">
        <f>Tendencial!AU208</f>
        <v>1.8286555354701814</v>
      </c>
      <c r="AI20" s="21">
        <f>Tendencial!AV208</f>
        <v>1.8684917383692801</v>
      </c>
      <c r="AJ20" s="21">
        <f>Tendencial!AW208</f>
        <v>1.9085269762993518</v>
      </c>
      <c r="AK20" s="21">
        <f>Tendencial!AX208</f>
        <v>1.9487623796289233</v>
      </c>
      <c r="AL20" s="21">
        <f>Tendencial!AY208</f>
        <v>1.9891989985087379</v>
      </c>
      <c r="AM20" s="21">
        <f>Tendencial!AZ208</f>
        <v>2.0298378080290282</v>
      </c>
      <c r="AN20" s="21">
        <f>Tendencial!BA208</f>
        <v>2.0706798459603748</v>
      </c>
      <c r="AO20" s="21">
        <f>Tendencial!BB208</f>
        <v>2.1117260381911214</v>
      </c>
      <c r="AP20" s="21">
        <f>Tendencial!BC208</f>
        <v>2.1529774675466262</v>
      </c>
      <c r="AQ20" s="21">
        <f>Tendencial!BD208</f>
        <v>2.194435160384308</v>
      </c>
      <c r="AR20" s="21">
        <f>Tendencial!BE208</f>
        <v>2.2361001411616828</v>
      </c>
      <c r="AS20" s="21">
        <f>Tendencial!BF208</f>
        <v>2.2779734396799727</v>
      </c>
      <c r="AT20" s="21">
        <f>Tendencial!BG208</f>
        <v>2.3200561013273413</v>
      </c>
      <c r="AU20" s="21">
        <f>Tendencial!BH208</f>
        <v>2.3623491744660283</v>
      </c>
      <c r="AV20" s="21">
        <f>Tendencial!BI208</f>
        <v>2.4048537114863242</v>
      </c>
      <c r="AW20" s="21">
        <f>Tendencial!BJ208</f>
        <v>2.4475707652596261</v>
      </c>
      <c r="AX20" s="21">
        <f>Tendencial!BK208</f>
        <v>2.4905013979208226</v>
      </c>
      <c r="AY20" s="21">
        <f>Tendencial!BL208</f>
        <v>2.5336466751743307</v>
      </c>
      <c r="AZ20" s="21">
        <f>Tendencial!BM208</f>
        <v>2.5770076732237905</v>
      </c>
      <c r="BA20" s="21">
        <f>Tendencial!BN208</f>
        <v>2.6205854694426085</v>
      </c>
      <c r="BB20" s="21">
        <f>Tendencial!BO208</f>
        <v>2.66438114662943</v>
      </c>
      <c r="BC20" s="21"/>
    </row>
    <row r="21" spans="1:55" ht="14.4" x14ac:dyDescent="0.3">
      <c r="B21" s="384"/>
      <c r="C21" s="9" t="s">
        <v>64</v>
      </c>
      <c r="D21" s="365"/>
      <c r="E21" s="382"/>
      <c r="F21" s="382"/>
      <c r="G21" s="21">
        <f>Tendencial!T209</f>
        <v>0.15579980255671827</v>
      </c>
      <c r="H21" s="21">
        <f>Tendencial!U209</f>
        <v>0.14218490795545466</v>
      </c>
      <c r="I21" s="21">
        <f>Tendencial!V209</f>
        <v>0.14958752058750924</v>
      </c>
      <c r="J21" s="21">
        <f>Tendencial!W209</f>
        <v>0.17922294453858431</v>
      </c>
      <c r="K21" s="21">
        <f>Tendencial!X209</f>
        <v>0.19659323592763758</v>
      </c>
      <c r="L21" s="21">
        <f>Tendencial!Y209</f>
        <v>0.21509581710510223</v>
      </c>
      <c r="M21" s="21">
        <f>Tendencial!Z209</f>
        <v>0.23302453887100957</v>
      </c>
      <c r="N21" s="21">
        <f>Tendencial!AA209</f>
        <v>0.25337982524649993</v>
      </c>
      <c r="O21" s="21">
        <f>Tendencial!AB209</f>
        <v>0.25563592256956069</v>
      </c>
      <c r="P21" s="21">
        <f>Tendencial!AC209</f>
        <v>0.27386883109288174</v>
      </c>
      <c r="Q21" s="21">
        <f>Tendencial!AD209</f>
        <v>0.2947926843070478</v>
      </c>
      <c r="R21" s="21">
        <f>Tendencial!AE209</f>
        <v>0.31320770280339055</v>
      </c>
      <c r="S21" s="21">
        <f>Tendencial!AF209</f>
        <v>0.33186379413274825</v>
      </c>
      <c r="T21" s="21">
        <f>Tendencial!AG209</f>
        <v>0.3468458278452527</v>
      </c>
      <c r="U21" s="21">
        <f>Tendencial!AH209</f>
        <v>0.35047500194811132</v>
      </c>
      <c r="V21" s="21">
        <f>Tendencial!AI209</f>
        <v>0.35446264279124173</v>
      </c>
      <c r="W21" s="21">
        <f>Tendencial!AJ209</f>
        <v>0.35694415324268935</v>
      </c>
      <c r="X21" s="21">
        <f>Tendencial!AK209</f>
        <v>0.35960112209219297</v>
      </c>
      <c r="Y21" s="21">
        <f>Tendencial!AL209</f>
        <v>0.36235139194361121</v>
      </c>
      <c r="Z21" s="21">
        <f>Tendencial!AM209</f>
        <v>0.36509957365923684</v>
      </c>
      <c r="AA21" s="21">
        <f>Tendencial!AN209</f>
        <v>0.36828718357681273</v>
      </c>
      <c r="AB21" s="21">
        <f>Tendencial!AO209</f>
        <v>0.37089157118262317</v>
      </c>
      <c r="AC21" s="21">
        <f>Tendencial!AP209</f>
        <v>0.37369090739106664</v>
      </c>
      <c r="AD21" s="21">
        <f>Tendencial!AQ209</f>
        <v>0.37571280817125502</v>
      </c>
      <c r="AE21" s="21">
        <f>Tendencial!AR209</f>
        <v>0.37817063897273012</v>
      </c>
      <c r="AF21" s="21">
        <f>Tendencial!AS209</f>
        <v>0.3806089121808387</v>
      </c>
      <c r="AG21" s="21">
        <f>Tendencial!AT209</f>
        <v>0.38288557059954981</v>
      </c>
      <c r="AH21" s="21">
        <f>Tendencial!AU209</f>
        <v>0.38505322124213215</v>
      </c>
      <c r="AI21" s="21">
        <f>Tendencial!AV209</f>
        <v>0.38678645342533163</v>
      </c>
      <c r="AJ21" s="21">
        <f>Tendencial!AW209</f>
        <v>0.38864797409512442</v>
      </c>
      <c r="AK21" s="21">
        <f>Tendencial!AX209</f>
        <v>0.39039512264452902</v>
      </c>
      <c r="AL21" s="21">
        <f>Tendencial!AY209</f>
        <v>0.39196790623576988</v>
      </c>
      <c r="AM21" s="21">
        <f>Tendencial!AZ209</f>
        <v>0.39341247202563445</v>
      </c>
      <c r="AN21" s="21">
        <f>Tendencial!BA209</f>
        <v>0.39466690546658251</v>
      </c>
      <c r="AO21" s="21">
        <f>Tendencial!BB209</f>
        <v>0.39589076783876137</v>
      </c>
      <c r="AP21" s="21">
        <f>Tendencial!BC209</f>
        <v>0.39696544101733017</v>
      </c>
      <c r="AQ21" s="21">
        <f>Tendencial!BD209</f>
        <v>0.39788973188419979</v>
      </c>
      <c r="AR21" s="21">
        <f>Tendencial!BE209</f>
        <v>0.39867575774208497</v>
      </c>
      <c r="AS21" s="21">
        <f>Tendencial!BF209</f>
        <v>0.39933477246046589</v>
      </c>
      <c r="AT21" s="21">
        <f>Tendencial!BG209</f>
        <v>0.39985399929077037</v>
      </c>
      <c r="AU21" s="21">
        <f>Tendencial!BH209</f>
        <v>0.40022620847127927</v>
      </c>
      <c r="AV21" s="21">
        <f>Tendencial!BI209</f>
        <v>0.40044781017269832</v>
      </c>
      <c r="AW21" s="21">
        <f>Tendencial!BJ209</f>
        <v>0.40052498221597194</v>
      </c>
      <c r="AX21" s="21">
        <f>Tendencial!BK209</f>
        <v>0.40045623506617817</v>
      </c>
      <c r="AY21" s="21">
        <f>Tendencial!BL209</f>
        <v>0.40024365004294155</v>
      </c>
      <c r="AZ21" s="21">
        <f>Tendencial!BM209</f>
        <v>0.39987848962392225</v>
      </c>
      <c r="BA21" s="21">
        <f>Tendencial!BN209</f>
        <v>0.39936027693211612</v>
      </c>
      <c r="BB21" s="21">
        <f>Tendencial!BO209</f>
        <v>0.39868885684040373</v>
      </c>
      <c r="BC21" s="21"/>
    </row>
    <row r="22" spans="1:55" ht="14.4" x14ac:dyDescent="0.3">
      <c r="B22" s="384"/>
      <c r="C22" s="9" t="s">
        <v>65</v>
      </c>
      <c r="D22" s="365"/>
      <c r="E22" s="382"/>
      <c r="F22" s="382"/>
      <c r="G22" s="21">
        <f>Tendencial!T210</f>
        <v>1.6152717498448512E-2</v>
      </c>
      <c r="H22" s="21">
        <f>Tendencial!U210</f>
        <v>1.7839416652700467E-2</v>
      </c>
      <c r="I22" s="21">
        <f>Tendencial!V210</f>
        <v>1.9877290121424557E-2</v>
      </c>
      <c r="J22" s="21">
        <f>Tendencial!W210</f>
        <v>2.1494449780853103E-2</v>
      </c>
      <c r="K22" s="21">
        <f>Tendencial!X210</f>
        <v>2.332857648821756E-2</v>
      </c>
      <c r="L22" s="21">
        <f>Tendencial!Y210</f>
        <v>2.5143779618186278E-2</v>
      </c>
      <c r="M22" s="21">
        <f>Tendencial!Z210</f>
        <v>2.6979295164410638E-2</v>
      </c>
      <c r="N22" s="21">
        <f>Tendencial!AA210</f>
        <v>2.8765611404909366E-2</v>
      </c>
      <c r="O22" s="21">
        <f>Tendencial!AB210</f>
        <v>3.1008604631582261E-2</v>
      </c>
      <c r="P22" s="21">
        <f>Tendencial!AC210</f>
        <v>3.2869831050841458E-2</v>
      </c>
      <c r="Q22" s="21">
        <f>Tendencial!AD210</f>
        <v>3.4681016093650908E-2</v>
      </c>
      <c r="R22" s="21">
        <f>Tendencial!AE210</f>
        <v>3.6557219237237773E-2</v>
      </c>
      <c r="S22" s="21">
        <f>Tendencial!AF210</f>
        <v>3.8438303934876961E-2</v>
      </c>
      <c r="T22" s="21">
        <f>Tendencial!AG210</f>
        <v>4.1058409214955842E-2</v>
      </c>
      <c r="U22" s="21">
        <f>Tendencial!AH210</f>
        <v>4.5027845796247253E-2</v>
      </c>
      <c r="V22" s="21">
        <f>Tendencial!AI210</f>
        <v>4.9224198686005846E-2</v>
      </c>
      <c r="W22" s="21">
        <f>Tendencial!AJ210</f>
        <v>5.3656571423277427E-2</v>
      </c>
      <c r="X22" s="21">
        <f>Tendencial!AK210</f>
        <v>5.8275171502849332E-2</v>
      </c>
      <c r="Y22" s="21">
        <f>Tendencial!AL210</f>
        <v>6.3345881026415654E-2</v>
      </c>
      <c r="Z22" s="21">
        <f>Tendencial!AM210</f>
        <v>6.910421442979392E-2</v>
      </c>
      <c r="AA22" s="21">
        <f>Tendencial!AN210</f>
        <v>7.4994512433484276E-2</v>
      </c>
      <c r="AB22" s="21">
        <f>Tendencial!AO210</f>
        <v>8.1669085111243905E-2</v>
      </c>
      <c r="AC22" s="21">
        <f>Tendencial!AP210</f>
        <v>8.8690546629275571E-2</v>
      </c>
      <c r="AD22" s="21">
        <f>Tendencial!AQ210</f>
        <v>9.6732299678168238E-2</v>
      </c>
      <c r="AE22" s="21">
        <f>Tendencial!AR210</f>
        <v>0.1051521256753485</v>
      </c>
      <c r="AF22" s="21">
        <f>Tendencial!AS210</f>
        <v>0.11424270591450231</v>
      </c>
      <c r="AG22" s="21">
        <f>Tendencial!AT210</f>
        <v>0.12417021175779312</v>
      </c>
      <c r="AH22" s="21">
        <f>Tendencial!AU210</f>
        <v>0.13496595239825379</v>
      </c>
      <c r="AI22" s="21">
        <f>Tendencial!AV210</f>
        <v>0.14701567251131228</v>
      </c>
      <c r="AJ22" s="21">
        <f>Tendencial!AW210</f>
        <v>0.15985082576521956</v>
      </c>
      <c r="AK22" s="21">
        <f>Tendencial!AX210</f>
        <v>0.17377159263335368</v>
      </c>
      <c r="AL22" s="21">
        <f>Tendencial!AY210</f>
        <v>0.18897394652467636</v>
      </c>
      <c r="AM22" s="21">
        <f>Tendencial!AZ210</f>
        <v>0.20550549629279799</v>
      </c>
      <c r="AN22" s="21">
        <f>Tendencial!BA210</f>
        <v>0.22354652061668945</v>
      </c>
      <c r="AO22" s="21">
        <f>Tendencial!BB210</f>
        <v>0.24299654863467676</v>
      </c>
      <c r="AP22" s="21">
        <f>Tendencial!BC210</f>
        <v>0.26413021241590867</v>
      </c>
      <c r="AQ22" s="21">
        <f>Tendencial!BD210</f>
        <v>0.28709169602497719</v>
      </c>
      <c r="AR22" s="21">
        <f>Tendencial!BE210</f>
        <v>0.3120144586256704</v>
      </c>
      <c r="AS22" s="21">
        <f>Tendencial!BF210</f>
        <v>0.33903925098821946</v>
      </c>
      <c r="AT22" s="21">
        <f>Tendencial!BG210</f>
        <v>0.36835244690484925</v>
      </c>
      <c r="AU22" s="21">
        <f>Tendencial!BH210</f>
        <v>0.40014939663739474</v>
      </c>
      <c r="AV22" s="21">
        <f>Tendencial!BI210</f>
        <v>0.43463744941902904</v>
      </c>
      <c r="AW22" s="21">
        <f>Tendencial!BJ210</f>
        <v>0.47201915350194318</v>
      </c>
      <c r="AX22" s="21">
        <f>Tendencial!BK210</f>
        <v>0.51252902438458814</v>
      </c>
      <c r="AY22" s="21">
        <f>Tendencial!BL210</f>
        <v>0.55641074072978325</v>
      </c>
      <c r="AZ22" s="21">
        <f>Tendencial!BM210</f>
        <v>0.6039543020237701</v>
      </c>
      <c r="BA22" s="21">
        <f>Tendencial!BN210</f>
        <v>0.65545074718296803</v>
      </c>
      <c r="BB22" s="21">
        <f>Tendencial!BO210</f>
        <v>0.71121313096451055</v>
      </c>
      <c r="BC22" s="21"/>
    </row>
    <row r="23" spans="1:55" ht="14.4" x14ac:dyDescent="0.3">
      <c r="B23" s="384"/>
      <c r="C23" s="9" t="s">
        <v>66</v>
      </c>
      <c r="D23" s="365"/>
      <c r="E23" s="382"/>
      <c r="F23" s="382"/>
      <c r="G23" s="21">
        <f>(1-'CC70 - %'!G25/100)*Tendencial!T211</f>
        <v>9.2179318871714724</v>
      </c>
      <c r="H23" s="21">
        <f>(1-'CC70 - %'!H25/100)*Tendencial!U211</f>
        <v>9.8009313099725901</v>
      </c>
      <c r="I23" s="21">
        <f>(1-'CC70 - %'!I25/100)*Tendencial!V211</f>
        <v>9.8450705637827056</v>
      </c>
      <c r="J23" s="21">
        <f>(1-'CC70 - %'!J25/100)*Tendencial!W211</f>
        <v>10.45854907691418</v>
      </c>
      <c r="K23" s="21">
        <f>(1-'CC70 - %'!K25/100)*Tendencial!X211</f>
        <v>10.486908728804872</v>
      </c>
      <c r="L23" s="21">
        <f>(1-'CC70 - %'!L25/100)*Tendencial!Y211</f>
        <v>10.51533675416624</v>
      </c>
      <c r="M23" s="21">
        <f>(1-'CC70 - %'!M25/100)*Tendencial!Z211</f>
        <v>10.543833323719928</v>
      </c>
      <c r="N23" s="21">
        <f>(1-'CC70 - %'!N25/100)*Tendencial!AA211</f>
        <v>10.5723986085868</v>
      </c>
      <c r="O23" s="21">
        <f>(1-'CC70 - %'!O25/100)*Tendencial!AB211</f>
        <v>10.601032780287806</v>
      </c>
      <c r="P23" s="21">
        <f>(1-'CC70 - %'!P25/100)*Tendencial!AC211</f>
        <v>10.62973601074483</v>
      </c>
      <c r="Q23" s="21">
        <f>(1-'CC70 - %'!Q25/100)*Tendencial!AD211</f>
        <v>10.658508472281561</v>
      </c>
      <c r="R23" s="21">
        <f>(1-'CC70 - %'!R25/100)*Tendencial!AE211</f>
        <v>10.687350337624363</v>
      </c>
      <c r="S23" s="21">
        <f>(1-'CC70 - %'!S25/100)*Tendencial!AF211</f>
        <v>10.716261779903112</v>
      </c>
      <c r="T23" s="21">
        <f>(1-'CC70 - %'!T25/100)*Tendencial!AG211</f>
        <v>10.744068765532752</v>
      </c>
      <c r="U23" s="21">
        <f>(1-'CC70 - %'!U25/100)*Tendencial!AH211</f>
        <v>10.771946680257347</v>
      </c>
      <c r="V23" s="21">
        <f>(1-'CC70 - %'!V25/100)*Tendencial!AI211</f>
        <v>10.799895698290902</v>
      </c>
      <c r="W23" s="21">
        <f>(1-'CC70 - %'!W25/100)*Tendencial!AJ211</f>
        <v>10.827915994254569</v>
      </c>
      <c r="X23" s="21">
        <f>(1-'CC70 - %'!X25/100)*Tendencial!AK211</f>
        <v>10.856007743177532</v>
      </c>
      <c r="Y23" s="21">
        <f>(1-'CC70 - %'!Y25/100)*Tendencial!AL211</f>
        <v>10.884171120497877</v>
      </c>
      <c r="Z23" s="21">
        <f>(1-'CC70 - %'!Z25/100)*Tendencial!AM211</f>
        <v>10.912406302063452</v>
      </c>
      <c r="AA23" s="21">
        <f>(1-'CC70 - %'!AA25/100)*Tendencial!AN211</f>
        <v>10.940713464132765</v>
      </c>
      <c r="AB23" s="21">
        <f>(1-'CC70 - %'!AB25/100)*Tendencial!AO211</f>
        <v>10.969092783375846</v>
      </c>
      <c r="AC23" s="21">
        <f>(1-'CC70 - %'!AC25/100)*Tendencial!AP211</f>
        <v>10.997544436875128</v>
      </c>
      <c r="AD23" s="21">
        <f>(1-'CC70 - %'!AD25/100)*Tendencial!AQ211</f>
        <v>11.026068602126342</v>
      </c>
      <c r="AE23" s="21">
        <f>(1-'CC70 - %'!AE25/100)*Tendencial!AR211</f>
        <v>11.054665457039372</v>
      </c>
      <c r="AF23" s="21">
        <f>(1-'CC70 - %'!AF25/100)*Tendencial!AS211</f>
        <v>11.083335179939164</v>
      </c>
      <c r="AG23" s="21">
        <f>(1-'CC70 - %'!AG25/100)*Tendencial!AT211</f>
        <v>11.112077949566602</v>
      </c>
      <c r="AH23" s="21">
        <f>(1-'CC70 - %'!AH25/100)*Tendencial!AU211</f>
        <v>11.140893945079398</v>
      </c>
      <c r="AI23" s="21">
        <f>(1-'CC70 - %'!AI25/100)*Tendencial!AV211</f>
        <v>11.169783346052967</v>
      </c>
      <c r="AJ23" s="21">
        <f>(1-'CC70 - %'!AJ25/100)*Tendencial!AW211</f>
        <v>11.198746332481335</v>
      </c>
      <c r="AK23" s="21">
        <f>(1-'CC70 - %'!AK25/100)*Tendencial!AX211</f>
        <v>11.227783084778025</v>
      </c>
      <c r="AL23" s="21">
        <f>(1-'CC70 - %'!AL25/100)*Tendencial!AY211</f>
        <v>11.256893783776944</v>
      </c>
      <c r="AM23" s="21">
        <f>(1-'CC70 - %'!AM25/100)*Tendencial!AZ211</f>
        <v>11.286078610733282</v>
      </c>
      <c r="AN23" s="21">
        <f>(1-'CC70 - %'!AN25/100)*Tendencial!BA211</f>
        <v>11.315337747324417</v>
      </c>
      <c r="AO23" s="21">
        <f>(1-'CC70 - %'!AO25/100)*Tendencial!BB211</f>
        <v>11.344671375650799</v>
      </c>
      <c r="AP23" s="21">
        <f>(1-'CC70 - %'!AP25/100)*Tendencial!BC211</f>
        <v>11.37407967823685</v>
      </c>
      <c r="AQ23" s="21">
        <f>(1-'CC70 - %'!AQ25/100)*Tendencial!BD211</f>
        <v>11.403562838031879</v>
      </c>
      <c r="AR23" s="21">
        <f>(1-'CC70 - %'!AR25/100)*Tendencial!BE211</f>
        <v>11.433121038410977</v>
      </c>
      <c r="AS23" s="21">
        <f>(1-'CC70 - %'!AS25/100)*Tendencial!BF211</f>
        <v>11.462754463175916</v>
      </c>
      <c r="AT23" s="21">
        <f>(1-'CC70 - %'!AT25/100)*Tendencial!BG211</f>
        <v>11.492463296556057</v>
      </c>
      <c r="AU23" s="21">
        <f>(1-'CC70 - %'!AU25/100)*Tendencial!BH211</f>
        <v>11.522247723209269</v>
      </c>
      <c r="AV23" s="21">
        <f>(1-'CC70 - %'!AV25/100)*Tendencial!BI211</f>
        <v>11.552107928222824</v>
      </c>
      <c r="AW23" s="21">
        <f>(1-'CC70 - %'!AW25/100)*Tendencial!BJ211</f>
        <v>11.582044097114315</v>
      </c>
      <c r="AX23" s="21">
        <f>(1-'CC70 - %'!AX25/100)*Tendencial!BK211</f>
        <v>11.612056415832562</v>
      </c>
      <c r="AY23" s="21">
        <f>(1-'CC70 - %'!AY25/100)*Tendencial!BL211</f>
        <v>11.642145070758533</v>
      </c>
      <c r="AZ23" s="21">
        <f>(1-'CC70 - %'!AZ25/100)*Tendencial!BM211</f>
        <v>11.67231024870626</v>
      </c>
      <c r="BA23" s="21">
        <f>(1-'CC70 - %'!BA25/100)*Tendencial!BN211</f>
        <v>11.702552136923746</v>
      </c>
      <c r="BB23" s="21">
        <f>(1-'CC70 - %'!BB25/100)*Tendencial!BO211</f>
        <v>11.732870923093895</v>
      </c>
      <c r="BC23" s="21"/>
    </row>
    <row r="24" spans="1:55" ht="14.4" x14ac:dyDescent="0.3">
      <c r="B24" s="384"/>
      <c r="C24" s="9" t="s">
        <v>67</v>
      </c>
      <c r="D24" s="365"/>
      <c r="E24" s="382"/>
      <c r="F24" s="382"/>
      <c r="G24" s="21">
        <f>Tendencial!T212</f>
        <v>1.9507085179514867</v>
      </c>
      <c r="H24" s="21">
        <f>Tendencial!U212</f>
        <v>2.0802735514784509</v>
      </c>
      <c r="I24" s="21">
        <f>Tendencial!V212</f>
        <v>2.0995351202509229</v>
      </c>
      <c r="J24" s="21">
        <f>Tendencial!W212</f>
        <v>2.2361791024902344</v>
      </c>
      <c r="K24" s="21">
        <f>Tendencial!X212</f>
        <v>2.305928298603972</v>
      </c>
      <c r="L24" s="21">
        <f>Tendencial!Y212</f>
        <v>2.3786356908923127</v>
      </c>
      <c r="M24" s="21">
        <f>Tendencial!Z212</f>
        <v>2.4457648572604405</v>
      </c>
      <c r="N24" s="21">
        <f>Tendencial!AA212</f>
        <v>2.5219143518400786</v>
      </c>
      <c r="O24" s="21">
        <f>Tendencial!AB212</f>
        <v>2.5099003294100473</v>
      </c>
      <c r="P24" s="21">
        <f>Tendencial!AC212</f>
        <v>2.5718998100774377</v>
      </c>
      <c r="Q24" s="21">
        <f>Tendencial!AD212</f>
        <v>2.6436827018156666</v>
      </c>
      <c r="R24" s="21">
        <f>Tendencial!AE212</f>
        <v>2.7014221377402072</v>
      </c>
      <c r="S24" s="21">
        <f>Tendencial!AF212</f>
        <v>2.7578649419706278</v>
      </c>
      <c r="T24" s="21">
        <f>Tendencial!AG212</f>
        <v>2.8079105838027156</v>
      </c>
      <c r="U24" s="21">
        <f>Tendencial!AH212</f>
        <v>2.8574094385517124</v>
      </c>
      <c r="V24" s="21">
        <f>Tendencial!AI212</f>
        <v>2.9026311271334886</v>
      </c>
      <c r="W24" s="21">
        <f>Tendencial!AJ212</f>
        <v>2.9602080578426215</v>
      </c>
      <c r="X24" s="21">
        <f>Tendencial!AK212</f>
        <v>3.0145820018414309</v>
      </c>
      <c r="Y24" s="21">
        <f>Tendencial!AL212</f>
        <v>3.0674133288958556</v>
      </c>
      <c r="Z24" s="21">
        <f>Tendencial!AM212</f>
        <v>3.1200654233707419</v>
      </c>
      <c r="AA24" s="21">
        <f>Tendencial!AN212</f>
        <v>3.1674560797836131</v>
      </c>
      <c r="AB24" s="21">
        <f>Tendencial!AO212</f>
        <v>3.2193896976582157</v>
      </c>
      <c r="AC24" s="21">
        <f>Tendencial!AP212</f>
        <v>3.2684527552760363</v>
      </c>
      <c r="AD24" s="21">
        <f>Tendencial!AQ212</f>
        <v>3.3235102211503706</v>
      </c>
      <c r="AE24" s="21">
        <f>Tendencial!AR212</f>
        <v>3.3737158174793271</v>
      </c>
      <c r="AF24" s="21">
        <f>Tendencial!AS212</f>
        <v>3.4231202300786192</v>
      </c>
      <c r="AG24" s="21">
        <f>Tendencial!AT212</f>
        <v>3.4729636839865363</v>
      </c>
      <c r="AH24" s="21">
        <f>Tendencial!AU212</f>
        <v>3.5227775170100406</v>
      </c>
      <c r="AI24" s="21">
        <f>Tendencial!AV212</f>
        <v>3.5752562495035836</v>
      </c>
      <c r="AJ24" s="21">
        <f>Tendencial!AW212</f>
        <v>3.6255313968716467</v>
      </c>
      <c r="AK24" s="21">
        <f>Tendencial!AX212</f>
        <v>3.6756312809680844</v>
      </c>
      <c r="AL24" s="21">
        <f>Tendencial!AY212</f>
        <v>3.7260435192108252</v>
      </c>
      <c r="AM24" s="21">
        <f>Tendencial!AZ212</f>
        <v>3.7763297961016598</v>
      </c>
      <c r="AN24" s="21">
        <f>Tendencial!BA212</f>
        <v>3.8269202153023301</v>
      </c>
      <c r="AO24" s="21">
        <f>Tendencial!BB212</f>
        <v>3.8765069227071347</v>
      </c>
      <c r="AP24" s="21">
        <f>Tendencial!BC212</f>
        <v>3.9259848770224224</v>
      </c>
      <c r="AQ24" s="21">
        <f>Tendencial!BD212</f>
        <v>3.9753193554479522</v>
      </c>
      <c r="AR24" s="21">
        <f>Tendencial!BE212</f>
        <v>4.024376967229502</v>
      </c>
      <c r="AS24" s="21">
        <f>Tendencial!BF212</f>
        <v>4.0730354827326698</v>
      </c>
      <c r="AT24" s="21">
        <f>Tendencial!BG212</f>
        <v>4.1213475073927297</v>
      </c>
      <c r="AU24" s="21">
        <f>Tendencial!BH212</f>
        <v>4.1693241812181547</v>
      </c>
      <c r="AV24" s="21">
        <f>Tendencial!BI212</f>
        <v>4.2169512681318917</v>
      </c>
      <c r="AW24" s="21">
        <f>Tendencial!BJ212</f>
        <v>4.2641464239978086</v>
      </c>
      <c r="AX24" s="21">
        <f>Tendencial!BK212</f>
        <v>4.3108838560996432</v>
      </c>
      <c r="AY24" s="21">
        <f>Tendencial!BL212</f>
        <v>4.3571140429454811</v>
      </c>
      <c r="AZ24" s="21">
        <f>Tendencial!BM212</f>
        <v>4.4028618880082586</v>
      </c>
      <c r="BA24" s="21">
        <f>Tendencial!BN212</f>
        <v>4.4480952306914494</v>
      </c>
      <c r="BB24" s="21">
        <f>Tendencial!BO212</f>
        <v>4.4927812234754487</v>
      </c>
      <c r="BC24" s="21"/>
    </row>
    <row r="25" spans="1:55" ht="14.4" x14ac:dyDescent="0.3">
      <c r="B25" s="384"/>
      <c r="C25" s="9" t="s">
        <v>68</v>
      </c>
      <c r="D25" s="365"/>
      <c r="E25" s="382"/>
      <c r="F25" s="382"/>
      <c r="G25" s="21">
        <f>Tendencial!T213</f>
        <v>1.9434969646397779</v>
      </c>
      <c r="H25" s="21">
        <f>Tendencial!U213</f>
        <v>2.0559541309389888</v>
      </c>
      <c r="I25" s="21">
        <f>Tendencial!V213</f>
        <v>2.0704082076739772</v>
      </c>
      <c r="J25" s="21">
        <f>Tendencial!W213</f>
        <v>2.1871858339303714</v>
      </c>
      <c r="K25" s="21">
        <f>Tendencial!X213</f>
        <v>2.2446794038376363</v>
      </c>
      <c r="L25" s="21">
        <f>Tendencial!Y213</f>
        <v>2.3043005832001668</v>
      </c>
      <c r="M25" s="21">
        <f>Tendencial!Z213</f>
        <v>2.3588666263335996</v>
      </c>
      <c r="N25" s="21">
        <f>Tendencial!AA213</f>
        <v>2.4205749372389329</v>
      </c>
      <c r="O25" s="21">
        <f>Tendencial!AB213</f>
        <v>2.409706760882155</v>
      </c>
      <c r="P25" s="21">
        <f>Tendencial!AC213</f>
        <v>2.4595503751110228</v>
      </c>
      <c r="Q25" s="21">
        <f>Tendencial!AD213</f>
        <v>2.5172145081956052</v>
      </c>
      <c r="R25" s="21">
        <f>Tendencial!AE213</f>
        <v>2.5630012058110361</v>
      </c>
      <c r="S25" s="21">
        <f>Tendencial!AF213</f>
        <v>2.6075112680626091</v>
      </c>
      <c r="T25" s="21">
        <f>Tendencial!AG213</f>
        <v>2.6497302752707679</v>
      </c>
      <c r="U25" s="21">
        <f>Tendencial!AH213</f>
        <v>2.6890156583919826</v>
      </c>
      <c r="V25" s="21">
        <f>Tendencial!AI213</f>
        <v>2.724979692702743</v>
      </c>
      <c r="W25" s="21">
        <f>Tendencial!AJ213</f>
        <v>2.77081790757659</v>
      </c>
      <c r="X25" s="21">
        <f>Tendencial!AK213</f>
        <v>2.8142149849929847</v>
      </c>
      <c r="Y25" s="21">
        <f>Tendencial!AL213</f>
        <v>2.8560928634539606</v>
      </c>
      <c r="Z25" s="21">
        <f>Tendencial!AM213</f>
        <v>2.897269153408903</v>
      </c>
      <c r="AA25" s="21">
        <f>Tendencial!AN213</f>
        <v>2.9346086190010254</v>
      </c>
      <c r="AB25" s="21">
        <f>Tendencial!AO213</f>
        <v>2.9749467927368562</v>
      </c>
      <c r="AC25" s="21">
        <f>Tendencial!AP213</f>
        <v>3.0130994583278179</v>
      </c>
      <c r="AD25" s="21">
        <f>Tendencial!AQ213</f>
        <v>3.0552391153009228</v>
      </c>
      <c r="AE25" s="21">
        <f>Tendencial!AR213</f>
        <v>3.0937186707976299</v>
      </c>
      <c r="AF25" s="21">
        <f>Tendencial!AS213</f>
        <v>3.1314071436083237</v>
      </c>
      <c r="AG25" s="21">
        <f>Tendencial!AT213</f>
        <v>3.1691605593342</v>
      </c>
      <c r="AH25" s="21">
        <f>Tendencial!AU213</f>
        <v>3.2066543621309362</v>
      </c>
      <c r="AI25" s="21">
        <f>Tendencial!AV213</f>
        <v>3.2457072248247183</v>
      </c>
      <c r="AJ25" s="21">
        <f>Tendencial!AW213</f>
        <v>3.2830240074994572</v>
      </c>
      <c r="AK25" s="21">
        <f>Tendencial!AX213</f>
        <v>3.319978805933681</v>
      </c>
      <c r="AL25" s="21">
        <f>Tendencial!AY213</f>
        <v>3.3568726317751256</v>
      </c>
      <c r="AM25" s="21">
        <f>Tendencial!AZ213</f>
        <v>3.3934091778501516</v>
      </c>
      <c r="AN25" s="21">
        <f>Tendencial!BA213</f>
        <v>3.4298724052307805</v>
      </c>
      <c r="AO25" s="21">
        <f>Tendencial!BB213</f>
        <v>3.4653955747963816</v>
      </c>
      <c r="AP25" s="21">
        <f>Tendencial!BC213</f>
        <v>3.5005676134858161</v>
      </c>
      <c r="AQ25" s="21">
        <f>Tendencial!BD213</f>
        <v>3.535358664912355</v>
      </c>
      <c r="AR25" s="21">
        <f>Tendencial!BE213</f>
        <v>3.5696753893330513</v>
      </c>
      <c r="AS25" s="21">
        <f>Tendencial!BF213</f>
        <v>3.6034337349201278</v>
      </c>
      <c r="AT25" s="21">
        <f>Tendencial!BG213</f>
        <v>3.6366655351109967</v>
      </c>
      <c r="AU25" s="21">
        <f>Tendencial!BH213</f>
        <v>3.669374608250116</v>
      </c>
      <c r="AV25" s="21">
        <f>Tendencial!BI213</f>
        <v>3.7015477058671848</v>
      </c>
      <c r="AW25" s="21">
        <f>Tendencial!BJ213</f>
        <v>3.7331284245319933</v>
      </c>
      <c r="AX25" s="21">
        <f>Tendencial!BK213</f>
        <v>3.7640969205020438</v>
      </c>
      <c r="AY25" s="21">
        <f>Tendencial!BL213</f>
        <v>3.7944187236372748</v>
      </c>
      <c r="AZ25" s="21">
        <f>Tendencial!BM213</f>
        <v>3.8241065831969112</v>
      </c>
      <c r="BA25" s="21">
        <f>Tendencial!BN213</f>
        <v>3.8531375334041598</v>
      </c>
      <c r="BB25" s="21">
        <f>Tendencial!BO213</f>
        <v>3.8814883817004757</v>
      </c>
      <c r="BC25" s="21"/>
    </row>
    <row r="26" spans="1:55" ht="14.4" x14ac:dyDescent="0.3">
      <c r="B26" s="384"/>
      <c r="C26" s="9" t="s">
        <v>70</v>
      </c>
      <c r="D26" s="365"/>
      <c r="E26" s="382"/>
      <c r="F26" s="382"/>
      <c r="G26" s="21">
        <f>Tendencial!T214</f>
        <v>2.6945836427731906E-2</v>
      </c>
      <c r="H26" s="21">
        <f>Tendencial!U214</f>
        <v>2.8556993746044021E-2</v>
      </c>
      <c r="I26" s="21">
        <f>Tendencial!V214</f>
        <v>2.8576749400626423E-2</v>
      </c>
      <c r="J26" s="21">
        <f>Tendencial!W214</f>
        <v>3.0259190470528254E-2</v>
      </c>
      <c r="K26" s="21">
        <f>Tendencial!X214</f>
        <v>3.097887308920777E-2</v>
      </c>
      <c r="L26" s="21">
        <f>Tendencial!Y214</f>
        <v>3.1730829411955666E-2</v>
      </c>
      <c r="M26" s="21">
        <f>Tendencial!Z214</f>
        <v>3.2395384074900592E-2</v>
      </c>
      <c r="N26" s="21">
        <f>Tendencial!AA214</f>
        <v>3.3176402687466064E-2</v>
      </c>
      <c r="O26" s="21">
        <f>Tendencial!AB214</f>
        <v>3.273134903330014E-2</v>
      </c>
      <c r="P26" s="21">
        <f>Tendencial!AC214</f>
        <v>3.3305264559828587E-2</v>
      </c>
      <c r="Q26" s="21">
        <f>Tendencial!AD214</f>
        <v>3.400486653492054E-2</v>
      </c>
      <c r="R26" s="21">
        <f>Tendencial!AE214</f>
        <v>3.4505043443046571E-2</v>
      </c>
      <c r="S26" s="21">
        <f>Tendencial!AF214</f>
        <v>3.498088338432806E-2</v>
      </c>
      <c r="T26" s="21">
        <f>Tendencial!AG214</f>
        <v>3.5438459516565955E-2</v>
      </c>
      <c r="U26" s="21">
        <f>Tendencial!AH214</f>
        <v>3.5827841448904142E-2</v>
      </c>
      <c r="V26" s="21">
        <f>Tendencial!AI214</f>
        <v>3.6162096676814116E-2</v>
      </c>
      <c r="W26" s="21">
        <f>Tendencial!AJ214</f>
        <v>3.6657145118591541E-2</v>
      </c>
      <c r="X26" s="21">
        <f>Tendencial!AK214</f>
        <v>3.7112095322188773E-2</v>
      </c>
      <c r="Y26" s="21">
        <f>Tendencial!AL214</f>
        <v>3.7539017364722482E-2</v>
      </c>
      <c r="Z26" s="21">
        <f>Tendencial!AM214</f>
        <v>3.7949397464214454E-2</v>
      </c>
      <c r="AA26" s="21">
        <f>Tendencial!AN214</f>
        <v>3.829862669230346E-2</v>
      </c>
      <c r="AB26" s="21">
        <f>Tendencial!AO214</f>
        <v>3.8691893675946276E-2</v>
      </c>
      <c r="AC26" s="21">
        <f>Tendencial!AP214</f>
        <v>3.9049535738693332E-2</v>
      </c>
      <c r="AD26" s="21">
        <f>Tendencial!AQ214</f>
        <v>3.946638967035683E-2</v>
      </c>
      <c r="AE26" s="21">
        <f>Tendencial!AR214</f>
        <v>3.9824364792176825E-2</v>
      </c>
      <c r="AF26" s="21">
        <f>Tendencial!AS214</f>
        <v>4.016806300993489E-2</v>
      </c>
      <c r="AG26" s="21">
        <f>Tendencial!AT214</f>
        <v>4.051064309869247E-2</v>
      </c>
      <c r="AH26" s="21">
        <f>Tendencial!AU214</f>
        <v>4.0847193503309162E-2</v>
      </c>
      <c r="AI26" s="21">
        <f>Tendencial!AV214</f>
        <v>4.1205311499773307E-2</v>
      </c>
      <c r="AJ26" s="21">
        <f>Tendencial!AW214</f>
        <v>4.1535349881358589E-2</v>
      </c>
      <c r="AK26" s="21">
        <f>Tendencial!AX214</f>
        <v>4.1858242355610781E-2</v>
      </c>
      <c r="AL26" s="21">
        <f>Tendencial!AY214</f>
        <v>4.21784494624085E-2</v>
      </c>
      <c r="AM26" s="21">
        <f>Tendencial!AZ214</f>
        <v>4.2491653748256995E-2</v>
      </c>
      <c r="AN26" s="21">
        <f>Tendencial!BA214</f>
        <v>4.2802259312112498E-2</v>
      </c>
      <c r="AO26" s="21">
        <f>Tendencial!BB214</f>
        <v>4.3097460206323025E-2</v>
      </c>
      <c r="AP26" s="21">
        <f>Tendencial!BC214</f>
        <v>4.3386196979863359E-2</v>
      </c>
      <c r="AQ26" s="21">
        <f>Tendencial!BD214</f>
        <v>4.3668130717855275E-2</v>
      </c>
      <c r="AR26" s="21">
        <f>Tendencial!BE214</f>
        <v>4.3941988085471805E-2</v>
      </c>
      <c r="AS26" s="21">
        <f>Tendencial!BF214</f>
        <v>4.4206650006536605E-2</v>
      </c>
      <c r="AT26" s="21">
        <f>Tendencial!BG214</f>
        <v>4.4462736972829646E-2</v>
      </c>
      <c r="AU26" s="21">
        <f>Tendencial!BH214</f>
        <v>4.4710446173062163E-2</v>
      </c>
      <c r="AV26" s="21">
        <f>Tendencial!BI214</f>
        <v>4.494971715811804E-2</v>
      </c>
      <c r="AW26" s="21">
        <f>Tendencial!BJ214</f>
        <v>4.5179857463044384E-2</v>
      </c>
      <c r="AX26" s="21">
        <f>Tendencial!BK214</f>
        <v>4.5400715724895339E-2</v>
      </c>
      <c r="AY26" s="21">
        <f>Tendencial!BL214</f>
        <v>4.5611929206162638E-2</v>
      </c>
      <c r="AZ26" s="21">
        <f>Tendencial!BM214</f>
        <v>4.5813828734550359E-2</v>
      </c>
      <c r="BA26" s="21">
        <f>Tendencial!BN214</f>
        <v>4.6006224866047461E-2</v>
      </c>
      <c r="BB26" s="21">
        <f>Tendencial!BO214</f>
        <v>4.6188925633893707E-2</v>
      </c>
      <c r="BC26" s="21"/>
    </row>
    <row r="27" spans="1:55" ht="14.4" x14ac:dyDescent="0.3">
      <c r="B27" s="384"/>
      <c r="C27" s="9" t="s">
        <v>71</v>
      </c>
      <c r="D27" s="365"/>
      <c r="E27" s="382"/>
      <c r="F27" s="382"/>
      <c r="G27" s="21">
        <f>Tendencial!T215</f>
        <v>2.5043799746410106E-2</v>
      </c>
      <c r="H27" s="21">
        <f>Tendencial!U215</f>
        <v>2.0786360156828998E-2</v>
      </c>
      <c r="I27" s="21">
        <f>Tendencial!V215</f>
        <v>2.7794900322111404E-2</v>
      </c>
      <c r="J27" s="21">
        <f>Tendencial!W215</f>
        <v>2.20887866712456E-2</v>
      </c>
      <c r="K27" s="21">
        <f>Tendencial!X215</f>
        <v>2.3277789330652304E-2</v>
      </c>
      <c r="L27" s="21">
        <f>Tendencial!Y215</f>
        <v>2.4023392612830097E-2</v>
      </c>
      <c r="M27" s="21">
        <f>Tendencial!Z215</f>
        <v>2.5389071617752598E-2</v>
      </c>
      <c r="N27" s="21">
        <f>Tendencial!AA215</f>
        <v>2.5518173413265843E-2</v>
      </c>
      <c r="O27" s="21">
        <f>Tendencial!AB215</f>
        <v>3.7453766781845282E-2</v>
      </c>
      <c r="P27" s="21">
        <f>Tendencial!AC215</f>
        <v>3.9518013942295246E-2</v>
      </c>
      <c r="Q27" s="21">
        <f>Tendencial!AD215</f>
        <v>4.0295730018486797E-2</v>
      </c>
      <c r="R27" s="21">
        <f>Tendencial!AE215</f>
        <v>4.2834787974771568E-2</v>
      </c>
      <c r="S27" s="21">
        <f>Tendencial!AF215</f>
        <v>4.5526391402746016E-2</v>
      </c>
      <c r="T27" s="21">
        <f>Tendencial!AG215</f>
        <v>4.3662358121576733E-2</v>
      </c>
      <c r="U27" s="21">
        <f>Tendencial!AH215</f>
        <v>4.5851767059062964E-2</v>
      </c>
      <c r="V27" s="21">
        <f>Tendencial!AI215</f>
        <v>4.8078080911448315E-2</v>
      </c>
      <c r="W27" s="21">
        <f>Tendencial!AJ215</f>
        <v>4.8388724127667412E-2</v>
      </c>
      <c r="X27" s="21">
        <f>Tendencial!AK215</f>
        <v>4.8452003621858808E-2</v>
      </c>
      <c r="Y27" s="21">
        <f>Tendencial!AL215</f>
        <v>4.8814067255666643E-2</v>
      </c>
      <c r="Z27" s="21">
        <f>Tendencial!AM215</f>
        <v>4.9788717356801071E-2</v>
      </c>
      <c r="AA27" s="21">
        <f>Tendencial!AN215</f>
        <v>5.0516910292342621E-2</v>
      </c>
      <c r="AB27" s="21">
        <f>Tendencial!AO215</f>
        <v>5.1263972238150435E-2</v>
      </c>
      <c r="AC27" s="21">
        <f>Tendencial!AP215</f>
        <v>5.1869783801487157E-2</v>
      </c>
      <c r="AD27" s="21">
        <f>Tendencial!AQ215</f>
        <v>5.2473555111215819E-2</v>
      </c>
      <c r="AE27" s="21">
        <f>Tendencial!AR215</f>
        <v>5.3087940524013444E-2</v>
      </c>
      <c r="AF27" s="21">
        <f>Tendencial!AS215</f>
        <v>5.3693151714875709E-2</v>
      </c>
      <c r="AG27" s="21">
        <f>Tendencial!AT215</f>
        <v>5.4306999039757275E-2</v>
      </c>
      <c r="AH27" s="21">
        <f>Tendencial!AU215</f>
        <v>5.4923846255090641E-2</v>
      </c>
      <c r="AI27" s="21">
        <f>Tendencial!AV215</f>
        <v>5.5598968729367565E-2</v>
      </c>
      <c r="AJ27" s="21">
        <f>Tendencial!AW215</f>
        <v>5.6204914571708342E-2</v>
      </c>
      <c r="AK27" s="21">
        <f>Tendencial!AX215</f>
        <v>5.6783631113042715E-2</v>
      </c>
      <c r="AL27" s="21">
        <f>Tendencial!AY215</f>
        <v>5.7384680895631035E-2</v>
      </c>
      <c r="AM27" s="21">
        <f>Tendencial!AZ215</f>
        <v>5.7991988038939735E-2</v>
      </c>
      <c r="AN27" s="21">
        <f>Tendencial!BA215</f>
        <v>5.8606376606698707E-2</v>
      </c>
      <c r="AO27" s="21">
        <f>Tendencial!BB215</f>
        <v>5.9192899463103354E-2</v>
      </c>
      <c r="AP27" s="21">
        <f>Tendencial!BC215</f>
        <v>5.9771505604095471E-2</v>
      </c>
      <c r="AQ27" s="21">
        <f>Tendencial!BD215</f>
        <v>6.0344979094462237E-2</v>
      </c>
      <c r="AR27" s="21">
        <f>Tendencial!BE215</f>
        <v>6.0913384144381411E-2</v>
      </c>
      <c r="AS27" s="21">
        <f>Tendencial!BF215</f>
        <v>6.1475854245176653E-2</v>
      </c>
      <c r="AT27" s="21">
        <f>Tendencial!BG215</f>
        <v>6.2031249906502967E-2</v>
      </c>
      <c r="AU27" s="21">
        <f>Tendencial!BH215</f>
        <v>6.257898813074983E-2</v>
      </c>
      <c r="AV27" s="21">
        <f>Tendencial!BI215</f>
        <v>6.3119293999172099E-2</v>
      </c>
      <c r="AW27" s="21">
        <f>Tendencial!BJ215</f>
        <v>6.3650896387846073E-2</v>
      </c>
      <c r="AX27" s="21">
        <f>Tendencial!BK215</f>
        <v>6.4173928025352517E-2</v>
      </c>
      <c r="AY27" s="21">
        <f>Tendencial!BL215</f>
        <v>6.4687868316952862E-2</v>
      </c>
      <c r="AZ27" s="21">
        <f>Tendencial!BM215</f>
        <v>6.5193612822851021E-2</v>
      </c>
      <c r="BA27" s="21">
        <f>Tendencial!BN215</f>
        <v>6.5690373184197376E-2</v>
      </c>
      <c r="BB27" s="21">
        <f>Tendencial!BO215</f>
        <v>6.6177611126452207E-2</v>
      </c>
      <c r="BC27" s="21"/>
    </row>
    <row r="28" spans="1:55" ht="14.4" x14ac:dyDescent="0.3">
      <c r="B28" s="384"/>
      <c r="C28" s="9" t="s">
        <v>72</v>
      </c>
      <c r="D28" s="365"/>
      <c r="E28" s="382"/>
      <c r="F28" s="382"/>
      <c r="G28" s="21">
        <f>Tendencial!T216</f>
        <v>7.8666180913407602E-2</v>
      </c>
      <c r="H28" s="21">
        <f>Tendencial!U216</f>
        <v>8.2447103482477149E-2</v>
      </c>
      <c r="I28" s="21">
        <f>Tendencial!V216</f>
        <v>8.3461641943106624E-2</v>
      </c>
      <c r="J28" s="21">
        <f>Tendencial!W216</f>
        <v>8.7239338045921808E-2</v>
      </c>
      <c r="K28" s="21">
        <f>Tendencial!X216</f>
        <v>8.9353888793080982E-2</v>
      </c>
      <c r="L28" s="21">
        <f>Tendencial!Y216</f>
        <v>9.1498807151742134E-2</v>
      </c>
      <c r="M28" s="21">
        <f>Tendencial!Z216</f>
        <v>9.3498846931245355E-2</v>
      </c>
      <c r="N28" s="21">
        <f>Tendencial!AA216</f>
        <v>9.5645645838647653E-2</v>
      </c>
      <c r="O28" s="21">
        <f>Tendencial!AB216</f>
        <v>9.6140113140628827E-2</v>
      </c>
      <c r="P28" s="21">
        <f>Tendencial!AC216</f>
        <v>9.8007943370025954E-2</v>
      </c>
      <c r="Q28" s="21">
        <f>Tendencial!AD216</f>
        <v>0.10004296485990399</v>
      </c>
      <c r="R28" s="21">
        <f>Tendencial!AE216</f>
        <v>0.10178615441889768</v>
      </c>
      <c r="S28" s="21">
        <f>Tendencial!AF216</f>
        <v>0.10348885734912237</v>
      </c>
      <c r="T28" s="21">
        <f>Tendencial!AG216</f>
        <v>0.10474692624129889</v>
      </c>
      <c r="U28" s="21">
        <f>Tendencial!AH216</f>
        <v>0.10621378464042737</v>
      </c>
      <c r="V28" s="21">
        <f>Tendencial!AI216</f>
        <v>0.10756209223396783</v>
      </c>
      <c r="W28" s="21">
        <f>Tendencial!AJ216</f>
        <v>0.10909549791282033</v>
      </c>
      <c r="X28" s="21">
        <f>Tendencial!AK216</f>
        <v>0.11051708233495591</v>
      </c>
      <c r="Y28" s="21">
        <f>Tendencial!AL216</f>
        <v>0.11190232309011044</v>
      </c>
      <c r="Z28" s="21">
        <f>Tendencial!AM216</f>
        <v>0.1133043731900403</v>
      </c>
      <c r="AA28" s="21">
        <f>Tendencial!AN216</f>
        <v>0.11454924155576893</v>
      </c>
      <c r="AB28" s="21">
        <f>Tendencial!AO216</f>
        <v>0.11589078808327129</v>
      </c>
      <c r="AC28" s="21">
        <f>Tendencial!AP216</f>
        <v>0.11714010756474741</v>
      </c>
      <c r="AD28" s="21">
        <f>Tendencial!AQ216</f>
        <v>0.11851663098488162</v>
      </c>
      <c r="AE28" s="21">
        <f>Tendencial!AR216</f>
        <v>0.11976337924107107</v>
      </c>
      <c r="AF28" s="21">
        <f>Tendencial!AS216</f>
        <v>0.12097587621637329</v>
      </c>
      <c r="AG28" s="21">
        <f>Tendencial!AT216</f>
        <v>0.12218424658192423</v>
      </c>
      <c r="AH28" s="21">
        <f>Tendencial!AU216</f>
        <v>0.12337721559622004</v>
      </c>
      <c r="AI28" s="21">
        <f>Tendencial!AV216</f>
        <v>0.1246191923475139</v>
      </c>
      <c r="AJ28" s="21">
        <f>Tendencial!AW216</f>
        <v>0.12579096096584719</v>
      </c>
      <c r="AK28" s="21">
        <f>Tendencial!AX216</f>
        <v>0.1269413890183668</v>
      </c>
      <c r="AL28" s="21">
        <f>Tendencial!AY216</f>
        <v>0.12808421257903205</v>
      </c>
      <c r="AM28" s="21">
        <f>Tendencial!AZ216</f>
        <v>0.12920840041092327</v>
      </c>
      <c r="AN28" s="21">
        <f>Tendencial!BA216</f>
        <v>0.13032319610424581</v>
      </c>
      <c r="AO28" s="21">
        <f>Tendencial!BB216</f>
        <v>0.13139774418256239</v>
      </c>
      <c r="AP28" s="21">
        <f>Tendencial!BC216</f>
        <v>0.13245274084109362</v>
      </c>
      <c r="AQ28" s="21">
        <f>Tendencial!BD216</f>
        <v>0.13348741725861288</v>
      </c>
      <c r="AR28" s="21">
        <f>Tendencial!BE216</f>
        <v>0.1344987781034695</v>
      </c>
      <c r="AS28" s="21">
        <f>Tendencial!BF216</f>
        <v>0.13548409416638191</v>
      </c>
      <c r="AT28" s="21">
        <f>Tendencial!BG216</f>
        <v>0.13644431577280774</v>
      </c>
      <c r="AU28" s="21">
        <f>Tendencial!BH216</f>
        <v>0.13737953507811046</v>
      </c>
      <c r="AV28" s="21">
        <f>Tendencial!BI216</f>
        <v>0.1382893678326465</v>
      </c>
      <c r="AW28" s="21">
        <f>Tendencial!BJ216</f>
        <v>0.13917196862096345</v>
      </c>
      <c r="AX28" s="21">
        <f>Tendencial!BK216</f>
        <v>0.14002676544114856</v>
      </c>
      <c r="AY28" s="21">
        <f>Tendencial!BL216</f>
        <v>0.14085268969332659</v>
      </c>
      <c r="AZ28" s="21">
        <f>Tendencial!BM216</f>
        <v>0.14165025362815473</v>
      </c>
      <c r="BA28" s="21">
        <f>Tendencial!BN216</f>
        <v>0.14241873136567623</v>
      </c>
      <c r="BB28" s="21">
        <f>Tendencial!BO216</f>
        <v>0.14315741953275152</v>
      </c>
      <c r="BC28" s="21"/>
    </row>
    <row r="29" spans="1:55" ht="14.4" x14ac:dyDescent="0.3">
      <c r="B29" s="384"/>
      <c r="C29" s="9" t="s">
        <v>73</v>
      </c>
      <c r="D29" s="365"/>
      <c r="E29" s="382"/>
      <c r="F29" s="382"/>
      <c r="G29" s="144">
        <f>G46+G63-G79</f>
        <v>1.913714433990465</v>
      </c>
      <c r="H29" s="144">
        <f t="shared" ref="H29:BB29" si="10">H46+H63-H79</f>
        <v>2.0736290904567616</v>
      </c>
      <c r="I29" s="144">
        <f t="shared" si="10"/>
        <v>2.2339014134157242</v>
      </c>
      <c r="J29" s="144">
        <f t="shared" si="10"/>
        <v>2.3939355007355374</v>
      </c>
      <c r="K29" s="144">
        <f t="shared" si="10"/>
        <v>2.5542181241280106</v>
      </c>
      <c r="L29" s="144">
        <f t="shared" si="10"/>
        <v>2.7145668361868283</v>
      </c>
      <c r="M29" s="144">
        <f t="shared" si="10"/>
        <v>2.8750076275840661</v>
      </c>
      <c r="N29" s="144">
        <f t="shared" si="10"/>
        <v>3.0354951769329728</v>
      </c>
      <c r="O29" s="144">
        <f t="shared" si="10"/>
        <v>3.1879590734487815</v>
      </c>
      <c r="P29" s="144">
        <f t="shared" si="10"/>
        <v>3.3401850617413307</v>
      </c>
      <c r="Q29" s="144">
        <f t="shared" si="10"/>
        <v>3.4923817759124707</v>
      </c>
      <c r="R29" s="144">
        <f t="shared" si="10"/>
        <v>3.6446236909808514</v>
      </c>
      <c r="S29" s="144">
        <f t="shared" si="10"/>
        <v>3.7968714624931228</v>
      </c>
      <c r="T29" s="144">
        <f t="shared" si="10"/>
        <v>3.9491237823629159</v>
      </c>
      <c r="U29" s="144">
        <f t="shared" si="10"/>
        <v>4.1013930623261965</v>
      </c>
      <c r="V29" s="144">
        <f t="shared" si="10"/>
        <v>4.2536764989738991</v>
      </c>
      <c r="W29" s="144">
        <f t="shared" si="10"/>
        <v>4.4059201687005629</v>
      </c>
      <c r="X29" s="144">
        <f t="shared" si="10"/>
        <v>4.5581736186960651</v>
      </c>
      <c r="Y29" s="144">
        <f t="shared" si="10"/>
        <v>4.7104341037584714</v>
      </c>
      <c r="Z29" s="144">
        <f t="shared" si="10"/>
        <v>4.8626988146802042</v>
      </c>
      <c r="AA29" s="144">
        <f t="shared" si="10"/>
        <v>5.0149796328821399</v>
      </c>
      <c r="AB29" s="144">
        <f t="shared" si="10"/>
        <v>5.1672488513572281</v>
      </c>
      <c r="AC29" s="144">
        <f t="shared" si="10"/>
        <v>5.3195275435583946</v>
      </c>
      <c r="AD29" s="144">
        <f t="shared" si="10"/>
        <v>5.4717900445785137</v>
      </c>
      <c r="AE29" s="144">
        <f t="shared" si="10"/>
        <v>5.6240683766597312</v>
      </c>
      <c r="AF29" s="144">
        <f t="shared" si="10"/>
        <v>5.7763505133072686</v>
      </c>
      <c r="AG29" s="144">
        <f t="shared" si="10"/>
        <v>5.9286328082041049</v>
      </c>
      <c r="AH29" s="144">
        <f t="shared" si="10"/>
        <v>6.0809166268044725</v>
      </c>
      <c r="AI29" s="144">
        <f t="shared" si="10"/>
        <v>6.2331939600329616</v>
      </c>
      <c r="AJ29" s="144">
        <f t="shared" si="10"/>
        <v>6.3854789861872492</v>
      </c>
      <c r="AK29" s="144">
        <f t="shared" si="10"/>
        <v>6.5377656920126634</v>
      </c>
      <c r="AL29" s="144">
        <f t="shared" si="10"/>
        <v>6.6900527075845311</v>
      </c>
      <c r="AM29" s="144">
        <f t="shared" si="10"/>
        <v>6.8423412526633687</v>
      </c>
      <c r="AN29" s="144">
        <f t="shared" si="10"/>
        <v>6.9946299406149262</v>
      </c>
      <c r="AO29" s="144">
        <f t="shared" si="10"/>
        <v>7.1469226365408227</v>
      </c>
      <c r="AP29" s="144">
        <f t="shared" si="10"/>
        <v>7.2992165918549006</v>
      </c>
      <c r="AQ29" s="144">
        <f t="shared" si="10"/>
        <v>7.4515118635434465</v>
      </c>
      <c r="AR29" s="144">
        <f t="shared" si="10"/>
        <v>7.6038088106576387</v>
      </c>
      <c r="AS29" s="144">
        <f t="shared" si="10"/>
        <v>7.7561077598957189</v>
      </c>
      <c r="AT29" s="144">
        <f t="shared" si="10"/>
        <v>7.9084084858039283</v>
      </c>
      <c r="AU29" s="144">
        <f t="shared" si="10"/>
        <v>8.0607108934475882</v>
      </c>
      <c r="AV29" s="144">
        <f t="shared" si="10"/>
        <v>8.2130149707643003</v>
      </c>
      <c r="AW29" s="144">
        <f t="shared" si="10"/>
        <v>8.365320919810511</v>
      </c>
      <c r="AX29" s="144">
        <f t="shared" si="10"/>
        <v>8.5176287683294767</v>
      </c>
      <c r="AY29" s="144">
        <f t="shared" si="10"/>
        <v>8.6699386195597103</v>
      </c>
      <c r="AZ29" s="144">
        <f t="shared" si="10"/>
        <v>8.8222503404294752</v>
      </c>
      <c r="BA29" s="144">
        <f t="shared" si="10"/>
        <v>8.9745639768661949</v>
      </c>
      <c r="BB29" s="144">
        <f t="shared" si="10"/>
        <v>9.1268795791867774</v>
      </c>
      <c r="BC29" s="21"/>
    </row>
    <row r="30" spans="1:55" ht="14.4" x14ac:dyDescent="0.3">
      <c r="B30" s="384"/>
      <c r="C30" s="9" t="s">
        <v>74</v>
      </c>
      <c r="D30" s="365"/>
      <c r="E30" s="382"/>
      <c r="F30" s="382"/>
      <c r="G30" s="21">
        <f>Tendencial!T218</f>
        <v>0.44412708293298853</v>
      </c>
      <c r="H30" s="21">
        <f>Tendencial!U218</f>
        <v>0.47203112628862354</v>
      </c>
      <c r="I30" s="21">
        <f>Tendencial!V218</f>
        <v>0.47479879403821479</v>
      </c>
      <c r="J30" s="21">
        <f>Tendencial!W218</f>
        <v>0.50399512527479207</v>
      </c>
      <c r="K30" s="21">
        <f>Tendencial!X218</f>
        <v>0.51796926494501638</v>
      </c>
      <c r="L30" s="21">
        <f>Tendencial!Y218</f>
        <v>0.53250741234814836</v>
      </c>
      <c r="M30" s="21">
        <f>Tendencial!Z218</f>
        <v>0.5456998497344806</v>
      </c>
      <c r="N30" s="21">
        <f>Tendencial!AA218</f>
        <v>0.56080348010440018</v>
      </c>
      <c r="O30" s="21">
        <f>Tendencial!AB218</f>
        <v>0.55628521577569667</v>
      </c>
      <c r="P30" s="21">
        <f>Tendencial!AC218</f>
        <v>0.56812613075359542</v>
      </c>
      <c r="Q30" s="21">
        <f>Tendencial!AD218</f>
        <v>0.58203311038632932</v>
      </c>
      <c r="R30" s="21">
        <f>Tendencial!AE218</f>
        <v>0.59276809514145057</v>
      </c>
      <c r="S30" s="21">
        <f>Tendencial!AF218</f>
        <v>0.60314498074506995</v>
      </c>
      <c r="T30" s="21">
        <f>Tendencial!AG218</f>
        <v>0.61191741345079542</v>
      </c>
      <c r="U30" s="21">
        <f>Tendencial!AH218</f>
        <v>0.62060851495456271</v>
      </c>
      <c r="V30" s="21">
        <f>Tendencial!AI218</f>
        <v>0.62829907862846013</v>
      </c>
      <c r="W30" s="21">
        <f>Tendencial!AJ218</f>
        <v>0.63858135053602072</v>
      </c>
      <c r="X30" s="21">
        <f>Tendencial!AK218</f>
        <v>0.64808223129082732</v>
      </c>
      <c r="Y30" s="21">
        <f>Tendencial!AL218</f>
        <v>0.65718544798074929</v>
      </c>
      <c r="Z30" s="21">
        <f>Tendencial!AM218</f>
        <v>0.66620056307994446</v>
      </c>
      <c r="AA30" s="21">
        <f>Tendencial!AN218</f>
        <v>0.67400380555601014</v>
      </c>
      <c r="AB30" s="21">
        <f>Tendencial!AO218</f>
        <v>0.68272740546922828</v>
      </c>
      <c r="AC30" s="21">
        <f>Tendencial!AP218</f>
        <v>0.69076452377741382</v>
      </c>
      <c r="AD30" s="21">
        <f>Tendencial!AQ218</f>
        <v>0.70002508675923092</v>
      </c>
      <c r="AE30" s="21">
        <f>Tendencial!AR218</f>
        <v>0.70818141748610552</v>
      </c>
      <c r="AF30" s="21">
        <f>Tendencial!AS218</f>
        <v>0.71610545213295917</v>
      </c>
      <c r="AG30" s="21">
        <f>Tendencial!AT218</f>
        <v>0.72406319604313674</v>
      </c>
      <c r="AH30" s="21">
        <f>Tendencial!AU218</f>
        <v>0.73195484085260132</v>
      </c>
      <c r="AI30" s="21">
        <f>Tendencial!AV218</f>
        <v>0.74035195519772945</v>
      </c>
      <c r="AJ30" s="21">
        <f>Tendencial!AW218</f>
        <v>0.74822054508839619</v>
      </c>
      <c r="AK30" s="21">
        <f>Tendencial!AX218</f>
        <v>0.75599248728266821</v>
      </c>
      <c r="AL30" s="21">
        <f>Tendencial!AY218</f>
        <v>0.76377265355767654</v>
      </c>
      <c r="AM30" s="21">
        <f>Tendencial!AZ218</f>
        <v>0.7714689952578011</v>
      </c>
      <c r="AN30" s="21">
        <f>Tendencial!BA218</f>
        <v>0.77917188012793204</v>
      </c>
      <c r="AO30" s="21">
        <f>Tendencial!BB218</f>
        <v>0.78660858275756451</v>
      </c>
      <c r="AP30" s="21">
        <f>Tendencial!BC218</f>
        <v>0.79396745743954733</v>
      </c>
      <c r="AQ30" s="21">
        <f>Tendencial!BD218</f>
        <v>0.80124226240861984</v>
      </c>
      <c r="AR30" s="21">
        <f>Tendencial!BE218</f>
        <v>0.808406439521697</v>
      </c>
      <c r="AS30" s="21">
        <f>Tendencial!BF218</f>
        <v>0.81543599871449957</v>
      </c>
      <c r="AT30" s="21">
        <f>Tendencial!BG218</f>
        <v>0.8223429798869295</v>
      </c>
      <c r="AU30" s="21">
        <f>Tendencial!BH218</f>
        <v>0.82913086918121859</v>
      </c>
      <c r="AV30" s="21">
        <f>Tendencial!BI218</f>
        <v>0.83579800612843091</v>
      </c>
      <c r="AW30" s="21">
        <f>Tendencial!BJ218</f>
        <v>0.84232888512935211</v>
      </c>
      <c r="AX30" s="21">
        <f>Tendencial!BK218</f>
        <v>0.84871969073704434</v>
      </c>
      <c r="AY30" s="21">
        <f>Tendencial!BL218</f>
        <v>0.85496185121403201</v>
      </c>
      <c r="AZ30" s="21">
        <f>Tendencial!BM218</f>
        <v>0.86106194081905474</v>
      </c>
      <c r="BA30" s="21">
        <f>Tendencial!BN218</f>
        <v>0.86701495352786451</v>
      </c>
      <c r="BB30" s="21">
        <f>Tendencial!BO218</f>
        <v>0.87281582857450379</v>
      </c>
      <c r="BC30" s="21"/>
    </row>
    <row r="31" spans="1:55" ht="14.4" x14ac:dyDescent="0.3">
      <c r="B31" s="384"/>
      <c r="C31" s="9" t="s">
        <v>75</v>
      </c>
      <c r="D31" s="365"/>
      <c r="E31" s="382"/>
      <c r="F31" s="382"/>
      <c r="G31" s="21">
        <f>Tendencial!T219</f>
        <v>0.86192715459303659</v>
      </c>
      <c r="H31" s="21">
        <f>Tendencial!U219</f>
        <v>0.88747830617921841</v>
      </c>
      <c r="I31" s="21">
        <f>Tendencial!V219</f>
        <v>0.90180141269646763</v>
      </c>
      <c r="J31" s="21">
        <f>Tendencial!W219</f>
        <v>0.9247506545520503</v>
      </c>
      <c r="K31" s="21">
        <f>Tendencial!X219</f>
        <v>0.94116948910550946</v>
      </c>
      <c r="L31" s="21">
        <f>Tendencial!Y219</f>
        <v>0.95720286734146809</v>
      </c>
      <c r="M31" s="21">
        <f>Tendencial!Z219</f>
        <v>0.97282000838682436</v>
      </c>
      <c r="N31" s="21">
        <f>Tendencial!AA219</f>
        <v>0.9879046986147979</v>
      </c>
      <c r="O31" s="21">
        <f>Tendencial!AB219</f>
        <v>1.0062337477853429</v>
      </c>
      <c r="P31" s="21">
        <f>Tendencial!AC219</f>
        <v>1.0219122555796616</v>
      </c>
      <c r="Q31" s="21">
        <f>Tendencial!AD219</f>
        <v>1.0372390396153293</v>
      </c>
      <c r="R31" s="21">
        <f>Tendencial!AE219</f>
        <v>1.0525358185891112</v>
      </c>
      <c r="S31" s="21">
        <f>Tendencial!AF219</f>
        <v>1.0677309513605926</v>
      </c>
      <c r="T31" s="21">
        <f>Tendencial!AG219</f>
        <v>1.0820417918811371</v>
      </c>
      <c r="U31" s="21">
        <f>Tendencial!AH219</f>
        <v>1.0970089602931083</v>
      </c>
      <c r="V31" s="21">
        <f>Tendencial!AI219</f>
        <v>1.1119703747930458</v>
      </c>
      <c r="W31" s="21">
        <f>Tendencial!AJ219</f>
        <v>1.1261682444055634</v>
      </c>
      <c r="X31" s="21">
        <f>Tendencial!AK219</f>
        <v>1.1402012764555063</v>
      </c>
      <c r="Y31" s="21">
        <f>Tendencial!AL219</f>
        <v>1.154168916991662</v>
      </c>
      <c r="Z31" s="21">
        <f>Tendencial!AM219</f>
        <v>1.1681045888330313</v>
      </c>
      <c r="AA31" s="21">
        <f>Tendencial!AN219</f>
        <v>1.1820300875074561</v>
      </c>
      <c r="AB31" s="21">
        <f>Tendencial!AO219</f>
        <v>1.1956162908257024</v>
      </c>
      <c r="AC31" s="21">
        <f>Tendencial!AP219</f>
        <v>1.2091191207368581</v>
      </c>
      <c r="AD31" s="21">
        <f>Tendencial!AQ219</f>
        <v>1.2221586559057891</v>
      </c>
      <c r="AE31" s="21">
        <f>Tendencial!AR219</f>
        <v>1.2352384073146787</v>
      </c>
      <c r="AF31" s="21">
        <f>Tendencial!AS219</f>
        <v>1.2481655249542771</v>
      </c>
      <c r="AG31" s="21">
        <f>Tendencial!AT219</f>
        <v>1.2608759947460517</v>
      </c>
      <c r="AH31" s="21">
        <f>Tendencial!AU219</f>
        <v>1.2733917261247911</v>
      </c>
      <c r="AI31" s="21">
        <f>Tendencial!AV219</f>
        <v>1.2855440580438739</v>
      </c>
      <c r="AJ31" s="21">
        <f>Tendencial!AW219</f>
        <v>1.2975916983042555</v>
      </c>
      <c r="AK31" s="21">
        <f>Tendencial!AX219</f>
        <v>1.3094115270218851</v>
      </c>
      <c r="AL31" s="21">
        <f>Tendencial!AY219</f>
        <v>1.3209700375436575</v>
      </c>
      <c r="AM31" s="21">
        <f>Tendencial!AZ219</f>
        <v>1.3322819761259788</v>
      </c>
      <c r="AN31" s="21">
        <f>Tendencial!BA219</f>
        <v>1.3433023038026803</v>
      </c>
      <c r="AO31" s="21">
        <f>Tendencial!BB219</f>
        <v>1.3541148276724551</v>
      </c>
      <c r="AP31" s="21">
        <f>Tendencial!BC219</f>
        <v>1.3646443896115654</v>
      </c>
      <c r="AQ31" s="21">
        <f>Tendencial!BD219</f>
        <v>1.3748828763388281</v>
      </c>
      <c r="AR31" s="21">
        <f>Tendencial!BE219</f>
        <v>1.38483079362488</v>
      </c>
      <c r="AS31" s="21">
        <f>Tendencial!BF219</f>
        <v>1.3944888174475789</v>
      </c>
      <c r="AT31" s="21">
        <f>Tendencial!BG219</f>
        <v>1.4038416052523779</v>
      </c>
      <c r="AU31" s="21">
        <f>Tendencial!BH219</f>
        <v>1.4128773306323579</v>
      </c>
      <c r="AV31" s="21">
        <f>Tendencial!BI219</f>
        <v>1.4215867458950027</v>
      </c>
      <c r="AW31" s="21">
        <f>Tendencial!BJ219</f>
        <v>1.4299675786758086</v>
      </c>
      <c r="AX31" s="21">
        <f>Tendencial!BK219</f>
        <v>1.4380125419576659</v>
      </c>
      <c r="AY31" s="21">
        <f>Tendencial!BL219</f>
        <v>1.4457170778918464</v>
      </c>
      <c r="AZ31" s="21">
        <f>Tendencial!BM219</f>
        <v>1.4530687441095878</v>
      </c>
      <c r="BA31" s="21">
        <f>Tendencial!BN219</f>
        <v>1.4600610874115767</v>
      </c>
      <c r="BB31" s="21">
        <f>Tendencial!BO219</f>
        <v>1.4666881175331843</v>
      </c>
      <c r="BC31" s="21"/>
    </row>
    <row r="32" spans="1:55" ht="14.4" x14ac:dyDescent="0.3">
      <c r="B32" s="384"/>
      <c r="C32" s="9" t="s">
        <v>76</v>
      </c>
      <c r="D32" s="365"/>
      <c r="E32" s="382"/>
      <c r="F32" s="382"/>
      <c r="G32" s="21">
        <f>Tendencial!T220</f>
        <v>0.11202173983846433</v>
      </c>
      <c r="H32" s="21">
        <f>Tendencial!U220</f>
        <v>0.11371868433315646</v>
      </c>
      <c r="I32" s="21">
        <f>Tendencial!V220</f>
        <v>0.11622745983670546</v>
      </c>
      <c r="J32" s="21">
        <f>Tendencial!W220</f>
        <v>0.11729428501429927</v>
      </c>
      <c r="K32" s="21">
        <f>Tendencial!X220</f>
        <v>0.11890309804674101</v>
      </c>
      <c r="L32" s="21">
        <f>Tendencial!Y220</f>
        <v>0.12037798354925565</v>
      </c>
      <c r="M32" s="21">
        <f>Tendencial!Z220</f>
        <v>0.12193496769292118</v>
      </c>
      <c r="N32" s="21">
        <f>Tendencial!AA220</f>
        <v>0.12317415630071481</v>
      </c>
      <c r="O32" s="21">
        <f>Tendencial!AB220</f>
        <v>0.12730341200508116</v>
      </c>
      <c r="P32" s="21">
        <f>Tendencial!AC220</f>
        <v>0.12903934701898268</v>
      </c>
      <c r="Q32" s="21">
        <f>Tendencial!AD220</f>
        <v>0.13047452343321606</v>
      </c>
      <c r="R32" s="21">
        <f>Tendencial!AE220</f>
        <v>0.13227436406080334</v>
      </c>
      <c r="S32" s="21">
        <f>Tendencial!AF220</f>
        <v>0.13410010493844776</v>
      </c>
      <c r="T32" s="21">
        <f>Tendencial!AG220</f>
        <v>0.13590579665513233</v>
      </c>
      <c r="U32" s="21">
        <f>Tendencial!AH220</f>
        <v>0.13787897421656115</v>
      </c>
      <c r="V32" s="21">
        <f>Tendencial!AI220</f>
        <v>0.13996523454488122</v>
      </c>
      <c r="W32" s="21">
        <f>Tendencial!AJ220</f>
        <v>0.14161204179032272</v>
      </c>
      <c r="X32" s="21">
        <f>Tendencial!AK220</f>
        <v>0.1433162763388518</v>
      </c>
      <c r="Y32" s="21">
        <f>Tendencial!AL220</f>
        <v>0.14505835138428827</v>
      </c>
      <c r="Z32" s="21">
        <f>Tendencial!AM220</f>
        <v>0.1468128063944987</v>
      </c>
      <c r="AA32" s="21">
        <f>Tendencial!AN220</f>
        <v>0.14870009951230811</v>
      </c>
      <c r="AB32" s="21">
        <f>Tendencial!AO220</f>
        <v>0.15042714961913342</v>
      </c>
      <c r="AC32" s="21">
        <f>Tendencial!AP220</f>
        <v>0.15221643147025027</v>
      </c>
      <c r="AD32" s="21">
        <f>Tendencial!AQ220</f>
        <v>0.15378950502892597</v>
      </c>
      <c r="AE32" s="21">
        <f>Tendencial!AR220</f>
        <v>0.15549455102552148</v>
      </c>
      <c r="AF32" s="21">
        <f>Tendencial!AS220</f>
        <v>0.15720010622772257</v>
      </c>
      <c r="AG32" s="21">
        <f>Tendencial!AT220</f>
        <v>0.15886538103470982</v>
      </c>
      <c r="AH32" s="21">
        <f>Tendencial!AU220</f>
        <v>0.16050529061795193</v>
      </c>
      <c r="AI32" s="21">
        <f>Tendencial!AV220</f>
        <v>0.1620268311594204</v>
      </c>
      <c r="AJ32" s="21">
        <f>Tendencial!AW220</f>
        <v>0.1635894445912599</v>
      </c>
      <c r="AK32" s="21">
        <f>Tendencial!AX220</f>
        <v>0.16512358506660332</v>
      </c>
      <c r="AL32" s="21">
        <f>Tendencial!AY220</f>
        <v>0.16661201396723418</v>
      </c>
      <c r="AM32" s="21">
        <f>Tendencial!AZ220</f>
        <v>0.16806729431570375</v>
      </c>
      <c r="AN32" s="21">
        <f>Tendencial!BA220</f>
        <v>0.1694712753786714</v>
      </c>
      <c r="AO32" s="21">
        <f>Tendencial!BB220</f>
        <v>0.17086865316914374</v>
      </c>
      <c r="AP32" s="21">
        <f>Tendencial!BC220</f>
        <v>0.17222522547968269</v>
      </c>
      <c r="AQ32" s="21">
        <f>Tendencial!BD220</f>
        <v>0.17354013528413328</v>
      </c>
      <c r="AR32" s="21">
        <f>Tendencial!BE220</f>
        <v>0.17481628186647033</v>
      </c>
      <c r="AS32" s="21">
        <f>Tendencial!BF220</f>
        <v>0.17605629728100303</v>
      </c>
      <c r="AT32" s="21">
        <f>Tendencial!BG220</f>
        <v>0.17725596400632812</v>
      </c>
      <c r="AU32" s="21">
        <f>Tendencial!BH220</f>
        <v>0.1784126412968183</v>
      </c>
      <c r="AV32" s="21">
        <f>Tendencial!BI220</f>
        <v>0.17952472283337059</v>
      </c>
      <c r="AW32" s="21">
        <f>Tendencial!BJ220</f>
        <v>0.18059336070056217</v>
      </c>
      <c r="AX32" s="21">
        <f>Tendencial!BK220</f>
        <v>0.18161753007890583</v>
      </c>
      <c r="AY32" s="21">
        <f>Tendencial!BL220</f>
        <v>0.18259721014305763</v>
      </c>
      <c r="AZ32" s="21">
        <f>Tendencial!BM220</f>
        <v>0.18352931045336629</v>
      </c>
      <c r="BA32" s="21">
        <f>Tendencial!BN220</f>
        <v>0.18441307117657948</v>
      </c>
      <c r="BB32" s="21">
        <f>Tendencial!BO220</f>
        <v>0.18524782129553674</v>
      </c>
      <c r="BC32" s="21"/>
    </row>
    <row r="33" spans="1:55" ht="14.4" x14ac:dyDescent="0.3">
      <c r="B33" s="384"/>
      <c r="C33" s="9" t="s">
        <v>77</v>
      </c>
      <c r="D33" s="365"/>
      <c r="E33" s="382"/>
      <c r="F33" s="382"/>
      <c r="G33" s="21">
        <f>Tendencial!T221</f>
        <v>0.25307560935042928</v>
      </c>
      <c r="H33" s="21">
        <f>Tendencial!U221</f>
        <v>0.25243096921953534</v>
      </c>
      <c r="I33" s="21">
        <f>Tendencial!V221</f>
        <v>0.25996063723550611</v>
      </c>
      <c r="J33" s="21">
        <f>Tendencial!W221</f>
        <v>0.25707793487445219</v>
      </c>
      <c r="K33" s="21">
        <f>Tendencial!X221</f>
        <v>0.25930255608510155</v>
      </c>
      <c r="L33" s="21">
        <f>Tendencial!Y221</f>
        <v>0.26099020533721673</v>
      </c>
      <c r="M33" s="21">
        <f>Tendencial!Z221</f>
        <v>0.2632422513720028</v>
      </c>
      <c r="N33" s="21">
        <f>Tendencial!AA221</f>
        <v>0.2640829649475927</v>
      </c>
      <c r="O33" s="21">
        <f>Tendencial!AB221</f>
        <v>0.27832917211462221</v>
      </c>
      <c r="P33" s="21">
        <f>Tendencial!AC221</f>
        <v>0.28145994720707318</v>
      </c>
      <c r="Q33" s="21">
        <f>Tendencial!AD221</f>
        <v>0.28319938054564048</v>
      </c>
      <c r="R33" s="21">
        <f>Tendencial!AE221</f>
        <v>0.28679024207098774</v>
      </c>
      <c r="S33" s="21">
        <f>Tendencial!AF221</f>
        <v>0.29054838258011767</v>
      </c>
      <c r="T33" s="21">
        <f>Tendencial!AG221</f>
        <v>0.29441332223685091</v>
      </c>
      <c r="U33" s="21">
        <f>Tendencial!AH221</f>
        <v>0.29896887949501366</v>
      </c>
      <c r="V33" s="21">
        <f>Tendencial!AI221</f>
        <v>0.30408646477182244</v>
      </c>
      <c r="W33" s="21">
        <f>Tendencial!AJ221</f>
        <v>0.30725741115988942</v>
      </c>
      <c r="X33" s="21">
        <f>Tendencial!AK221</f>
        <v>0.31076465494809741</v>
      </c>
      <c r="Y33" s="21">
        <f>Tendencial!AL221</f>
        <v>0.31448921287267884</v>
      </c>
      <c r="Z33" s="21">
        <f>Tendencial!AM221</f>
        <v>0.31830085324182045</v>
      </c>
      <c r="AA33" s="21">
        <f>Tendencial!AN221</f>
        <v>0.32276752402674214</v>
      </c>
      <c r="AB33" s="21">
        <f>Tendencial!AO221</f>
        <v>0.32656257792665117</v>
      </c>
      <c r="AC33" s="21">
        <f>Tendencial!AP221</f>
        <v>0.33069197710215548</v>
      </c>
      <c r="AD33" s="21">
        <f>Tendencial!AQ221</f>
        <v>0.33391623089751638</v>
      </c>
      <c r="AE33" s="21">
        <f>Tendencial!AR221</f>
        <v>0.33777972607068418</v>
      </c>
      <c r="AF33" s="21">
        <f>Tendencial!AS221</f>
        <v>0.34170004047776487</v>
      </c>
      <c r="AG33" s="21">
        <f>Tendencial!AT221</f>
        <v>0.34549850084330469</v>
      </c>
      <c r="AH33" s="21">
        <f>Tendencial!AU221</f>
        <v>0.34924105727619309</v>
      </c>
      <c r="AI33" s="21">
        <f>Tendencial!AV221</f>
        <v>0.35252851439699112</v>
      </c>
      <c r="AJ33" s="21">
        <f>Tendencial!AW221</f>
        <v>0.35605527364239942</v>
      </c>
      <c r="AK33" s="21">
        <f>Tendencial!AX221</f>
        <v>0.35952180507300807</v>
      </c>
      <c r="AL33" s="21">
        <f>Tendencial!AY221</f>
        <v>0.36285583813783695</v>
      </c>
      <c r="AM33" s="21">
        <f>Tendencial!AZ221</f>
        <v>0.36611396764040632</v>
      </c>
      <c r="AN33" s="21">
        <f>Tendencial!BA221</f>
        <v>0.36922233946242111</v>
      </c>
      <c r="AO33" s="21">
        <f>Tendencial!BB221</f>
        <v>0.37237171594012564</v>
      </c>
      <c r="AP33" s="21">
        <f>Tendencial!BC221</f>
        <v>0.37541990772079226</v>
      </c>
      <c r="AQ33" s="21">
        <f>Tendencial!BD221</f>
        <v>0.37836562845696092</v>
      </c>
      <c r="AR33" s="21">
        <f>Tendencial!BE221</f>
        <v>0.38122307174867115</v>
      </c>
      <c r="AS33" s="21">
        <f>Tendencial!BF221</f>
        <v>0.38400502817769105</v>
      </c>
      <c r="AT33" s="21">
        <f>Tendencial!BG221</f>
        <v>0.38669604407723079</v>
      </c>
      <c r="AU33" s="21">
        <f>Tendencial!BH221</f>
        <v>0.38928723765973505</v>
      </c>
      <c r="AV33" s="21">
        <f>Tendencial!BI221</f>
        <v>0.39177395282848143</v>
      </c>
      <c r="AW33" s="21">
        <f>Tendencial!BJ221</f>
        <v>0.3941626847732852</v>
      </c>
      <c r="AX33" s="21">
        <f>Tendencial!BK221</f>
        <v>0.39645095862870994</v>
      </c>
      <c r="AY33" s="21">
        <f>Tendencial!BL221</f>
        <v>0.39864028785211059</v>
      </c>
      <c r="AZ33" s="21">
        <f>Tendencial!BM221</f>
        <v>0.40071981087755715</v>
      </c>
      <c r="BA33" s="21">
        <f>Tendencial!BN221</f>
        <v>0.40268804412043169</v>
      </c>
      <c r="BB33" s="21">
        <f>Tendencial!BO221</f>
        <v>0.40454378447419481</v>
      </c>
      <c r="BC33" s="21"/>
    </row>
    <row r="34" spans="1:55" ht="14.4" x14ac:dyDescent="0.3">
      <c r="B34" s="384"/>
      <c r="C34" s="9" t="s">
        <v>78</v>
      </c>
      <c r="D34" s="365"/>
      <c r="E34" s="382"/>
      <c r="F34" s="382"/>
      <c r="G34" s="21">
        <f>Tendencial!T246</f>
        <v>1.4375667486337971</v>
      </c>
      <c r="H34" s="21">
        <f>Tendencial!U246</f>
        <v>1.5342759244259199</v>
      </c>
      <c r="I34" s="21">
        <f>Tendencial!V246</f>
        <v>1.5489698821615043</v>
      </c>
      <c r="J34" s="21">
        <f>Tendencial!W246</f>
        <v>1.6516688846693641</v>
      </c>
      <c r="K34" s="21">
        <f>Tendencial!X246</f>
        <v>1.7046113531386069</v>
      </c>
      <c r="L34" s="21">
        <f>Tendencial!Y246</f>
        <v>1.760018966469187</v>
      </c>
      <c r="M34" s="21">
        <f>Tendencial!Z246</f>
        <v>1.8114928731581974</v>
      </c>
      <c r="N34" s="21">
        <f>Tendencial!AA246</f>
        <v>1.8700094682138875</v>
      </c>
      <c r="O34" s="21">
        <f>Tendencial!AB246</f>
        <v>1.8620245113329545</v>
      </c>
      <c r="P34" s="21">
        <f>Tendencial!AC246</f>
        <v>1.910201434163378</v>
      </c>
      <c r="Q34" s="21">
        <f>Tendencial!AD246</f>
        <v>1.9660290822853121</v>
      </c>
      <c r="R34" s="21">
        <f>Tendencial!AE246</f>
        <v>2.0114162388684966</v>
      </c>
      <c r="S34" s="21">
        <f>Tendencial!AF246</f>
        <v>2.0560129060524481</v>
      </c>
      <c r="T34" s="21">
        <f>Tendencial!AG246</f>
        <v>2.1001340859949336</v>
      </c>
      <c r="U34" s="21">
        <f>Tendencial!AH246</f>
        <v>2.1409645586639292</v>
      </c>
      <c r="V34" s="21">
        <f>Tendencial!AI246</f>
        <v>2.1791170047896244</v>
      </c>
      <c r="W34" s="21">
        <f>Tendencial!AJ246</f>
        <v>2.2271367832778228</v>
      </c>
      <c r="X34" s="21">
        <f>Tendencial!AK246</f>
        <v>2.2734202864633479</v>
      </c>
      <c r="Y34" s="21">
        <f>Tendencial!AL246</f>
        <v>2.318642883107076</v>
      </c>
      <c r="Z34" s="21">
        <f>Tendencial!AM246</f>
        <v>2.3634635600984115</v>
      </c>
      <c r="AA34" s="21">
        <f>Tendencial!AN246</f>
        <v>2.405153075242203</v>
      </c>
      <c r="AB34" s="21">
        <f>Tendencial!AO246</f>
        <v>2.4500461967688598</v>
      </c>
      <c r="AC34" s="21">
        <f>Tendencial!AP246</f>
        <v>2.493312299476429</v>
      </c>
      <c r="AD34" s="21">
        <f>Tendencial!AQ246</f>
        <v>2.5407869355732347</v>
      </c>
      <c r="AE34" s="21">
        <f>Tendencial!AR246</f>
        <v>2.585182051549566</v>
      </c>
      <c r="AF34" s="21">
        <f>Tendencial!AS246</f>
        <v>2.6292243054450517</v>
      </c>
      <c r="AG34" s="21">
        <f>Tendencial!AT246</f>
        <v>2.6737339419183206</v>
      </c>
      <c r="AH34" s="21">
        <f>Tendencial!AU246</f>
        <v>2.7184001153920061</v>
      </c>
      <c r="AI34" s="21">
        <f>Tendencial!AV246</f>
        <v>2.765002837096155</v>
      </c>
      <c r="AJ34" s="21">
        <f>Tendencial!AW246</f>
        <v>2.8103449070310829</v>
      </c>
      <c r="AK34" s="21">
        <f>Tendencial!AX246</f>
        <v>2.8557624343411123</v>
      </c>
      <c r="AL34" s="21">
        <f>Tendencial!AY246</f>
        <v>2.9015451111720698</v>
      </c>
      <c r="AM34" s="21">
        <f>Tendencial!AZ246</f>
        <v>2.9474050676612418</v>
      </c>
      <c r="AN34" s="21">
        <f>Tendencial!BA246</f>
        <v>2.9936324276356987</v>
      </c>
      <c r="AO34" s="21">
        <f>Tendencial!BB246</f>
        <v>3.0393579548645193</v>
      </c>
      <c r="AP34" s="21">
        <f>Tendencial!BC246</f>
        <v>3.0851731348850966</v>
      </c>
      <c r="AQ34" s="21">
        <f>Tendencial!BD246</f>
        <v>3.1310485539864827</v>
      </c>
      <c r="AR34" s="21">
        <f>Tendencial!BE246</f>
        <v>3.1768888192628904</v>
      </c>
      <c r="AS34" s="21">
        <f>Tendencial!BF246</f>
        <v>3.2226062724682887</v>
      </c>
      <c r="AT34" s="21">
        <f>Tendencial!BG246</f>
        <v>3.2682335393647075</v>
      </c>
      <c r="AU34" s="21">
        <f>Tendencial!BH246</f>
        <v>3.3137742862158825</v>
      </c>
      <c r="AV34" s="21">
        <f>Tendencial!BI246</f>
        <v>3.3592139187661161</v>
      </c>
      <c r="AW34" s="21">
        <f>Tendencial!BJ246</f>
        <v>3.4044916463087369</v>
      </c>
      <c r="AX34" s="21">
        <f>Tendencial!BK246</f>
        <v>3.449584393155936</v>
      </c>
      <c r="AY34" s="21">
        <f>Tendencial!BL246</f>
        <v>3.4944528982986292</v>
      </c>
      <c r="AZ34" s="21">
        <f>Tendencial!BM246</f>
        <v>3.5391083478194312</v>
      </c>
      <c r="BA34" s="21">
        <f>Tendencial!BN246</f>
        <v>3.5835234790363106</v>
      </c>
      <c r="BB34" s="21">
        <f>Tendencial!BO246</f>
        <v>3.6276701303437191</v>
      </c>
      <c r="BC34" s="21"/>
    </row>
    <row r="35" spans="1:55" ht="14.4" x14ac:dyDescent="0.3">
      <c r="A35" s="16" t="s">
        <v>50</v>
      </c>
      <c r="B35" s="16"/>
      <c r="C35" s="31" t="s">
        <v>682</v>
      </c>
      <c r="D35" s="351"/>
      <c r="E35" s="351"/>
      <c r="F35" s="35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row>
    <row r="36" spans="1:55" ht="14.4" x14ac:dyDescent="0.3">
      <c r="A36" s="16"/>
      <c r="B36" s="16"/>
      <c r="C36" s="363" t="s">
        <v>683</v>
      </c>
      <c r="D36" s="351"/>
      <c r="E36" s="351"/>
      <c r="F36" s="35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row>
    <row r="37" spans="1:55" ht="14.4" customHeight="1" x14ac:dyDescent="0.3">
      <c r="B37" s="384" t="s">
        <v>80</v>
      </c>
      <c r="C37" s="9" t="s">
        <v>226</v>
      </c>
      <c r="D37" s="365" t="s">
        <v>207</v>
      </c>
      <c r="E37" s="364" t="s">
        <v>227</v>
      </c>
      <c r="F37" s="382" t="s">
        <v>207</v>
      </c>
      <c r="G37" s="21">
        <f>G20-G54+G70</f>
        <v>6.6176148515088835</v>
      </c>
      <c r="H37" s="21">
        <f t="shared" ref="H37:BB42" si="11">H20-H54+H70</f>
        <v>7.0208577191704835</v>
      </c>
      <c r="I37" s="21">
        <f t="shared" si="11"/>
        <v>7.0329783540655306</v>
      </c>
      <c r="J37" s="21">
        <f t="shared" si="11"/>
        <v>7.0681432458358575</v>
      </c>
      <c r="K37" s="21">
        <f t="shared" si="11"/>
        <v>7.1034839620650363</v>
      </c>
      <c r="L37" s="21">
        <f t="shared" si="11"/>
        <v>7.1390013818753602</v>
      </c>
      <c r="M37" s="21">
        <f t="shared" si="11"/>
        <v>7.1746963887847368</v>
      </c>
      <c r="N37" s="21">
        <f t="shared" si="11"/>
        <v>7.2105698707286603</v>
      </c>
      <c r="O37" s="21">
        <f t="shared" si="11"/>
        <v>7.2466227200823026</v>
      </c>
      <c r="P37" s="21">
        <f t="shared" si="11"/>
        <v>7.2828558336827136</v>
      </c>
      <c r="Q37" s="21">
        <f t="shared" si="11"/>
        <v>7.3192701128511271</v>
      </c>
      <c r="R37" s="21">
        <f t="shared" si="11"/>
        <v>7.3558664634153823</v>
      </c>
      <c r="S37" s="21">
        <f t="shared" si="11"/>
        <v>7.3926457957324585</v>
      </c>
      <c r="T37" s="21">
        <f t="shared" si="11"/>
        <v>7.4296090247111204</v>
      </c>
      <c r="U37" s="21">
        <f t="shared" si="11"/>
        <v>7.4667570698346744</v>
      </c>
      <c r="V37" s="21">
        <f t="shared" si="11"/>
        <v>7.5040908551838479</v>
      </c>
      <c r="W37" s="21">
        <f t="shared" si="11"/>
        <v>7.5416113094597659</v>
      </c>
      <c r="X37" s="21">
        <f t="shared" si="11"/>
        <v>7.5793193660070637</v>
      </c>
      <c r="Y37" s="21">
        <f t="shared" si="11"/>
        <v>7.617215962837097</v>
      </c>
      <c r="Z37" s="21">
        <f t="shared" si="11"/>
        <v>7.6553020426512814</v>
      </c>
      <c r="AA37" s="21">
        <f t="shared" si="11"/>
        <v>7.6935785528645377</v>
      </c>
      <c r="AB37" s="21">
        <f t="shared" si="11"/>
        <v>7.7320464456288596</v>
      </c>
      <c r="AC37" s="21">
        <f t="shared" si="11"/>
        <v>7.770706677857004</v>
      </c>
      <c r="AD37" s="21">
        <f t="shared" si="11"/>
        <v>7.8095602112462883</v>
      </c>
      <c r="AE37" s="21">
        <f t="shared" si="11"/>
        <v>7.8486080123025186</v>
      </c>
      <c r="AF37" s="21">
        <f t="shared" si="11"/>
        <v>7.8878510523640308</v>
      </c>
      <c r="AG37" s="21">
        <f t="shared" si="11"/>
        <v>7.9272903076258503</v>
      </c>
      <c r="AH37" s="21">
        <f t="shared" si="11"/>
        <v>7.9669267591639787</v>
      </c>
      <c r="AI37" s="21">
        <f t="shared" si="11"/>
        <v>8.0067613929597972</v>
      </c>
      <c r="AJ37" s="21">
        <f t="shared" si="11"/>
        <v>8.0467951999245955</v>
      </c>
      <c r="AK37" s="21">
        <f t="shared" si="11"/>
        <v>8.0870291759242185</v>
      </c>
      <c r="AL37" s="21">
        <f t="shared" si="11"/>
        <v>8.1274643218038385</v>
      </c>
      <c r="AM37" s="21">
        <f t="shared" si="11"/>
        <v>8.1681016434128573</v>
      </c>
      <c r="AN37" s="21">
        <f t="shared" si="11"/>
        <v>8.2089421516299197</v>
      </c>
      <c r="AO37" s="21">
        <f t="shared" si="11"/>
        <v>8.2499868623880666</v>
      </c>
      <c r="AP37" s="21">
        <f t="shared" si="11"/>
        <v>8.2912367967000087</v>
      </c>
      <c r="AQ37" s="21">
        <f t="shared" si="11"/>
        <v>8.3326929806835075</v>
      </c>
      <c r="AR37" s="21">
        <f t="shared" si="11"/>
        <v>8.3743564455869244</v>
      </c>
      <c r="AS37" s="21">
        <f t="shared" si="11"/>
        <v>8.4162282278148588</v>
      </c>
      <c r="AT37" s="21">
        <f t="shared" si="11"/>
        <v>8.4583093689539304</v>
      </c>
      <c r="AU37" s="21">
        <f t="shared" si="11"/>
        <v>8.5006009157986995</v>
      </c>
      <c r="AV37" s="21">
        <f t="shared" si="11"/>
        <v>8.5431039203776926</v>
      </c>
      <c r="AW37" s="21">
        <f t="shared" si="11"/>
        <v>8.5858194399795806</v>
      </c>
      <c r="AX37" s="21">
        <f t="shared" si="11"/>
        <v>8.6287485371794777</v>
      </c>
      <c r="AY37" s="21">
        <f t="shared" si="11"/>
        <v>8.6718922798653715</v>
      </c>
      <c r="AZ37" s="21">
        <f t="shared" si="11"/>
        <v>8.7152517412646997</v>
      </c>
      <c r="BA37" s="21">
        <f t="shared" si="11"/>
        <v>8.7588279999710217</v>
      </c>
      <c r="BB37" s="21">
        <f t="shared" si="11"/>
        <v>8.8026221399708753</v>
      </c>
      <c r="BC37" s="21"/>
    </row>
    <row r="38" spans="1:55" ht="14.4" x14ac:dyDescent="0.3">
      <c r="B38" s="384"/>
      <c r="C38" s="9" t="s">
        <v>82</v>
      </c>
      <c r="D38" s="365"/>
      <c r="E38" s="364"/>
      <c r="F38" s="382"/>
      <c r="G38" s="21">
        <f t="shared" ref="G38:V45" si="12">G21-G55+G71</f>
        <v>0.36113924042685236</v>
      </c>
      <c r="H38" s="21">
        <f t="shared" si="12"/>
        <v>0.38554649505709726</v>
      </c>
      <c r="I38" s="21">
        <f t="shared" si="12"/>
        <v>0.3882085942973188</v>
      </c>
      <c r="J38" s="21">
        <f t="shared" si="12"/>
        <v>0.4215490330926891</v>
      </c>
      <c r="K38" s="21">
        <f t="shared" si="12"/>
        <v>0.44267460750667526</v>
      </c>
      <c r="L38" s="21">
        <f t="shared" si="12"/>
        <v>0.46498337459084715</v>
      </c>
      <c r="M38" s="21">
        <f t="shared" si="12"/>
        <v>0.48676982751357745</v>
      </c>
      <c r="N38" s="21">
        <f t="shared" si="12"/>
        <v>0.51103504042142656</v>
      </c>
      <c r="O38" s="21">
        <f t="shared" si="12"/>
        <v>0.51725391762578488</v>
      </c>
      <c r="P38" s="21">
        <f t="shared" si="12"/>
        <v>0.53950312529267652</v>
      </c>
      <c r="Q38" s="21">
        <f t="shared" si="12"/>
        <v>0.56449747085895163</v>
      </c>
      <c r="R38" s="21">
        <f t="shared" si="12"/>
        <v>0.58703785698920685</v>
      </c>
      <c r="S38" s="21">
        <f t="shared" si="12"/>
        <v>0.60987488152968949</v>
      </c>
      <c r="T38" s="21">
        <f t="shared" si="12"/>
        <v>0.63344223172889014</v>
      </c>
      <c r="U38" s="21">
        <f t="shared" si="12"/>
        <v>0.64402427283385288</v>
      </c>
      <c r="V38" s="21">
        <f t="shared" si="12"/>
        <v>0.65363235303790712</v>
      </c>
      <c r="W38" s="21">
        <f t="shared" si="11"/>
        <v>0.66656610406944927</v>
      </c>
      <c r="X38" s="21">
        <f t="shared" si="11"/>
        <v>0.67886304886672222</v>
      </c>
      <c r="Y38" s="21">
        <f t="shared" si="11"/>
        <v>0.69074705383090962</v>
      </c>
      <c r="Z38" s="21">
        <f t="shared" si="11"/>
        <v>0.70244143727742414</v>
      </c>
      <c r="AA38" s="21">
        <f t="shared" si="11"/>
        <v>0.71300065890592434</v>
      </c>
      <c r="AB38" s="21">
        <f t="shared" si="11"/>
        <v>0.7246228878386648</v>
      </c>
      <c r="AC38" s="21">
        <f t="shared" si="11"/>
        <v>0.73563070073472758</v>
      </c>
      <c r="AD38" s="21">
        <f t="shared" si="11"/>
        <v>0.74806691884124843</v>
      </c>
      <c r="AE38" s="21">
        <f t="shared" si="11"/>
        <v>0.75938012989281245</v>
      </c>
      <c r="AF38" s="21">
        <f t="shared" si="11"/>
        <v>0.77052455405433418</v>
      </c>
      <c r="AG38" s="21">
        <f t="shared" si="11"/>
        <v>0.78179052528000659</v>
      </c>
      <c r="AH38" s="21">
        <f t="shared" si="11"/>
        <v>0.79306966066684326</v>
      </c>
      <c r="AI38" s="21">
        <f t="shared" si="11"/>
        <v>0.8049998609812743</v>
      </c>
      <c r="AJ38" s="21">
        <f t="shared" si="11"/>
        <v>0.81644474114796162</v>
      </c>
      <c r="AK38" s="21">
        <f t="shared" si="11"/>
        <v>0.82788206195101255</v>
      </c>
      <c r="AL38" s="21">
        <f t="shared" si="11"/>
        <v>0.83941875796999232</v>
      </c>
      <c r="AM38" s="21">
        <f t="shared" si="11"/>
        <v>0.85095439434418951</v>
      </c>
      <c r="AN38" s="21">
        <f t="shared" si="11"/>
        <v>0.86259749414323905</v>
      </c>
      <c r="AO38" s="21">
        <f t="shared" si="11"/>
        <v>0.87403491486850782</v>
      </c>
      <c r="AP38" s="21">
        <f t="shared" si="11"/>
        <v>0.88548440978103482</v>
      </c>
      <c r="AQ38" s="21">
        <f t="shared" si="11"/>
        <v>0.89693867952308881</v>
      </c>
      <c r="AR38" s="21">
        <f t="shared" si="11"/>
        <v>0.90836608146240294</v>
      </c>
      <c r="AS38" s="21">
        <f t="shared" si="11"/>
        <v>0.91973749450472531</v>
      </c>
      <c r="AT38" s="21">
        <f t="shared" si="11"/>
        <v>0.93106830939770546</v>
      </c>
      <c r="AU38" s="21">
        <f t="shared" si="11"/>
        <v>0.94236346898188983</v>
      </c>
      <c r="AV38" s="21">
        <f t="shared" si="11"/>
        <v>0.95362127473160174</v>
      </c>
      <c r="AW38" s="21">
        <f t="shared" si="11"/>
        <v>0.96482271933936725</v>
      </c>
      <c r="AX38" s="21">
        <f t="shared" si="11"/>
        <v>0.97596290249673912</v>
      </c>
      <c r="AY38" s="21">
        <f t="shared" si="11"/>
        <v>0.98703082354118354</v>
      </c>
      <c r="AZ38" s="21">
        <f t="shared" si="11"/>
        <v>0.9980347000847809</v>
      </c>
      <c r="BA38" s="21">
        <f t="shared" si="11"/>
        <v>1.0089682759556009</v>
      </c>
      <c r="BB38" s="21">
        <f t="shared" si="11"/>
        <v>1.0198249694578587</v>
      </c>
      <c r="BC38" s="21"/>
    </row>
    <row r="39" spans="1:55" ht="14.4" x14ac:dyDescent="0.3">
      <c r="B39" s="384"/>
      <c r="C39" s="9" t="s">
        <v>83</v>
      </c>
      <c r="D39" s="365"/>
      <c r="E39" s="364"/>
      <c r="F39" s="382"/>
      <c r="G39" s="21">
        <f t="shared" si="12"/>
        <v>7.4548402408907161E-3</v>
      </c>
      <c r="H39" s="21">
        <f t="shared" si="11"/>
        <v>7.9309410274732151E-3</v>
      </c>
      <c r="I39" s="21">
        <f t="shared" si="11"/>
        <v>7.9651725894618608E-3</v>
      </c>
      <c r="J39" s="21">
        <f t="shared" si="11"/>
        <v>8.4679754163162896E-3</v>
      </c>
      <c r="K39" s="21">
        <f t="shared" si="11"/>
        <v>8.7027946725848973E-3</v>
      </c>
      <c r="L39" s="21">
        <f t="shared" si="11"/>
        <v>8.9488184273486399E-3</v>
      </c>
      <c r="M39" s="21">
        <f t="shared" si="11"/>
        <v>9.1719067808462649E-3</v>
      </c>
      <c r="N39" s="21">
        <f t="shared" si="11"/>
        <v>9.4304976552592786E-3</v>
      </c>
      <c r="O39" s="21">
        <f t="shared" si="11"/>
        <v>9.3354189953315705E-3</v>
      </c>
      <c r="P39" s="21">
        <f t="shared" si="11"/>
        <v>9.5361167244256799E-3</v>
      </c>
      <c r="Q39" s="21">
        <f t="shared" si="11"/>
        <v>9.7753082795792312E-3</v>
      </c>
      <c r="R39" s="21">
        <f t="shared" si="11"/>
        <v>9.9577980505504184E-3</v>
      </c>
      <c r="S39" s="21">
        <f t="shared" si="11"/>
        <v>1.0134525279926946E-2</v>
      </c>
      <c r="T39" s="21">
        <f t="shared" si="11"/>
        <v>1.0307201144456022E-2</v>
      </c>
      <c r="U39" s="21">
        <f t="shared" si="11"/>
        <v>1.0460773496426759E-2</v>
      </c>
      <c r="V39" s="21">
        <f t="shared" si="11"/>
        <v>1.0598859579653629E-2</v>
      </c>
      <c r="W39" s="21">
        <f t="shared" si="11"/>
        <v>1.078671543175432E-2</v>
      </c>
      <c r="X39" s="21">
        <f t="shared" si="11"/>
        <v>1.0963895963100816E-2</v>
      </c>
      <c r="Y39" s="21">
        <f t="shared" si="11"/>
        <v>1.1133916646801242E-2</v>
      </c>
      <c r="Z39" s="21">
        <f t="shared" si="11"/>
        <v>1.1300199144584496E-2</v>
      </c>
      <c r="AA39" s="21">
        <f t="shared" si="11"/>
        <v>1.1448820522108827E-2</v>
      </c>
      <c r="AB39" s="21">
        <f t="shared" si="11"/>
        <v>1.1612342621649358E-2</v>
      </c>
      <c r="AC39" s="21">
        <f t="shared" si="11"/>
        <v>1.1765992588029716E-2</v>
      </c>
      <c r="AD39" s="21">
        <f t="shared" si="11"/>
        <v>1.1939582454264682E-2</v>
      </c>
      <c r="AE39" s="21">
        <f t="shared" si="11"/>
        <v>1.2095910881464804E-2</v>
      </c>
      <c r="AF39" s="21">
        <f t="shared" si="11"/>
        <v>1.224894395702595E-2</v>
      </c>
      <c r="AG39" s="21">
        <f t="shared" si="11"/>
        <v>1.240286066569009E-2</v>
      </c>
      <c r="AH39" s="21">
        <f t="shared" si="11"/>
        <v>1.2556088242830783E-2</v>
      </c>
      <c r="AI39" s="21">
        <f t="shared" si="11"/>
        <v>1.2717611625905092E-2</v>
      </c>
      <c r="AJ39" s="21">
        <f t="shared" si="11"/>
        <v>1.2871315588142581E-2</v>
      </c>
      <c r="AK39" s="21">
        <f t="shared" si="11"/>
        <v>1.3023967627506081E-2</v>
      </c>
      <c r="AL39" s="21">
        <f t="shared" si="11"/>
        <v>1.3177036755402894E-2</v>
      </c>
      <c r="AM39" s="21">
        <f t="shared" si="11"/>
        <v>1.332909795303331E-2</v>
      </c>
      <c r="AN39" s="21">
        <f t="shared" si="11"/>
        <v>1.3481621697548062E-2</v>
      </c>
      <c r="AO39" s="21">
        <f t="shared" si="11"/>
        <v>1.3630297165699063E-2</v>
      </c>
      <c r="AP39" s="21">
        <f t="shared" si="11"/>
        <v>1.377810445618812E-2</v>
      </c>
      <c r="AQ39" s="21">
        <f t="shared" si="11"/>
        <v>1.3924922683496769E-2</v>
      </c>
      <c r="AR39" s="21">
        <f t="shared" si="11"/>
        <v>1.4070306553314959E-2</v>
      </c>
      <c r="AS39" s="21">
        <f t="shared" si="11"/>
        <v>1.4213853505790826E-2</v>
      </c>
      <c r="AT39" s="21">
        <f t="shared" si="11"/>
        <v>1.4355758386661768E-2</v>
      </c>
      <c r="AU39" s="21">
        <f t="shared" si="11"/>
        <v>1.4496073044310515E-2</v>
      </c>
      <c r="AV39" s="21">
        <f t="shared" si="11"/>
        <v>1.4634760226621605E-2</v>
      </c>
      <c r="AW39" s="21">
        <f t="shared" si="11"/>
        <v>1.4771557439292824E-2</v>
      </c>
      <c r="AX39" s="21">
        <f t="shared" si="11"/>
        <v>1.4906389723166026E-2</v>
      </c>
      <c r="AY39" s="21">
        <f t="shared" si="11"/>
        <v>1.5039104551881219E-2</v>
      </c>
      <c r="AZ39" s="21">
        <f t="shared" si="11"/>
        <v>1.5169797671688799E-2</v>
      </c>
      <c r="BA39" s="21">
        <f t="shared" si="11"/>
        <v>1.5298377905599131E-2</v>
      </c>
      <c r="BB39" s="21">
        <f t="shared" si="11"/>
        <v>1.5424751286648298E-2</v>
      </c>
      <c r="BC39" s="21"/>
    </row>
    <row r="40" spans="1:55" ht="14.4" x14ac:dyDescent="0.3">
      <c r="B40" s="384"/>
      <c r="C40" s="9" t="s">
        <v>84</v>
      </c>
      <c r="D40" s="365"/>
      <c r="E40" s="364"/>
      <c r="F40" s="382"/>
      <c r="G40" s="21">
        <f t="shared" si="12"/>
        <v>9.1918462572518376</v>
      </c>
      <c r="H40" s="21">
        <f t="shared" si="11"/>
        <v>9.7773850526807866</v>
      </c>
      <c r="I40" s="21">
        <f t="shared" si="11"/>
        <v>9.8198030344444778</v>
      </c>
      <c r="J40" s="21">
        <f t="shared" si="11"/>
        <v>10.436326251271314</v>
      </c>
      <c r="K40" s="21">
        <f t="shared" si="11"/>
        <v>10.463536922451556</v>
      </c>
      <c r="L40" s="21">
        <f t="shared" si="11"/>
        <v>10.490815994821787</v>
      </c>
      <c r="M40" s="21">
        <f t="shared" si="11"/>
        <v>10.518163639075933</v>
      </c>
      <c r="N40" s="21">
        <f t="shared" si="11"/>
        <v>10.545580026307164</v>
      </c>
      <c r="O40" s="21">
        <f t="shared" si="11"/>
        <v>10.573065328008765</v>
      </c>
      <c r="P40" s="21">
        <f t="shared" si="11"/>
        <v>10.600619716074988</v>
      </c>
      <c r="Q40" s="21">
        <f t="shared" si="11"/>
        <v>10.628243362801911</v>
      </c>
      <c r="R40" s="21">
        <f t="shared" si="11"/>
        <v>10.655936440888315</v>
      </c>
      <c r="S40" s="21">
        <f t="shared" si="11"/>
        <v>10.683699123436526</v>
      </c>
      <c r="T40" s="21">
        <f t="shared" si="11"/>
        <v>10.711538671722634</v>
      </c>
      <c r="U40" s="21">
        <f t="shared" si="11"/>
        <v>10.739449116541039</v>
      </c>
      <c r="V40" s="21">
        <f t="shared" si="11"/>
        <v>10.767430632138309</v>
      </c>
      <c r="W40" s="21">
        <f t="shared" si="11"/>
        <v>10.795483393168128</v>
      </c>
      <c r="X40" s="21">
        <f t="shared" si="11"/>
        <v>10.823607574692179</v>
      </c>
      <c r="Y40" s="21">
        <f t="shared" si="11"/>
        <v>10.851803352181006</v>
      </c>
      <c r="Z40" s="21">
        <f t="shared" si="11"/>
        <v>10.8800709015149</v>
      </c>
      <c r="AA40" s="21">
        <f t="shared" si="11"/>
        <v>10.908410398984762</v>
      </c>
      <c r="AB40" s="21">
        <f t="shared" si="11"/>
        <v>10.93682202129299</v>
      </c>
      <c r="AC40" s="21">
        <f t="shared" si="11"/>
        <v>10.965305945554356</v>
      </c>
      <c r="AD40" s="21">
        <f t="shared" si="11"/>
        <v>10.99386234929689</v>
      </c>
      <c r="AE40" s="21">
        <f t="shared" si="11"/>
        <v>11.02249141046275</v>
      </c>
      <c r="AF40" s="21">
        <f t="shared" si="11"/>
        <v>11.051193307409118</v>
      </c>
      <c r="AG40" s="21">
        <f t="shared" si="11"/>
        <v>11.079968218909087</v>
      </c>
      <c r="AH40" s="21">
        <f t="shared" si="11"/>
        <v>11.10881632415254</v>
      </c>
      <c r="AI40" s="21">
        <f t="shared" si="11"/>
        <v>11.137737802747035</v>
      </c>
      <c r="AJ40" s="21">
        <f t="shared" si="11"/>
        <v>11.16673283471871</v>
      </c>
      <c r="AK40" s="21">
        <f t="shared" si="11"/>
        <v>11.195801600513162</v>
      </c>
      <c r="AL40" s="21">
        <f t="shared" si="11"/>
        <v>11.224944280996345</v>
      </c>
      <c r="AM40" s="21">
        <f t="shared" si="11"/>
        <v>11.254161057455466</v>
      </c>
      <c r="AN40" s="21">
        <f t="shared" si="11"/>
        <v>11.283452111599878</v>
      </c>
      <c r="AO40" s="21">
        <f t="shared" si="11"/>
        <v>11.312817625561983</v>
      </c>
      <c r="AP40" s="21">
        <f t="shared" si="11"/>
        <v>11.342257781898123</v>
      </c>
      <c r="AQ40" s="21">
        <f t="shared" si="11"/>
        <v>11.371772763589492</v>
      </c>
      <c r="AR40" s="21">
        <f t="shared" si="11"/>
        <v>11.401362754043031</v>
      </c>
      <c r="AS40" s="21">
        <f t="shared" si="11"/>
        <v>11.431027937092338</v>
      </c>
      <c r="AT40" s="21">
        <f t="shared" si="11"/>
        <v>11.460768496998563</v>
      </c>
      <c r="AU40" s="21">
        <f t="shared" si="11"/>
        <v>11.490584618451333</v>
      </c>
      <c r="AV40" s="21">
        <f t="shared" si="11"/>
        <v>11.520476486569645</v>
      </c>
      <c r="AW40" s="21">
        <f t="shared" si="11"/>
        <v>11.550444286902788</v>
      </c>
      <c r="AX40" s="21">
        <f t="shared" si="11"/>
        <v>11.580488205431248</v>
      </c>
      <c r="AY40" s="21">
        <f t="shared" si="11"/>
        <v>11.610608428567621</v>
      </c>
      <c r="AZ40" s="21">
        <f t="shared" si="11"/>
        <v>11.640805143157539</v>
      </c>
      <c r="BA40" s="21">
        <f t="shared" si="11"/>
        <v>11.671078536480573</v>
      </c>
      <c r="BB40" s="21">
        <f t="shared" si="11"/>
        <v>11.701428796251166</v>
      </c>
      <c r="BC40" s="21"/>
    </row>
    <row r="41" spans="1:55" ht="14.4" x14ac:dyDescent="0.3">
      <c r="B41" s="384"/>
      <c r="C41" s="9" t="s">
        <v>85</v>
      </c>
      <c r="D41" s="365"/>
      <c r="E41" s="364"/>
      <c r="F41" s="382"/>
      <c r="G41" s="21">
        <f t="shared" si="12"/>
        <v>1.8829251028288905</v>
      </c>
      <c r="H41" s="21">
        <f t="shared" si="11"/>
        <v>2.0071079895573583</v>
      </c>
      <c r="I41" s="21">
        <f t="shared" si="11"/>
        <v>2.0200813459494822</v>
      </c>
      <c r="J41" s="21">
        <f t="shared" si="11"/>
        <v>2.151450644725716</v>
      </c>
      <c r="K41" s="21">
        <f t="shared" si="11"/>
        <v>2.2153713797596195</v>
      </c>
      <c r="L41" s="21">
        <f t="shared" si="11"/>
        <v>2.2822839118272658</v>
      </c>
      <c r="M41" s="21">
        <f t="shared" si="11"/>
        <v>2.3435683612215867</v>
      </c>
      <c r="N41" s="21">
        <f t="shared" si="11"/>
        <v>2.4139686415720769</v>
      </c>
      <c r="O41" s="21">
        <f t="shared" si="11"/>
        <v>2.3952858308906038</v>
      </c>
      <c r="P41" s="21">
        <f t="shared" si="11"/>
        <v>2.4513849576118218</v>
      </c>
      <c r="Q41" s="21">
        <f t="shared" si="11"/>
        <v>2.5173671626298217</v>
      </c>
      <c r="R41" s="21">
        <f t="shared" si="11"/>
        <v>2.5691676056405601</v>
      </c>
      <c r="S41" s="21">
        <f t="shared" si="11"/>
        <v>2.6196589593152715</v>
      </c>
      <c r="T41" s="21">
        <f t="shared" si="11"/>
        <v>2.6692716851341793</v>
      </c>
      <c r="U41" s="21">
        <f t="shared" si="11"/>
        <v>2.7141993272849132</v>
      </c>
      <c r="V41" s="21">
        <f t="shared" si="11"/>
        <v>2.7553527906614863</v>
      </c>
      <c r="W41" s="21">
        <f t="shared" si="11"/>
        <v>2.8092276662483266</v>
      </c>
      <c r="X41" s="21">
        <f t="shared" si="11"/>
        <v>2.8605400426559275</v>
      </c>
      <c r="Y41" s="21">
        <f t="shared" si="11"/>
        <v>2.9101772509585788</v>
      </c>
      <c r="Z41" s="21">
        <f t="shared" si="11"/>
        <v>2.959002199633797</v>
      </c>
      <c r="AA41" s="21">
        <f t="shared" si="11"/>
        <v>3.003493981464584</v>
      </c>
      <c r="AB41" s="21">
        <f t="shared" si="11"/>
        <v>3.0518794967509071</v>
      </c>
      <c r="AC41" s="21">
        <f t="shared" si="11"/>
        <v>3.0978953225357717</v>
      </c>
      <c r="AD41" s="21">
        <f t="shared" si="11"/>
        <v>3.1490720824615273</v>
      </c>
      <c r="AE41" s="21">
        <f t="shared" si="11"/>
        <v>3.1960071005602386</v>
      </c>
      <c r="AF41" s="21">
        <f t="shared" si="11"/>
        <v>3.2422265906206706</v>
      </c>
      <c r="AG41" s="21">
        <f t="shared" si="11"/>
        <v>3.2887835989542031</v>
      </c>
      <c r="AH41" s="21">
        <f t="shared" si="11"/>
        <v>3.3352784456632558</v>
      </c>
      <c r="AI41" s="21">
        <f t="shared" si="11"/>
        <v>3.3839752678513069</v>
      </c>
      <c r="AJ41" s="21">
        <f t="shared" si="11"/>
        <v>3.4308023741897391</v>
      </c>
      <c r="AK41" s="21">
        <f t="shared" si="11"/>
        <v>3.4774643689669227</v>
      </c>
      <c r="AL41" s="21">
        <f t="shared" si="11"/>
        <v>3.524327562450519</v>
      </c>
      <c r="AM41" s="21">
        <f t="shared" si="11"/>
        <v>3.5710281606608056</v>
      </c>
      <c r="AN41" s="21">
        <f t="shared" si="11"/>
        <v>3.6179320950431659</v>
      </c>
      <c r="AO41" s="21">
        <f t="shared" si="11"/>
        <v>3.663948797044307</v>
      </c>
      <c r="AP41" s="21">
        <f t="shared" si="11"/>
        <v>3.7098243625933165</v>
      </c>
      <c r="AQ41" s="21">
        <f t="shared" si="11"/>
        <v>3.7555232746400069</v>
      </c>
      <c r="AR41" s="21">
        <f t="shared" si="11"/>
        <v>3.8009283171932178</v>
      </c>
      <c r="AS41" s="21">
        <f t="shared" si="11"/>
        <v>3.8459330627545101</v>
      </c>
      <c r="AT41" s="21">
        <f t="shared" si="11"/>
        <v>3.8905811339697642</v>
      </c>
      <c r="AU41" s="21">
        <f t="shared" si="11"/>
        <v>3.934879970562422</v>
      </c>
      <c r="AV41" s="21">
        <f t="shared" si="11"/>
        <v>3.9788144498938087</v>
      </c>
      <c r="AW41" s="21">
        <f t="shared" si="11"/>
        <v>4.0223128513278068</v>
      </c>
      <c r="AX41" s="21">
        <f t="shared" si="11"/>
        <v>4.0653504169277923</v>
      </c>
      <c r="AY41" s="21">
        <f t="shared" si="11"/>
        <v>4.107882867643994</v>
      </c>
      <c r="AZ41" s="21">
        <f t="shared" si="11"/>
        <v>4.1499279372286351</v>
      </c>
      <c r="BA41" s="21">
        <f t="shared" si="11"/>
        <v>4.1914564306462134</v>
      </c>
      <c r="BB41" s="21">
        <f t="shared" si="11"/>
        <v>4.2324383707746183</v>
      </c>
      <c r="BC41" s="21"/>
    </row>
    <row r="42" spans="1:55" ht="14.4" x14ac:dyDescent="0.3">
      <c r="B42" s="384"/>
      <c r="C42" s="9" t="s">
        <v>86</v>
      </c>
      <c r="D42" s="365"/>
      <c r="E42" s="364"/>
      <c r="F42" s="382"/>
      <c r="G42" s="21">
        <f t="shared" si="12"/>
        <v>2.0318641294869884</v>
      </c>
      <c r="H42" s="21">
        <f t="shared" si="11"/>
        <v>2.1619842994558089</v>
      </c>
      <c r="I42" s="21">
        <f t="shared" si="11"/>
        <v>2.1719905350761777</v>
      </c>
      <c r="J42" s="21">
        <f t="shared" si="11"/>
        <v>2.3091538902870905</v>
      </c>
      <c r="K42" s="21">
        <f t="shared" si="11"/>
        <v>2.373507752906042</v>
      </c>
      <c r="L42" s="21">
        <f t="shared" si="11"/>
        <v>2.4408421992694214</v>
      </c>
      <c r="M42" s="21">
        <f t="shared" si="11"/>
        <v>2.501922755482759</v>
      </c>
      <c r="N42" s="21">
        <f t="shared" si="11"/>
        <v>2.5725272282741569</v>
      </c>
      <c r="O42" s="21">
        <f t="shared" si="11"/>
        <v>2.5478630126767916</v>
      </c>
      <c r="P42" s="21">
        <f t="shared" si="11"/>
        <v>2.6028907711976212</v>
      </c>
      <c r="Q42" s="21">
        <f t="shared" si="11"/>
        <v>2.6682309766699559</v>
      </c>
      <c r="R42" s="21">
        <f t="shared" si="11"/>
        <v>2.7182880519569728</v>
      </c>
      <c r="S42" s="21">
        <f t="shared" si="11"/>
        <v>2.7667764106547184</v>
      </c>
      <c r="T42" s="21">
        <f t="shared" si="11"/>
        <v>2.8141586058864951</v>
      </c>
      <c r="U42" s="21">
        <f t="shared" si="11"/>
        <v>2.8564156592391798</v>
      </c>
      <c r="V42" s="21">
        <f t="shared" si="11"/>
        <v>2.8945317552259886</v>
      </c>
      <c r="W42" s="21">
        <f t="shared" si="11"/>
        <v>2.9459109263355159</v>
      </c>
      <c r="X42" s="21">
        <f t="shared" si="11"/>
        <v>2.9944099601469425</v>
      </c>
      <c r="Y42" s="21">
        <f t="shared" si="11"/>
        <v>3.0409738207926162</v>
      </c>
      <c r="Z42" s="21">
        <f t="shared" si="11"/>
        <v>3.0865164926688973</v>
      </c>
      <c r="AA42" s="21">
        <f t="shared" si="11"/>
        <v>3.1273529230243851</v>
      </c>
      <c r="AB42" s="21">
        <f t="shared" si="11"/>
        <v>3.1721121582007705</v>
      </c>
      <c r="AC42" s="21">
        <f t="shared" si="11"/>
        <v>3.2142328830839713</v>
      </c>
      <c r="AD42" s="21">
        <f t="shared" si="11"/>
        <v>3.2615838397353833</v>
      </c>
      <c r="AE42" s="21">
        <f t="shared" si="11"/>
        <v>3.3043462453802239</v>
      </c>
      <c r="AF42" s="21">
        <f t="shared" si="11"/>
        <v>3.3462086831888378</v>
      </c>
      <c r="AG42" s="21">
        <f t="shared" si="11"/>
        <v>3.3882691931093598</v>
      </c>
      <c r="AH42" s="21">
        <f t="shared" si="11"/>
        <v>3.4301124136959515</v>
      </c>
      <c r="AI42" s="21">
        <f t="shared" si="11"/>
        <v>3.4740852585642084</v>
      </c>
      <c r="AJ42" s="21">
        <f t="shared" si="11"/>
        <v>3.5159667906282239</v>
      </c>
      <c r="AK42" s="21">
        <f t="shared" si="11"/>
        <v>3.5575272645301101</v>
      </c>
      <c r="AL42" s="21">
        <f t="shared" si="11"/>
        <v>3.5991464220861644</v>
      </c>
      <c r="AM42" s="21">
        <f t="shared" si="11"/>
        <v>3.6404497507525675</v>
      </c>
      <c r="AN42" s="21">
        <f t="shared" si="11"/>
        <v>3.681815626731916</v>
      </c>
      <c r="AO42" s="21">
        <f t="shared" si="11"/>
        <v>3.7221239376880422</v>
      </c>
      <c r="AP42" s="21">
        <f t="shared" si="11"/>
        <v>3.7621452203584416</v>
      </c>
      <c r="AQ42" s="21">
        <f t="shared" ref="H42:BB45" si="13">AQ25-AQ59+AQ75</f>
        <v>3.8018449809152868</v>
      </c>
      <c r="AR42" s="21">
        <f t="shared" si="13"/>
        <v>3.8411053618803215</v>
      </c>
      <c r="AS42" s="21">
        <f t="shared" si="13"/>
        <v>3.8798202131360378</v>
      </c>
      <c r="AT42" s="21">
        <f t="shared" si="13"/>
        <v>3.9180371282806732</v>
      </c>
      <c r="AU42" s="21">
        <f t="shared" si="13"/>
        <v>3.9557666155962243</v>
      </c>
      <c r="AV42" s="21">
        <f t="shared" si="13"/>
        <v>3.9929962098192058</v>
      </c>
      <c r="AW42" s="21">
        <f t="shared" si="13"/>
        <v>4.0296560286909671</v>
      </c>
      <c r="AX42" s="21">
        <f t="shared" si="13"/>
        <v>4.0657242774459696</v>
      </c>
      <c r="AY42" s="21">
        <f t="shared" si="13"/>
        <v>4.1011595302150798</v>
      </c>
      <c r="AZ42" s="21">
        <f t="shared" si="13"/>
        <v>4.1359834094014598</v>
      </c>
      <c r="BA42" s="21">
        <f t="shared" si="13"/>
        <v>4.1701700165721247</v>
      </c>
      <c r="BB42" s="21">
        <f t="shared" si="13"/>
        <v>4.2036928420307182</v>
      </c>
      <c r="BC42" s="21"/>
    </row>
    <row r="43" spans="1:55" ht="14.4" x14ac:dyDescent="0.3">
      <c r="B43" s="384"/>
      <c r="C43" s="9" t="s">
        <v>87</v>
      </c>
      <c r="D43" s="365"/>
      <c r="E43" s="364"/>
      <c r="F43" s="382"/>
      <c r="G43" s="21">
        <f t="shared" si="12"/>
        <v>2.6954272462386786E-2</v>
      </c>
      <c r="H43" s="21">
        <f t="shared" si="13"/>
        <v>2.856693671726622E-2</v>
      </c>
      <c r="I43" s="21">
        <f t="shared" si="13"/>
        <v>2.8586445371470835E-2</v>
      </c>
      <c r="J43" s="21">
        <f t="shared" si="13"/>
        <v>3.0270601402522322E-2</v>
      </c>
      <c r="K43" s="21">
        <f t="shared" si="13"/>
        <v>3.0990926994803512E-2</v>
      </c>
      <c r="L43" s="21">
        <f t="shared" si="13"/>
        <v>3.1743591334776201E-2</v>
      </c>
      <c r="M43" s="21">
        <f t="shared" si="13"/>
        <v>3.2408757503608339E-2</v>
      </c>
      <c r="N43" s="21">
        <f t="shared" si="13"/>
        <v>3.3190572493659247E-2</v>
      </c>
      <c r="O43" s="21">
        <f t="shared" si="13"/>
        <v>3.2744535130764515E-2</v>
      </c>
      <c r="P43" s="21">
        <f t="shared" si="13"/>
        <v>3.3318954462652414E-2</v>
      </c>
      <c r="Q43" s="21">
        <f t="shared" si="13"/>
        <v>3.4019253176190895E-2</v>
      </c>
      <c r="R43" s="21">
        <f t="shared" si="13"/>
        <v>3.4519859093420785E-2</v>
      </c>
      <c r="S43" s="21">
        <f t="shared" si="13"/>
        <v>3.4996103928644023E-2</v>
      </c>
      <c r="T43" s="21">
        <f t="shared" si="13"/>
        <v>3.5454068976098041E-2</v>
      </c>
      <c r="U43" s="21">
        <f t="shared" si="13"/>
        <v>3.5843747441412971E-2</v>
      </c>
      <c r="V43" s="21">
        <f t="shared" si="13"/>
        <v>3.6178224343330512E-2</v>
      </c>
      <c r="W43" s="21">
        <f t="shared" si="13"/>
        <v>3.6673751313294478E-2</v>
      </c>
      <c r="X43" s="21">
        <f t="shared" si="13"/>
        <v>3.7129131853215459E-2</v>
      </c>
      <c r="Y43" s="21">
        <f t="shared" si="13"/>
        <v>3.7556453024845921E-2</v>
      </c>
      <c r="Z43" s="21">
        <f t="shared" si="13"/>
        <v>3.7967218356617503E-2</v>
      </c>
      <c r="AA43" s="21">
        <f t="shared" si="13"/>
        <v>3.8316746206421476E-2</v>
      </c>
      <c r="AB43" s="21">
        <f t="shared" si="13"/>
        <v>3.8710394950090557E-2</v>
      </c>
      <c r="AC43" s="21">
        <f t="shared" si="13"/>
        <v>3.9068372878727081E-2</v>
      </c>
      <c r="AD43" s="21">
        <f t="shared" si="13"/>
        <v>3.9485673612661996E-2</v>
      </c>
      <c r="AE43" s="21">
        <f t="shared" si="13"/>
        <v>3.9844010828634716E-2</v>
      </c>
      <c r="AF43" s="21">
        <f t="shared" si="13"/>
        <v>4.0188059964220355E-2</v>
      </c>
      <c r="AG43" s="21">
        <f t="shared" si="13"/>
        <v>4.0531002024589084E-2</v>
      </c>
      <c r="AH43" s="21">
        <f t="shared" si="13"/>
        <v>4.0867917118047728E-2</v>
      </c>
      <c r="AI43" s="21">
        <f t="shared" si="13"/>
        <v>4.1226451174426228E-2</v>
      </c>
      <c r="AJ43" s="21">
        <f t="shared" si="13"/>
        <v>4.1556870776191059E-2</v>
      </c>
      <c r="AK43" s="21">
        <f t="shared" si="13"/>
        <v>4.1880146196855643E-2</v>
      </c>
      <c r="AL43" s="21">
        <f t="shared" si="13"/>
        <v>4.2200746270537902E-2</v>
      </c>
      <c r="AM43" s="21">
        <f t="shared" si="13"/>
        <v>4.2514346132285857E-2</v>
      </c>
      <c r="AN43" s="21">
        <f t="shared" si="13"/>
        <v>4.2825358257742849E-2</v>
      </c>
      <c r="AO43" s="21">
        <f t="shared" si="13"/>
        <v>4.3120953319762463E-2</v>
      </c>
      <c r="AP43" s="21">
        <f t="shared" si="13"/>
        <v>4.3410088490379417E-2</v>
      </c>
      <c r="AQ43" s="21">
        <f t="shared" si="13"/>
        <v>4.3692424498921877E-2</v>
      </c>
      <c r="AR43" s="21">
        <f t="shared" si="13"/>
        <v>4.3966685836742618E-2</v>
      </c>
      <c r="AS43" s="21">
        <f t="shared" si="13"/>
        <v>4.4231751456886681E-2</v>
      </c>
      <c r="AT43" s="21">
        <f t="shared" si="13"/>
        <v>4.4488243207258832E-2</v>
      </c>
      <c r="AU43" s="21">
        <f t="shared" si="13"/>
        <v>4.4736358843610498E-2</v>
      </c>
      <c r="AV43" s="21">
        <f t="shared" si="13"/>
        <v>4.4976037984449338E-2</v>
      </c>
      <c r="AW43" s="21">
        <f t="shared" si="13"/>
        <v>4.5206586948683784E-2</v>
      </c>
      <c r="AX43" s="21">
        <f t="shared" si="13"/>
        <v>4.5427854205778773E-2</v>
      </c>
      <c r="AY43" s="21">
        <f t="shared" si="13"/>
        <v>4.563947639959804E-2</v>
      </c>
      <c r="AZ43" s="21">
        <f t="shared" si="13"/>
        <v>4.5841785154048624E-2</v>
      </c>
      <c r="BA43" s="21">
        <f t="shared" si="13"/>
        <v>4.6034590749395241E-2</v>
      </c>
      <c r="BB43" s="21">
        <f t="shared" si="13"/>
        <v>4.6217700918018099E-2</v>
      </c>
      <c r="BC43" s="21"/>
    </row>
    <row r="44" spans="1:55" ht="14.4" customHeight="1" x14ac:dyDescent="0.3">
      <c r="B44" s="384"/>
      <c r="C44" s="9" t="s">
        <v>88</v>
      </c>
      <c r="D44" s="365"/>
      <c r="E44" s="364"/>
      <c r="F44" s="382"/>
      <c r="G44" s="21">
        <f t="shared" si="12"/>
        <v>2.6056744527322692E-2</v>
      </c>
      <c r="H44" s="21">
        <f t="shared" si="13"/>
        <v>2.7789975778349477E-2</v>
      </c>
      <c r="I44" s="21">
        <f t="shared" si="13"/>
        <v>2.7939274699615893E-2</v>
      </c>
      <c r="J44" s="21">
        <f t="shared" si="13"/>
        <v>2.9818473938051468E-2</v>
      </c>
      <c r="K44" s="21">
        <f t="shared" si="13"/>
        <v>3.0730948994392701E-2</v>
      </c>
      <c r="L44" s="21">
        <f t="shared" si="13"/>
        <v>3.1699788783826288E-2</v>
      </c>
      <c r="M44" s="21">
        <f t="shared" si="13"/>
        <v>3.2594235426568724E-2</v>
      </c>
      <c r="N44" s="21">
        <f t="shared" si="13"/>
        <v>3.3642489614415336E-2</v>
      </c>
      <c r="O44" s="21">
        <f t="shared" si="13"/>
        <v>3.3278574307654213E-2</v>
      </c>
      <c r="P44" s="21">
        <f t="shared" si="13"/>
        <v>3.4101789615386596E-2</v>
      </c>
      <c r="Q44" s="21">
        <f t="shared" si="13"/>
        <v>3.5094010220170391E-2</v>
      </c>
      <c r="R44" s="21">
        <f t="shared" si="13"/>
        <v>3.5864569430777871E-2</v>
      </c>
      <c r="S44" s="21">
        <f t="shared" si="13"/>
        <v>3.6619391847461297E-2</v>
      </c>
      <c r="T44" s="21">
        <f t="shared" si="13"/>
        <v>3.7365025689256065E-2</v>
      </c>
      <c r="U44" s="21">
        <f t="shared" si="13"/>
        <v>3.803505581097448E-2</v>
      </c>
      <c r="V44" s="21">
        <f t="shared" si="13"/>
        <v>3.864231470048346E-2</v>
      </c>
      <c r="W44" s="21">
        <f t="shared" si="13"/>
        <v>3.9477694245749914E-2</v>
      </c>
      <c r="X44" s="21">
        <f t="shared" si="13"/>
        <v>4.027523473220937E-2</v>
      </c>
      <c r="Y44" s="21">
        <f t="shared" si="13"/>
        <v>4.1049356383302343E-2</v>
      </c>
      <c r="Z44" s="21">
        <f t="shared" si="13"/>
        <v>4.1815011392310225E-2</v>
      </c>
      <c r="AA44" s="21">
        <f t="shared" si="13"/>
        <v>4.2505472382470405E-2</v>
      </c>
      <c r="AB44" s="21">
        <f t="shared" si="13"/>
        <v>4.3274784980501357E-2</v>
      </c>
      <c r="AC44" s="21">
        <f t="shared" si="13"/>
        <v>4.4005011005736255E-2</v>
      </c>
      <c r="AD44" s="21">
        <f t="shared" si="13"/>
        <v>4.4842294006005118E-2</v>
      </c>
      <c r="AE44" s="21">
        <f t="shared" si="13"/>
        <v>4.56040248443767E-2</v>
      </c>
      <c r="AF44" s="21">
        <f t="shared" si="13"/>
        <v>4.6358235387700841E-2</v>
      </c>
      <c r="AG44" s="21">
        <f t="shared" si="13"/>
        <v>4.7126137345925828E-2</v>
      </c>
      <c r="AH44" s="21">
        <f t="shared" si="13"/>
        <v>4.7899976931321947E-2</v>
      </c>
      <c r="AI44" s="21">
        <f t="shared" si="13"/>
        <v>4.8727636081939613E-2</v>
      </c>
      <c r="AJ44" s="21">
        <f t="shared" si="13"/>
        <v>4.9524757562180249E-2</v>
      </c>
      <c r="AK44" s="21">
        <f t="shared" si="13"/>
        <v>5.0326964727834794E-2</v>
      </c>
      <c r="AL44" s="21">
        <f t="shared" si="13"/>
        <v>5.1142604701680777E-2</v>
      </c>
      <c r="AM44" s="21">
        <f t="shared" si="13"/>
        <v>5.1964299052178448E-2</v>
      </c>
      <c r="AN44" s="21">
        <f t="shared" si="13"/>
        <v>5.2800663615550025E-2</v>
      </c>
      <c r="AO44" s="21">
        <f t="shared" si="13"/>
        <v>5.3627617553090423E-2</v>
      </c>
      <c r="AP44" s="21">
        <f t="shared" si="13"/>
        <v>5.4462166888981284E-2</v>
      </c>
      <c r="AQ44" s="21">
        <f t="shared" si="13"/>
        <v>5.5303974606444734E-2</v>
      </c>
      <c r="AR44" s="21">
        <f t="shared" si="13"/>
        <v>5.6150752217168642E-2</v>
      </c>
      <c r="AS44" s="21">
        <f t="shared" si="13"/>
        <v>5.7000350774160019E-2</v>
      </c>
      <c r="AT44" s="21">
        <f t="shared" si="13"/>
        <v>5.7854164880240866E-2</v>
      </c>
      <c r="AU44" s="21">
        <f t="shared" si="13"/>
        <v>5.8712778756166095E-2</v>
      </c>
      <c r="AV44" s="21">
        <f t="shared" si="13"/>
        <v>5.9576249286501681E-2</v>
      </c>
      <c r="AW44" s="21">
        <f t="shared" si="13"/>
        <v>6.0443206968293001E-2</v>
      </c>
      <c r="AX44" s="21">
        <f t="shared" si="13"/>
        <v>6.1313418732384051E-2</v>
      </c>
      <c r="AY44" s="21">
        <f t="shared" si="13"/>
        <v>6.2186136264514358E-2</v>
      </c>
      <c r="AZ44" s="21">
        <f t="shared" si="13"/>
        <v>6.3062210582122635E-2</v>
      </c>
      <c r="BA44" s="21">
        <f t="shared" si="13"/>
        <v>6.3941289441876326E-2</v>
      </c>
      <c r="BB44" s="21">
        <f t="shared" si="13"/>
        <v>6.4822984109036225E-2</v>
      </c>
      <c r="BC44" s="21"/>
    </row>
    <row r="45" spans="1:55" ht="14.4" x14ac:dyDescent="0.3">
      <c r="B45" s="384"/>
      <c r="C45" s="9" t="s">
        <v>89</v>
      </c>
      <c r="D45" s="365"/>
      <c r="E45" s="364"/>
      <c r="F45" s="382"/>
      <c r="G45" s="21">
        <f t="shared" si="12"/>
        <v>8.3817665548220066E-2</v>
      </c>
      <c r="H45" s="21">
        <f t="shared" si="13"/>
        <v>8.9039964550933812E-2</v>
      </c>
      <c r="I45" s="21">
        <f t="shared" si="13"/>
        <v>8.9303172101164216E-2</v>
      </c>
      <c r="J45" s="21">
        <f t="shared" si="13"/>
        <v>9.4791353210737422E-2</v>
      </c>
      <c r="K45" s="21">
        <f t="shared" si="13"/>
        <v>9.7275190363567271E-2</v>
      </c>
      <c r="L45" s="21">
        <f t="shared" si="13"/>
        <v>9.9873687056326266E-2</v>
      </c>
      <c r="M45" s="21">
        <f t="shared" si="13"/>
        <v>0.10220826521552603</v>
      </c>
      <c r="N45" s="21">
        <f t="shared" si="13"/>
        <v>0.10492532895605686</v>
      </c>
      <c r="O45" s="21">
        <f t="shared" si="13"/>
        <v>0.10374196279544207</v>
      </c>
      <c r="P45" s="21">
        <f t="shared" si="13"/>
        <v>0.10581215453308257</v>
      </c>
      <c r="Q45" s="21">
        <f t="shared" si="13"/>
        <v>0.10829612251382821</v>
      </c>
      <c r="R45" s="21">
        <f t="shared" si="13"/>
        <v>0.11015079452331818</v>
      </c>
      <c r="S45" s="21">
        <f t="shared" si="13"/>
        <v>0.11193590740540671</v>
      </c>
      <c r="T45" s="21">
        <f t="shared" si="13"/>
        <v>0.11367051241898822</v>
      </c>
      <c r="U45" s="21">
        <f t="shared" si="13"/>
        <v>0.11519184652730488</v>
      </c>
      <c r="V45" s="21">
        <f t="shared" si="13"/>
        <v>0.11654056657928055</v>
      </c>
      <c r="W45" s="21">
        <f t="shared" si="13"/>
        <v>0.11842131410294118</v>
      </c>
      <c r="X45" s="21">
        <f t="shared" si="13"/>
        <v>0.120179993811025</v>
      </c>
      <c r="Y45" s="21">
        <f t="shared" si="13"/>
        <v>0.12185519104854446</v>
      </c>
      <c r="Z45" s="21">
        <f t="shared" si="13"/>
        <v>0.12348406587589755</v>
      </c>
      <c r="AA45" s="21">
        <f t="shared" si="13"/>
        <v>0.12491843463897363</v>
      </c>
      <c r="AB45" s="21">
        <f t="shared" si="13"/>
        <v>0.12650603295672</v>
      </c>
      <c r="AC45" s="21">
        <f t="shared" si="13"/>
        <v>0.12798279042284499</v>
      </c>
      <c r="AD45" s="21">
        <f t="shared" si="13"/>
        <v>0.12966484541232248</v>
      </c>
      <c r="AE45" s="21">
        <f t="shared" si="13"/>
        <v>0.1311580007691035</v>
      </c>
      <c r="AF45" s="21">
        <f t="shared" si="13"/>
        <v>0.13261060143410713</v>
      </c>
      <c r="AG45" s="21">
        <f t="shared" si="13"/>
        <v>0.13406672482555371</v>
      </c>
      <c r="AH45" s="21">
        <f t="shared" si="13"/>
        <v>0.13550979609551178</v>
      </c>
      <c r="AI45" s="21">
        <f t="shared" si="13"/>
        <v>0.13703354831802844</v>
      </c>
      <c r="AJ45" s="21">
        <f t="shared" si="13"/>
        <v>0.13846951425634232</v>
      </c>
      <c r="AK45" s="21">
        <f t="shared" si="13"/>
        <v>0.13988851037612757</v>
      </c>
      <c r="AL45" s="21">
        <f t="shared" si="13"/>
        <v>0.14130574335522011</v>
      </c>
      <c r="AM45" s="21">
        <f t="shared" si="13"/>
        <v>0.14270638770403313</v>
      </c>
      <c r="AN45" s="21">
        <f t="shared" si="13"/>
        <v>0.14410556769329874</v>
      </c>
      <c r="AO45" s="21">
        <f t="shared" si="13"/>
        <v>0.14545892631178414</v>
      </c>
      <c r="AP45" s="21">
        <f t="shared" si="13"/>
        <v>0.14679718549771986</v>
      </c>
      <c r="AQ45" s="21">
        <f t="shared" si="13"/>
        <v>0.14811908597774906</v>
      </c>
      <c r="AR45" s="21">
        <f t="shared" si="13"/>
        <v>0.14942007984579025</v>
      </c>
      <c r="AS45" s="21">
        <f t="shared" si="13"/>
        <v>0.15069610153488208</v>
      </c>
      <c r="AT45" s="21">
        <f t="shared" si="13"/>
        <v>0.15194916980314371</v>
      </c>
      <c r="AU45" s="21">
        <f t="shared" si="13"/>
        <v>0.15317983549397785</v>
      </c>
      <c r="AV45" s="21">
        <f t="shared" si="13"/>
        <v>0.15438774445138004</v>
      </c>
      <c r="AW45" s="21">
        <f t="shared" si="13"/>
        <v>0.15557028645738633</v>
      </c>
      <c r="AX45" s="21">
        <f t="shared" si="13"/>
        <v>0.15672675322894603</v>
      </c>
      <c r="AY45" s="21">
        <f t="shared" si="13"/>
        <v>0.15785566972098669</v>
      </c>
      <c r="AZ45" s="21">
        <f t="shared" si="13"/>
        <v>0.15895804205883041</v>
      </c>
      <c r="BA45" s="21">
        <f t="shared" si="13"/>
        <v>0.16003301121665114</v>
      </c>
      <c r="BB45" s="21">
        <f t="shared" si="13"/>
        <v>0.16107969885598664</v>
      </c>
      <c r="BC45" s="21"/>
    </row>
    <row r="46" spans="1:55" ht="14.4" x14ac:dyDescent="0.3">
      <c r="B46" s="384"/>
      <c r="C46" s="9" t="s">
        <v>90</v>
      </c>
      <c r="D46" s="365"/>
      <c r="E46" s="364"/>
      <c r="F46" s="382"/>
      <c r="G46" s="144">
        <f t="shared" ref="G46:BB46" si="14">G12*G96</f>
        <v>2.3147915967647342E-2</v>
      </c>
      <c r="H46" s="144">
        <f t="shared" si="14"/>
        <v>3.1607871657460269E-2</v>
      </c>
      <c r="I46" s="144">
        <f t="shared" si="14"/>
        <v>4.0144587760213568E-2</v>
      </c>
      <c r="J46" s="144">
        <f t="shared" si="14"/>
        <v>4.8758064275907245E-2</v>
      </c>
      <c r="K46" s="144">
        <f t="shared" si="14"/>
        <v>5.7448301204541294E-2</v>
      </c>
      <c r="L46" s="144">
        <f t="shared" si="14"/>
        <v>6.6215298546115714E-2</v>
      </c>
      <c r="M46" s="144">
        <f t="shared" si="14"/>
        <v>7.5059056300630506E-2</v>
      </c>
      <c r="N46" s="144">
        <f t="shared" si="14"/>
        <v>8.3979574468085655E-2</v>
      </c>
      <c r="O46" s="144">
        <f t="shared" si="14"/>
        <v>8.4589404787234576E-2</v>
      </c>
      <c r="P46" s="144">
        <f t="shared" si="14"/>
        <v>8.5201321276596284E-2</v>
      </c>
      <c r="Q46" s="144">
        <f t="shared" si="14"/>
        <v>8.5815323936170723E-2</v>
      </c>
      <c r="R46" s="144">
        <f t="shared" si="14"/>
        <v>8.6431412765957949E-2</v>
      </c>
      <c r="S46" s="144">
        <f t="shared" si="14"/>
        <v>8.7049587765957948E-2</v>
      </c>
      <c r="T46" s="144">
        <f t="shared" si="14"/>
        <v>8.7669848936170691E-2</v>
      </c>
      <c r="U46" s="144">
        <f t="shared" si="14"/>
        <v>8.8292196276596221E-2</v>
      </c>
      <c r="V46" s="144">
        <f t="shared" si="14"/>
        <v>8.8916629787234497E-2</v>
      </c>
      <c r="W46" s="144">
        <f t="shared" si="14"/>
        <v>8.9543149468085545E-2</v>
      </c>
      <c r="X46" s="144">
        <f t="shared" si="14"/>
        <v>9.0171755319149366E-2</v>
      </c>
      <c r="Y46" s="144">
        <f t="shared" si="14"/>
        <v>9.0802447340425946E-2</v>
      </c>
      <c r="Z46" s="144">
        <f t="shared" si="14"/>
        <v>9.1435225531915298E-2</v>
      </c>
      <c r="AA46" s="144">
        <f t="shared" si="14"/>
        <v>9.207008989361741E-2</v>
      </c>
      <c r="AB46" s="144">
        <f t="shared" si="14"/>
        <v>9.2707040425532294E-2</v>
      </c>
      <c r="AC46" s="144">
        <f t="shared" si="14"/>
        <v>9.3346077127659938E-2</v>
      </c>
      <c r="AD46" s="144">
        <f t="shared" si="14"/>
        <v>9.3987200000000354E-2</v>
      </c>
      <c r="AE46" s="144">
        <f t="shared" si="14"/>
        <v>9.4630409042553529E-2</v>
      </c>
      <c r="AF46" s="144">
        <f t="shared" si="14"/>
        <v>9.5275704255319463E-2</v>
      </c>
      <c r="AG46" s="144">
        <f t="shared" si="14"/>
        <v>9.5923085638298183E-2</v>
      </c>
      <c r="AH46" s="144">
        <f t="shared" si="14"/>
        <v>9.6572553191489663E-2</v>
      </c>
      <c r="AI46" s="144">
        <f t="shared" si="14"/>
        <v>9.7224106914893915E-2</v>
      </c>
      <c r="AJ46" s="144">
        <f t="shared" si="14"/>
        <v>9.7877746808510899E-2</v>
      </c>
      <c r="AK46" s="144">
        <f t="shared" si="14"/>
        <v>9.8533472872340683E-2</v>
      </c>
      <c r="AL46" s="144">
        <f t="shared" si="14"/>
        <v>9.9191285106383226E-2</v>
      </c>
      <c r="AM46" s="144">
        <f t="shared" si="14"/>
        <v>9.9851183510638514E-2</v>
      </c>
      <c r="AN46" s="144">
        <f t="shared" si="14"/>
        <v>0.1005131680851066</v>
      </c>
      <c r="AO46" s="144">
        <f t="shared" si="14"/>
        <v>0.10117723882978744</v>
      </c>
      <c r="AP46" s="144">
        <f t="shared" si="14"/>
        <v>0.10184339574468106</v>
      </c>
      <c r="AQ46" s="144">
        <f t="shared" si="14"/>
        <v>0.10251163882978741</v>
      </c>
      <c r="AR46" s="144">
        <f t="shared" si="14"/>
        <v>0.10318196808510655</v>
      </c>
      <c r="AS46" s="144">
        <f t="shared" si="14"/>
        <v>0.10385438351063846</v>
      </c>
      <c r="AT46" s="144">
        <f t="shared" si="14"/>
        <v>0.1045288851063831</v>
      </c>
      <c r="AU46" s="144">
        <f t="shared" si="14"/>
        <v>0.10520547287234054</v>
      </c>
      <c r="AV46" s="144">
        <f t="shared" si="14"/>
        <v>0.10588414680851074</v>
      </c>
      <c r="AW46" s="144">
        <f t="shared" si="14"/>
        <v>0.10656490691489369</v>
      </c>
      <c r="AX46" s="144">
        <f t="shared" si="14"/>
        <v>0.10724775319148944</v>
      </c>
      <c r="AY46" s="144">
        <f t="shared" si="14"/>
        <v>0.10793268563829793</v>
      </c>
      <c r="AZ46" s="144">
        <f t="shared" si="14"/>
        <v>0.10861970425531918</v>
      </c>
      <c r="BA46" s="144">
        <f t="shared" si="14"/>
        <v>0.10930880904255322</v>
      </c>
      <c r="BB46" s="144">
        <f t="shared" si="14"/>
        <v>0.11000000000000001</v>
      </c>
      <c r="BC46" s="21"/>
    </row>
    <row r="47" spans="1:55" ht="14.4" x14ac:dyDescent="0.3">
      <c r="B47" s="384"/>
      <c r="C47" s="9" t="s">
        <v>91</v>
      </c>
      <c r="D47" s="365"/>
      <c r="E47" s="364"/>
      <c r="F47" s="382"/>
      <c r="G47" s="21">
        <f>G30-G64+G80</f>
        <v>0.42711323523978317</v>
      </c>
      <c r="H47" s="21">
        <f t="shared" ref="H47:BB51" si="15">H30-H64+H80</f>
        <v>0.45361493878976472</v>
      </c>
      <c r="I47" s="21">
        <f t="shared" si="15"/>
        <v>0.45487408744651103</v>
      </c>
      <c r="J47" s="21">
        <f t="shared" si="15"/>
        <v>0.48268214911254842</v>
      </c>
      <c r="K47" s="21">
        <f t="shared" si="15"/>
        <v>0.49520295384811891</v>
      </c>
      <c r="L47" s="21">
        <f t="shared" si="15"/>
        <v>0.50829219002909665</v>
      </c>
      <c r="M47" s="21">
        <f t="shared" si="15"/>
        <v>0.52003013735046777</v>
      </c>
      <c r="N47" s="21">
        <f t="shared" si="15"/>
        <v>0.53369122166327976</v>
      </c>
      <c r="O47" s="21">
        <f t="shared" si="15"/>
        <v>0.5276189419519568</v>
      </c>
      <c r="P47" s="21">
        <f t="shared" si="15"/>
        <v>0.53799924969098589</v>
      </c>
      <c r="Q47" s="21">
        <f t="shared" si="15"/>
        <v>0.55045818155151771</v>
      </c>
      <c r="R47" s="21">
        <f t="shared" si="15"/>
        <v>0.55972846031485157</v>
      </c>
      <c r="S47" s="21">
        <f t="shared" si="15"/>
        <v>0.56863935566601342</v>
      </c>
      <c r="T47" s="21">
        <f t="shared" si="15"/>
        <v>0.57728752496112778</v>
      </c>
      <c r="U47" s="21">
        <f t="shared" si="15"/>
        <v>0.58485498242023615</v>
      </c>
      <c r="V47" s="21">
        <f t="shared" si="15"/>
        <v>0.5915487890075144</v>
      </c>
      <c r="W47" s="21">
        <f t="shared" si="15"/>
        <v>0.60090793559311184</v>
      </c>
      <c r="X47" s="21">
        <f t="shared" si="15"/>
        <v>0.6096444475754782</v>
      </c>
      <c r="Y47" s="21">
        <f t="shared" si="15"/>
        <v>0.6179532182951859</v>
      </c>
      <c r="Z47" s="21">
        <f t="shared" si="15"/>
        <v>0.62602118598573187</v>
      </c>
      <c r="AA47" s="21">
        <f t="shared" si="15"/>
        <v>0.63310810587105426</v>
      </c>
      <c r="AB47" s="21">
        <f t="shared" si="15"/>
        <v>0.64095298799802791</v>
      </c>
      <c r="AC47" s="21">
        <f t="shared" si="15"/>
        <v>0.64823596423705321</v>
      </c>
      <c r="AD47" s="21">
        <f t="shared" si="15"/>
        <v>0.6565336956608856</v>
      </c>
      <c r="AE47" s="21">
        <f t="shared" si="15"/>
        <v>0.66388056166224985</v>
      </c>
      <c r="AF47" s="21">
        <f t="shared" si="15"/>
        <v>0.67101680072678671</v>
      </c>
      <c r="AG47" s="21">
        <f t="shared" si="15"/>
        <v>0.67816167120155402</v>
      </c>
      <c r="AH47" s="21">
        <f t="shared" si="15"/>
        <v>0.68523260474600589</v>
      </c>
      <c r="AI47" s="21">
        <f t="shared" si="15"/>
        <v>0.69269388001482546</v>
      </c>
      <c r="AJ47" s="21">
        <f t="shared" si="15"/>
        <v>0.69970994214582438</v>
      </c>
      <c r="AK47" s="21">
        <f t="shared" si="15"/>
        <v>0.70663195875948259</v>
      </c>
      <c r="AL47" s="21">
        <f t="shared" si="15"/>
        <v>0.71353487563938045</v>
      </c>
      <c r="AM47" s="21">
        <f t="shared" si="15"/>
        <v>0.72034516488858535</v>
      </c>
      <c r="AN47" s="21">
        <f t="shared" si="15"/>
        <v>0.72713714821084363</v>
      </c>
      <c r="AO47" s="21">
        <f t="shared" si="15"/>
        <v>0.73369216879426258</v>
      </c>
      <c r="AP47" s="21">
        <f t="shared" si="15"/>
        <v>0.74016150593425412</v>
      </c>
      <c r="AQ47" s="21">
        <f t="shared" si="15"/>
        <v>0.74653874803615128</v>
      </c>
      <c r="AR47" s="21">
        <f t="shared" si="15"/>
        <v>0.75280138632801052</v>
      </c>
      <c r="AS47" s="21">
        <f t="shared" si="15"/>
        <v>0.75892937609871713</v>
      </c>
      <c r="AT47" s="21">
        <f t="shared" si="15"/>
        <v>0.76493250294457094</v>
      </c>
      <c r="AU47" s="21">
        <f t="shared" si="15"/>
        <v>0.77081332521319579</v>
      </c>
      <c r="AV47" s="21">
        <f t="shared" si="15"/>
        <v>0.77656996504246489</v>
      </c>
      <c r="AW47" s="21">
        <f t="shared" si="15"/>
        <v>0.78218956245608517</v>
      </c>
      <c r="AX47" s="21">
        <f t="shared" si="15"/>
        <v>0.78766856252531947</v>
      </c>
      <c r="AY47" s="21">
        <f t="shared" si="15"/>
        <v>0.79299969918267377</v>
      </c>
      <c r="AZ47" s="21">
        <f t="shared" si="15"/>
        <v>0.79818776399091351</v>
      </c>
      <c r="BA47" s="21">
        <f t="shared" si="15"/>
        <v>0.80322848581888995</v>
      </c>
      <c r="BB47" s="21">
        <f t="shared" si="15"/>
        <v>0.80811751661511366</v>
      </c>
      <c r="BC47" s="21"/>
    </row>
    <row r="48" spans="1:55" ht="14.4" x14ac:dyDescent="0.3">
      <c r="B48" s="384"/>
      <c r="C48" s="9" t="s">
        <v>92</v>
      </c>
      <c r="D48" s="365"/>
      <c r="E48" s="364"/>
      <c r="F48" s="382"/>
      <c r="G48" s="21">
        <f t="shared" ref="G48:V51" si="16">G31-G65+G81</f>
        <v>1.1154268296438143</v>
      </c>
      <c r="H48" s="21">
        <f t="shared" si="16"/>
        <v>1.1878325686095563</v>
      </c>
      <c r="I48" s="21">
        <f t="shared" si="16"/>
        <v>1.1941502233120946</v>
      </c>
      <c r="J48" s="21">
        <f t="shared" si="16"/>
        <v>1.2707620466187954</v>
      </c>
      <c r="K48" s="21">
        <f t="shared" si="16"/>
        <v>1.3072789623598691</v>
      </c>
      <c r="L48" s="21">
        <f t="shared" si="16"/>
        <v>1.345544061181094</v>
      </c>
      <c r="M48" s="21">
        <f t="shared" si="16"/>
        <v>1.3804280317567779</v>
      </c>
      <c r="N48" s="21">
        <f t="shared" si="16"/>
        <v>1.4207155113586483</v>
      </c>
      <c r="O48" s="21">
        <f t="shared" si="16"/>
        <v>1.4078130132716264</v>
      </c>
      <c r="P48" s="21">
        <f t="shared" si="16"/>
        <v>1.4394718510510223</v>
      </c>
      <c r="Q48" s="21">
        <f t="shared" si="16"/>
        <v>1.476993076296925</v>
      </c>
      <c r="R48" s="21">
        <f t="shared" si="16"/>
        <v>1.5060182745632531</v>
      </c>
      <c r="S48" s="21">
        <f t="shared" si="16"/>
        <v>1.5342233803354719</v>
      </c>
      <c r="T48" s="21">
        <f t="shared" si="16"/>
        <v>1.5618648771306272</v>
      </c>
      <c r="U48" s="21">
        <f t="shared" si="16"/>
        <v>1.5866633646486579</v>
      </c>
      <c r="V48" s="21">
        <f t="shared" si="16"/>
        <v>1.6091596713876704</v>
      </c>
      <c r="W48" s="21">
        <f t="shared" si="15"/>
        <v>1.6392384638218336</v>
      </c>
      <c r="X48" s="21">
        <f t="shared" si="15"/>
        <v>1.6677487194141767</v>
      </c>
      <c r="Y48" s="21">
        <f t="shared" si="15"/>
        <v>1.6952201512707719</v>
      </c>
      <c r="Z48" s="21">
        <f t="shared" si="15"/>
        <v>1.7221698255121951</v>
      </c>
      <c r="AA48" s="21">
        <f t="shared" si="15"/>
        <v>1.7464797275234654</v>
      </c>
      <c r="AB48" s="21">
        <f t="shared" si="15"/>
        <v>1.7730971830216946</v>
      </c>
      <c r="AC48" s="21">
        <f t="shared" si="15"/>
        <v>1.7982555446944353</v>
      </c>
      <c r="AD48" s="21">
        <f t="shared" si="15"/>
        <v>1.8264931280320686</v>
      </c>
      <c r="AE48" s="21">
        <f t="shared" si="15"/>
        <v>1.8521445437587714</v>
      </c>
      <c r="AF48" s="21">
        <f t="shared" si="15"/>
        <v>1.8773345916797735</v>
      </c>
      <c r="AG48" s="21">
        <f t="shared" si="15"/>
        <v>1.9026999562513822</v>
      </c>
      <c r="AH48" s="21">
        <f t="shared" si="15"/>
        <v>1.9280003679672779</v>
      </c>
      <c r="AI48" s="21">
        <f t="shared" si="15"/>
        <v>1.9546089501820014</v>
      </c>
      <c r="AJ48" s="21">
        <f t="shared" si="15"/>
        <v>1.9800624586981728</v>
      </c>
      <c r="AK48" s="21">
        <f t="shared" si="15"/>
        <v>2.0053941340825556</v>
      </c>
      <c r="AL48" s="21">
        <f t="shared" si="15"/>
        <v>2.0308283011710548</v>
      </c>
      <c r="AM48" s="21">
        <f t="shared" si="15"/>
        <v>2.0561462179107219</v>
      </c>
      <c r="AN48" s="21">
        <f t="shared" si="15"/>
        <v>2.0815727068990189</v>
      </c>
      <c r="AO48" s="21">
        <f t="shared" si="15"/>
        <v>2.1064457501763627</v>
      </c>
      <c r="AP48" s="21">
        <f t="shared" si="15"/>
        <v>2.1312214551153423</v>
      </c>
      <c r="AQ48" s="21">
        <f t="shared" si="15"/>
        <v>2.1558804921094961</v>
      </c>
      <c r="AR48" s="21">
        <f t="shared" si="15"/>
        <v>2.1803535764826392</v>
      </c>
      <c r="AS48" s="21">
        <f t="shared" si="15"/>
        <v>2.204577812353218</v>
      </c>
      <c r="AT48" s="21">
        <f t="shared" si="15"/>
        <v>2.228582122077833</v>
      </c>
      <c r="AU48" s="21">
        <f t="shared" si="15"/>
        <v>2.2523734549337679</v>
      </c>
      <c r="AV48" s="21">
        <f t="shared" si="15"/>
        <v>2.2759450279769795</v>
      </c>
      <c r="AW48" s="21">
        <f t="shared" si="15"/>
        <v>2.2992552854983814</v>
      </c>
      <c r="AX48" s="21">
        <f t="shared" si="15"/>
        <v>2.3222915056437472</v>
      </c>
      <c r="AY48" s="21">
        <f t="shared" si="15"/>
        <v>2.3450289472436308</v>
      </c>
      <c r="AZ48" s="21">
        <f t="shared" si="15"/>
        <v>2.3674811625156589</v>
      </c>
      <c r="BA48" s="21">
        <f t="shared" si="15"/>
        <v>2.3896328251953016</v>
      </c>
      <c r="BB48" s="21">
        <f t="shared" si="15"/>
        <v>2.4114681323214948</v>
      </c>
      <c r="BC48" s="21"/>
    </row>
    <row r="49" spans="1:55" ht="14.4" x14ac:dyDescent="0.3">
      <c r="B49" s="384"/>
      <c r="C49" s="9" t="s">
        <v>93</v>
      </c>
      <c r="D49" s="365"/>
      <c r="E49" s="364"/>
      <c r="F49" s="382"/>
      <c r="G49" s="21">
        <f t="shared" si="16"/>
        <v>0.16180655663212384</v>
      </c>
      <c r="H49" s="21">
        <f t="shared" si="15"/>
        <v>0.17273787628267953</v>
      </c>
      <c r="I49" s="21">
        <f t="shared" si="15"/>
        <v>0.17402101189234598</v>
      </c>
      <c r="J49" s="21">
        <f t="shared" si="15"/>
        <v>0.18570830997551013</v>
      </c>
      <c r="K49" s="21">
        <f t="shared" si="15"/>
        <v>0.19152782706075305</v>
      </c>
      <c r="L49" s="21">
        <f t="shared" si="15"/>
        <v>0.19764920876108424</v>
      </c>
      <c r="M49" s="21">
        <f t="shared" si="15"/>
        <v>0.20330310187831291</v>
      </c>
      <c r="N49" s="21">
        <f t="shared" si="15"/>
        <v>0.20981583668532844</v>
      </c>
      <c r="O49" s="21">
        <f t="shared" si="15"/>
        <v>0.20823748724310054</v>
      </c>
      <c r="P49" s="21">
        <f t="shared" si="15"/>
        <v>0.21346771152160884</v>
      </c>
      <c r="Q49" s="21">
        <f t="shared" si="15"/>
        <v>0.21963444497493842</v>
      </c>
      <c r="R49" s="21">
        <f t="shared" si="15"/>
        <v>0.22452479538867481</v>
      </c>
      <c r="S49" s="21">
        <f t="shared" si="15"/>
        <v>0.22931452998429436</v>
      </c>
      <c r="T49" s="21">
        <f t="shared" si="15"/>
        <v>0.23404194189360528</v>
      </c>
      <c r="U49" s="21">
        <f t="shared" si="15"/>
        <v>0.2383454354727968</v>
      </c>
      <c r="V49" s="21">
        <f t="shared" si="15"/>
        <v>0.2423036865009901</v>
      </c>
      <c r="W49" s="21">
        <f t="shared" si="15"/>
        <v>0.24749047637084626</v>
      </c>
      <c r="X49" s="21">
        <f t="shared" si="15"/>
        <v>0.25245602854812471</v>
      </c>
      <c r="Y49" s="21">
        <f t="shared" si="15"/>
        <v>0.2572818288684513</v>
      </c>
      <c r="Z49" s="21">
        <f t="shared" si="15"/>
        <v>0.26204937250904614</v>
      </c>
      <c r="AA49" s="21">
        <f t="shared" si="15"/>
        <v>0.26641117377737539</v>
      </c>
      <c r="AB49" s="21">
        <f t="shared" si="15"/>
        <v>0.27117393386693156</v>
      </c>
      <c r="AC49" s="21">
        <f t="shared" si="15"/>
        <v>0.27572151472614426</v>
      </c>
      <c r="AD49" s="21">
        <f t="shared" si="15"/>
        <v>0.28080484512756454</v>
      </c>
      <c r="AE49" s="21">
        <f t="shared" si="15"/>
        <v>0.285485547749254</v>
      </c>
      <c r="AF49" s="21">
        <f t="shared" si="15"/>
        <v>0.29011414939008706</v>
      </c>
      <c r="AG49" s="21">
        <f t="shared" si="15"/>
        <v>0.29479736551074553</v>
      </c>
      <c r="AH49" s="21">
        <f t="shared" si="15"/>
        <v>0.29949515584873976</v>
      </c>
      <c r="AI49" s="21">
        <f t="shared" si="15"/>
        <v>0.30444259953095931</v>
      </c>
      <c r="AJ49" s="21">
        <f t="shared" si="15"/>
        <v>0.30922049206271013</v>
      </c>
      <c r="AK49" s="21">
        <f t="shared" si="15"/>
        <v>0.31400472999828916</v>
      </c>
      <c r="AL49" s="21">
        <f t="shared" si="15"/>
        <v>0.31883456482094408</v>
      </c>
      <c r="AM49" s="21">
        <f t="shared" si="15"/>
        <v>0.32367268878477717</v>
      </c>
      <c r="AN49" s="21">
        <f t="shared" si="15"/>
        <v>0.32855895172698468</v>
      </c>
      <c r="AO49" s="21">
        <f t="shared" si="15"/>
        <v>0.33337735397916812</v>
      </c>
      <c r="AP49" s="21">
        <f t="shared" si="15"/>
        <v>0.33820807146108167</v>
      </c>
      <c r="AQ49" s="21">
        <f t="shared" si="15"/>
        <v>0.34304812082779823</v>
      </c>
      <c r="AR49" s="21">
        <f t="shared" si="15"/>
        <v>0.34788549573258587</v>
      </c>
      <c r="AS49" s="21">
        <f t="shared" si="15"/>
        <v>0.3527090993059952</v>
      </c>
      <c r="AT49" s="21">
        <f t="shared" si="15"/>
        <v>0.35752429482973469</v>
      </c>
      <c r="AU49" s="21">
        <f t="shared" si="15"/>
        <v>0.36233257309170863</v>
      </c>
      <c r="AV49" s="21">
        <f t="shared" si="15"/>
        <v>0.3671329570558049</v>
      </c>
      <c r="AW49" s="21">
        <f t="shared" si="15"/>
        <v>0.37191804663019451</v>
      </c>
      <c r="AX49" s="21">
        <f t="shared" si="15"/>
        <v>0.37668565477001198</v>
      </c>
      <c r="AY49" s="21">
        <f t="shared" si="15"/>
        <v>0.38143132349598929</v>
      </c>
      <c r="AZ49" s="21">
        <f t="shared" si="15"/>
        <v>0.38615770797075788</v>
      </c>
      <c r="BA49" s="21">
        <f t="shared" si="15"/>
        <v>0.39086209089985346</v>
      </c>
      <c r="BB49" s="21">
        <f t="shared" si="15"/>
        <v>0.39554162492357103</v>
      </c>
      <c r="BC49" s="21"/>
    </row>
    <row r="50" spans="1:55" ht="14.4" x14ac:dyDescent="0.3">
      <c r="B50" s="384"/>
      <c r="C50" s="9" t="s">
        <v>94</v>
      </c>
      <c r="D50" s="365"/>
      <c r="E50" s="364"/>
      <c r="F50" s="382"/>
      <c r="G50" s="21">
        <f t="shared" si="16"/>
        <v>0.40863166872674972</v>
      </c>
      <c r="H50" s="21">
        <f t="shared" si="15"/>
        <v>0.4359622804338652</v>
      </c>
      <c r="I50" s="21">
        <f t="shared" si="15"/>
        <v>0.43910507816506783</v>
      </c>
      <c r="J50" s="21">
        <f t="shared" si="15"/>
        <v>0.46812500383086042</v>
      </c>
      <c r="K50" s="21">
        <f t="shared" si="15"/>
        <v>0.48246263198576056</v>
      </c>
      <c r="L50" s="21">
        <f t="shared" si="15"/>
        <v>0.49749273955935214</v>
      </c>
      <c r="M50" s="21">
        <f t="shared" si="15"/>
        <v>0.51132240871648904</v>
      </c>
      <c r="N50" s="21">
        <f t="shared" si="15"/>
        <v>0.52719721498104088</v>
      </c>
      <c r="O50" s="21">
        <f t="shared" si="15"/>
        <v>0.52340930134454622</v>
      </c>
      <c r="P50" s="21">
        <f t="shared" si="15"/>
        <v>0.53615479782986442</v>
      </c>
      <c r="Q50" s="21">
        <f t="shared" si="15"/>
        <v>0.55112185260351032</v>
      </c>
      <c r="R50" s="21">
        <f t="shared" si="15"/>
        <v>0.56297325168039858</v>
      </c>
      <c r="S50" s="21">
        <f t="shared" si="15"/>
        <v>0.57455757083610937</v>
      </c>
      <c r="T50" s="21">
        <f t="shared" si="15"/>
        <v>0.58596921199322471</v>
      </c>
      <c r="U50" s="21">
        <f t="shared" si="15"/>
        <v>0.59635480724619128</v>
      </c>
      <c r="V50" s="21">
        <f t="shared" si="15"/>
        <v>0.60591224230939589</v>
      </c>
      <c r="W50" s="21">
        <f t="shared" si="15"/>
        <v>0.61834495077813112</v>
      </c>
      <c r="X50" s="21">
        <f t="shared" si="15"/>
        <v>0.63022805227102152</v>
      </c>
      <c r="Y50" s="21">
        <f t="shared" si="15"/>
        <v>0.64175823621418071</v>
      </c>
      <c r="Z50" s="21">
        <f t="shared" si="15"/>
        <v>0.65312852357240003</v>
      </c>
      <c r="AA50" s="21">
        <f t="shared" si="15"/>
        <v>0.66353925881371301</v>
      </c>
      <c r="AB50" s="21">
        <f t="shared" si="15"/>
        <v>0.67485455360276392</v>
      </c>
      <c r="AC50" s="21">
        <f t="shared" si="15"/>
        <v>0.6856534983728001</v>
      </c>
      <c r="AD50" s="21">
        <f t="shared" si="15"/>
        <v>0.69765228790345213</v>
      </c>
      <c r="AE50" s="21">
        <f t="shared" si="15"/>
        <v>0.708707316951386</v>
      </c>
      <c r="AF50" s="21">
        <f t="shared" si="15"/>
        <v>0.71962126453123854</v>
      </c>
      <c r="AG50" s="21">
        <f t="shared" si="15"/>
        <v>0.73063538536942552</v>
      </c>
      <c r="AH50" s="21">
        <f t="shared" si="15"/>
        <v>0.74165837623890896</v>
      </c>
      <c r="AI50" s="21">
        <f t="shared" si="15"/>
        <v>0.75321339221855799</v>
      </c>
      <c r="AJ50" s="21">
        <f t="shared" si="15"/>
        <v>0.76436204357137472</v>
      </c>
      <c r="AK50" s="21">
        <f t="shared" si="15"/>
        <v>0.77549730533192907</v>
      </c>
      <c r="AL50" s="21">
        <f t="shared" si="15"/>
        <v>0.78670463573008176</v>
      </c>
      <c r="AM50" s="21">
        <f t="shared" si="15"/>
        <v>0.79790016488257931</v>
      </c>
      <c r="AN50" s="21">
        <f t="shared" si="15"/>
        <v>0.80916973570136808</v>
      </c>
      <c r="AO50" s="21">
        <f t="shared" si="15"/>
        <v>0.8202590004083522</v>
      </c>
      <c r="AP50" s="21">
        <f t="shared" si="15"/>
        <v>0.83134230467722248</v>
      </c>
      <c r="AQ50" s="21">
        <f t="shared" si="15"/>
        <v>0.84241179652512732</v>
      </c>
      <c r="AR50" s="21">
        <f t="shared" si="15"/>
        <v>0.85344031771884055</v>
      </c>
      <c r="AS50" s="21">
        <f t="shared" si="15"/>
        <v>0.86440303390507178</v>
      </c>
      <c r="AT50" s="21">
        <f t="shared" si="15"/>
        <v>0.87531045776064986</v>
      </c>
      <c r="AU50" s="21">
        <f t="shared" si="15"/>
        <v>0.88616464153974484</v>
      </c>
      <c r="AV50" s="21">
        <f t="shared" si="15"/>
        <v>0.89696231811160709</v>
      </c>
      <c r="AW50" s="21">
        <f t="shared" si="15"/>
        <v>0.90768671302482107</v>
      </c>
      <c r="AX50" s="21">
        <f t="shared" si="15"/>
        <v>0.91833215606687069</v>
      </c>
      <c r="AY50" s="21">
        <f t="shared" si="15"/>
        <v>0.92888827118785167</v>
      </c>
      <c r="AZ50" s="21">
        <f t="shared" si="15"/>
        <v>0.93935952177357906</v>
      </c>
      <c r="BA50" s="21">
        <f t="shared" si="15"/>
        <v>0.94973913546762434</v>
      </c>
      <c r="BB50" s="21">
        <f t="shared" si="15"/>
        <v>0.96002011463359016</v>
      </c>
      <c r="BC50" s="21"/>
    </row>
    <row r="51" spans="1:55" ht="14.4" x14ac:dyDescent="0.3">
      <c r="B51" s="384"/>
      <c r="C51" s="9" t="s">
        <v>95</v>
      </c>
      <c r="D51" s="365"/>
      <c r="E51" s="364"/>
      <c r="F51" s="382"/>
      <c r="G51" s="21">
        <f t="shared" si="16"/>
        <v>1.4549287198973984</v>
      </c>
      <c r="H51" s="21">
        <f t="shared" si="15"/>
        <v>1.554852435739156</v>
      </c>
      <c r="I51" s="21">
        <f t="shared" si="15"/>
        <v>1.5689030522721892</v>
      </c>
      <c r="J51" s="21">
        <f t="shared" si="15"/>
        <v>1.6752098580383215</v>
      </c>
      <c r="K51" s="21">
        <f t="shared" si="15"/>
        <v>1.7293950897434169</v>
      </c>
      <c r="L51" s="21">
        <f t="shared" si="15"/>
        <v>1.7861889531431416</v>
      </c>
      <c r="M51" s="21">
        <f t="shared" si="15"/>
        <v>1.8388461482418506</v>
      </c>
      <c r="N51" s="21">
        <f t="shared" si="15"/>
        <v>1.898933720189613</v>
      </c>
      <c r="O51" s="21">
        <f t="shared" si="15"/>
        <v>1.8890479933344442</v>
      </c>
      <c r="P51" s="21">
        <f t="shared" si="15"/>
        <v>1.9382378567879439</v>
      </c>
      <c r="Q51" s="21">
        <f t="shared" si="15"/>
        <v>1.9955033431400095</v>
      </c>
      <c r="R51" s="21">
        <f t="shared" si="15"/>
        <v>2.0417765356266955</v>
      </c>
      <c r="S51" s="21">
        <f t="shared" si="15"/>
        <v>2.0872303208871066</v>
      </c>
      <c r="T51" s="21">
        <f t="shared" si="15"/>
        <v>2.1322014190201251</v>
      </c>
      <c r="U51" s="21">
        <f t="shared" si="15"/>
        <v>2.1736359420795148</v>
      </c>
      <c r="V51" s="21">
        <f t="shared" si="15"/>
        <v>2.2122372726692885</v>
      </c>
      <c r="W51" s="21">
        <f t="shared" si="15"/>
        <v>2.2612652417015937</v>
      </c>
      <c r="X51" s="21">
        <f t="shared" si="15"/>
        <v>2.3084611867702591</v>
      </c>
      <c r="Y51" s="21">
        <f t="shared" si="15"/>
        <v>2.3545281761139756</v>
      </c>
      <c r="Z51" s="21">
        <f t="shared" si="15"/>
        <v>2.4001567964996271</v>
      </c>
      <c r="AA51" s="21">
        <f t="shared" si="15"/>
        <v>2.442478324613012</v>
      </c>
      <c r="AB51" s="21">
        <f t="shared" si="15"/>
        <v>2.4881766308323785</v>
      </c>
      <c r="AC51" s="21">
        <f t="shared" si="15"/>
        <v>2.5321550800125237</v>
      </c>
      <c r="AD51" s="21">
        <f t="shared" si="15"/>
        <v>2.580573615764159</v>
      </c>
      <c r="AE51" s="21">
        <f t="shared" si="15"/>
        <v>2.6257369404683244</v>
      </c>
      <c r="AF51" s="21">
        <f t="shared" si="15"/>
        <v>2.6705249201759504</v>
      </c>
      <c r="AG51" s="21">
        <f t="shared" si="15"/>
        <v>2.7158038597219929</v>
      </c>
      <c r="AH51" s="21">
        <f t="shared" si="15"/>
        <v>2.7612456396789171</v>
      </c>
      <c r="AI51" s="21">
        <f t="shared" si="15"/>
        <v>2.8087310352432766</v>
      </c>
      <c r="AJ51" s="21">
        <f t="shared" si="15"/>
        <v>2.8548847806125499</v>
      </c>
      <c r="AK51" s="21">
        <f t="shared" si="15"/>
        <v>2.9011186712009565</v>
      </c>
      <c r="AL51" s="21">
        <f t="shared" si="15"/>
        <v>2.9477390583385268</v>
      </c>
      <c r="AM51" s="21">
        <f t="shared" si="15"/>
        <v>2.9944428272047303</v>
      </c>
      <c r="AN51" s="21">
        <f t="shared" si="15"/>
        <v>3.0415376156345668</v>
      </c>
      <c r="AO51" s="21">
        <f t="shared" si="15"/>
        <v>3.08810577663996</v>
      </c>
      <c r="AP51" s="21">
        <f t="shared" si="15"/>
        <v>3.1347732838886389</v>
      </c>
      <c r="AQ51" s="21">
        <f t="shared" si="15"/>
        <v>3.1815099522692654</v>
      </c>
      <c r="AR51" s="21">
        <f t="shared" si="15"/>
        <v>3.2282158436805646</v>
      </c>
      <c r="AS51" s="21">
        <f t="shared" si="15"/>
        <v>3.2747991843099382</v>
      </c>
      <c r="AT51" s="21">
        <f t="shared" si="15"/>
        <v>3.3212954579206984</v>
      </c>
      <c r="AU51" s="21">
        <f t="shared" si="15"/>
        <v>3.3677095309046816</v>
      </c>
      <c r="AV51" s="21">
        <f t="shared" si="15"/>
        <v>3.4140269520023505</v>
      </c>
      <c r="AW51" s="21">
        <f t="shared" si="15"/>
        <v>3.4601843977848605</v>
      </c>
      <c r="AX51" s="21">
        <f t="shared" si="15"/>
        <v>3.5061584393048753</v>
      </c>
      <c r="AY51" s="21">
        <f t="shared" si="15"/>
        <v>3.551908522289934</v>
      </c>
      <c r="AZ51" s="21">
        <f t="shared" si="15"/>
        <v>3.5974474938083194</v>
      </c>
      <c r="BA51" s="21">
        <f t="shared" si="15"/>
        <v>3.6427475225530754</v>
      </c>
      <c r="BB51" s="21">
        <f t="shared" si="15"/>
        <v>3.687779820908295</v>
      </c>
      <c r="BC51" s="21"/>
    </row>
    <row r="52" spans="1:55" ht="14.4" x14ac:dyDescent="0.3">
      <c r="A52" s="16" t="s">
        <v>50</v>
      </c>
      <c r="B52" s="16"/>
      <c r="C52" s="31" t="s">
        <v>684</v>
      </c>
      <c r="D52" s="351"/>
      <c r="E52" s="351"/>
      <c r="F52" s="35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row>
    <row r="53" spans="1:55" ht="14.4" x14ac:dyDescent="0.3">
      <c r="A53" s="16"/>
      <c r="B53" s="16"/>
      <c r="C53" s="363" t="s">
        <v>685</v>
      </c>
      <c r="D53" s="351"/>
      <c r="E53" s="351"/>
      <c r="F53" s="35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row>
    <row r="54" spans="1:55" ht="14.4" customHeight="1" x14ac:dyDescent="0.3">
      <c r="B54" s="384" t="s">
        <v>97</v>
      </c>
      <c r="C54" s="9" t="s">
        <v>228</v>
      </c>
      <c r="D54" s="365" t="s">
        <v>207</v>
      </c>
      <c r="E54" s="382" t="s">
        <v>229</v>
      </c>
      <c r="F54" s="382" t="s">
        <v>207</v>
      </c>
      <c r="G54" s="21">
        <f>Tendencial!T190</f>
        <v>2.8321676325894041E-5</v>
      </c>
      <c r="H54" s="21">
        <f>Tendencial!U190</f>
        <v>3.0740245591178464E-5</v>
      </c>
      <c r="I54" s="21">
        <f>Tendencial!V190</f>
        <v>3.315881485646288E-5</v>
      </c>
      <c r="J54" s="21">
        <f>Tendencial!W190</f>
        <v>3.5577384121747297E-5</v>
      </c>
      <c r="K54" s="21">
        <f>Tendencial!X190</f>
        <v>3.7995953387031713E-5</v>
      </c>
      <c r="L54" s="21">
        <f>Tendencial!Y190</f>
        <v>4.041452265231613E-5</v>
      </c>
      <c r="M54" s="21">
        <f>Tendencial!Z190</f>
        <v>4.2833091917600553E-5</v>
      </c>
      <c r="N54" s="21">
        <f>Tendencial!AA190</f>
        <v>4.525166118288497E-5</v>
      </c>
      <c r="O54" s="21">
        <f>Tendencial!AB190</f>
        <v>4.7670230448169386E-5</v>
      </c>
      <c r="P54" s="21">
        <f>Tendencial!AC190</f>
        <v>5.0088799713453803E-5</v>
      </c>
      <c r="Q54" s="21">
        <f>Tendencial!AD190</f>
        <v>5.2507368978738219E-5</v>
      </c>
      <c r="R54" s="21">
        <f>Tendencial!AE190</f>
        <v>5.4925938244022643E-5</v>
      </c>
      <c r="S54" s="21">
        <f>Tendencial!AF190</f>
        <v>5.7344507509307059E-5</v>
      </c>
      <c r="T54" s="21">
        <f>Tendencial!AG190</f>
        <v>5.7593338372823707E-5</v>
      </c>
      <c r="U54" s="21">
        <f>Tendencial!AH190</f>
        <v>5.9448069712726169E-5</v>
      </c>
      <c r="V54" s="21">
        <f>Tendencial!AI190</f>
        <v>6.1090153562270294E-5</v>
      </c>
      <c r="W54" s="21">
        <f>Tendencial!AJ190</f>
        <v>6.2640575758913185E-5</v>
      </c>
      <c r="X54" s="21">
        <f>Tendencial!AK190</f>
        <v>6.3929778116376227E-5</v>
      </c>
      <c r="Y54" s="21">
        <f>Tendencial!AL190</f>
        <v>6.5264689162486468E-5</v>
      </c>
      <c r="Z54" s="21">
        <f>Tendencial!AM190</f>
        <v>6.6845299230677171E-5</v>
      </c>
      <c r="AA54" s="21">
        <f>Tendencial!AN190</f>
        <v>6.8043918163981923E-5</v>
      </c>
      <c r="AB54" s="21">
        <f>Tendencial!AO190</f>
        <v>6.9514275660955527E-5</v>
      </c>
      <c r="AC54" s="21">
        <f>Tendencial!AP190</f>
        <v>7.0778690862309491E-5</v>
      </c>
      <c r="AD54" s="21">
        <f>Tendencial!AQ190</f>
        <v>7.239281462488554E-5</v>
      </c>
      <c r="AE54" s="21">
        <f>Tendencial!AR190</f>
        <v>7.3750231672348437E-5</v>
      </c>
      <c r="AF54" s="21">
        <f>Tendencial!AS190</f>
        <v>7.5071754896621762E-5</v>
      </c>
      <c r="AG54" s="21">
        <f>Tendencial!AT190</f>
        <v>7.6435376384587867E-5</v>
      </c>
      <c r="AH54" s="21">
        <f>Tendencial!AU190</f>
        <v>7.7812323972122383E-5</v>
      </c>
      <c r="AI54" s="21">
        <f>Tendencial!AV190</f>
        <v>7.9381427251455329E-5</v>
      </c>
      <c r="AJ54" s="21">
        <f>Tendencial!AW190</f>
        <v>8.0812392525965153E-5</v>
      </c>
      <c r="AK54" s="21">
        <f>Tendencial!AX190</f>
        <v>8.2239722473858391E-5</v>
      </c>
      <c r="AL54" s="21">
        <f>Tendencial!AY190</f>
        <v>8.3712722668350672E-5</v>
      </c>
      <c r="AM54" s="21">
        <f>Tendencial!AZ190</f>
        <v>8.5200633940132821E-5</v>
      </c>
      <c r="AN54" s="21">
        <f>Tendencial!BA190</f>
        <v>8.6730348224462278E-5</v>
      </c>
      <c r="AO54" s="21">
        <f>Tendencial!BB190</f>
        <v>8.8211820822894137E-5</v>
      </c>
      <c r="AP54" s="21">
        <f>Tendencial!BC190</f>
        <v>8.9706864386417489E-5</v>
      </c>
      <c r="AQ54" s="21">
        <f>Tendencial!BD190</f>
        <v>9.1215718569242235E-5</v>
      </c>
      <c r="AR54" s="21">
        <f>Tendencial!BE190</f>
        <v>9.2731592527329072E-5</v>
      </c>
      <c r="AS54" s="21">
        <f>Tendencial!BF190</f>
        <v>9.4247882882711771E-5</v>
      </c>
      <c r="AT54" s="21">
        <f>Tendencial!BG190</f>
        <v>9.5768391180017884E-5</v>
      </c>
      <c r="AU54" s="21">
        <f>Tendencial!BH190</f>
        <v>9.72946850972672E-5</v>
      </c>
      <c r="AV54" s="21">
        <f>Tendencial!BI190</f>
        <v>9.8827126400375566E-5</v>
      </c>
      <c r="AW54" s="21">
        <f>Tendencial!BJ190</f>
        <v>1.0036129781514986E-4</v>
      </c>
      <c r="AX54" s="21">
        <f>Tendencial!BK190</f>
        <v>1.0189675911384107E-4</v>
      </c>
      <c r="AY54" s="21">
        <f>Tendencial!BL190</f>
        <v>1.0343132672727499E-4</v>
      </c>
      <c r="AZ54" s="21">
        <f>Tendencial!BM190</f>
        <v>1.0496797685987317E-4</v>
      </c>
      <c r="BA54" s="21">
        <f>Tendencial!BN190</f>
        <v>1.0650548935629744E-4</v>
      </c>
      <c r="BB54" s="21">
        <f>Tendencial!BO190</f>
        <v>1.080426763234647E-4</v>
      </c>
      <c r="BC54" s="21"/>
    </row>
    <row r="55" spans="1:55" ht="14.4" x14ac:dyDescent="0.3">
      <c r="B55" s="384"/>
      <c r="C55" s="9" t="s">
        <v>99</v>
      </c>
      <c r="D55" s="365"/>
      <c r="E55" s="382"/>
      <c r="F55" s="382"/>
      <c r="G55" s="21">
        <f>Tendencial!T191</f>
        <v>1.8852277755025894E-5</v>
      </c>
      <c r="H55" s="21">
        <f>Tendencial!U191</f>
        <v>2.0462194450430802E-5</v>
      </c>
      <c r="I55" s="21">
        <f>Tendencial!V191</f>
        <v>2.2072111145835711E-5</v>
      </c>
      <c r="J55" s="21">
        <f>Tendencial!W191</f>
        <v>2.3682027841240619E-5</v>
      </c>
      <c r="K55" s="21">
        <f>Tendencial!X191</f>
        <v>2.5291944536645524E-5</v>
      </c>
      <c r="L55" s="21">
        <f>Tendencial!Y191</f>
        <v>2.6901861232050436E-5</v>
      </c>
      <c r="M55" s="21">
        <f>Tendencial!Z191</f>
        <v>2.8511777927455345E-5</v>
      </c>
      <c r="N55" s="21">
        <f>Tendencial!AA191</f>
        <v>3.0121694622860254E-5</v>
      </c>
      <c r="O55" s="21">
        <f>Tendencial!AB191</f>
        <v>3.1731611318265159E-5</v>
      </c>
      <c r="P55" s="21">
        <f>Tendencial!AC191</f>
        <v>3.3341528013670064E-5</v>
      </c>
      <c r="Q55" s="21">
        <f>Tendencial!AD191</f>
        <v>3.4951444709074976E-5</v>
      </c>
      <c r="R55" s="21">
        <f>Tendencial!AE191</f>
        <v>3.6561361404479888E-5</v>
      </c>
      <c r="S55" s="21">
        <f>Tendencial!AF191</f>
        <v>3.8171278099884793E-5</v>
      </c>
      <c r="T55" s="21">
        <f>Tendencial!AG191</f>
        <v>3.8336911959231947E-5</v>
      </c>
      <c r="U55" s="21">
        <f>Tendencial!AH191</f>
        <v>3.9571510857208326E-5</v>
      </c>
      <c r="V55" s="21">
        <f>Tendencial!AI191</f>
        <v>4.0664561299294786E-5</v>
      </c>
      <c r="W55" s="21">
        <f>Tendencial!AJ191</f>
        <v>4.169659731129968E-5</v>
      </c>
      <c r="X55" s="21">
        <f>Tendencial!AK191</f>
        <v>4.2554752762469301E-5</v>
      </c>
      <c r="Y55" s="21">
        <f>Tendencial!AL191</f>
        <v>4.3443334127849626E-5</v>
      </c>
      <c r="Z55" s="21">
        <f>Tendencial!AM191</f>
        <v>4.4495464647421931E-5</v>
      </c>
      <c r="AA55" s="21">
        <f>Tendencial!AN191</f>
        <v>4.5293323389717994E-5</v>
      </c>
      <c r="AB55" s="21">
        <f>Tendencial!AO191</f>
        <v>4.6272064464687047E-5</v>
      </c>
      <c r="AC55" s="21">
        <f>Tendencial!AP191</f>
        <v>4.7113720385731808E-5</v>
      </c>
      <c r="AD55" s="21">
        <f>Tendencial!AQ191</f>
        <v>4.8188159241430812E-5</v>
      </c>
      <c r="AE55" s="21">
        <f>Tendencial!AR191</f>
        <v>4.9091721689984779E-5</v>
      </c>
      <c r="AF55" s="21">
        <f>Tendencial!AS191</f>
        <v>4.9971391473546986E-5</v>
      </c>
      <c r="AG55" s="21">
        <f>Tendencial!AT191</f>
        <v>5.0879083897824674E-5</v>
      </c>
      <c r="AH55" s="21">
        <f>Tendencial!AU191</f>
        <v>5.1795646818592896E-5</v>
      </c>
      <c r="AI55" s="21">
        <f>Tendencial!AV191</f>
        <v>5.2840117862888431E-5</v>
      </c>
      <c r="AJ55" s="21">
        <f>Tendencial!AW191</f>
        <v>5.3792637569082215E-5</v>
      </c>
      <c r="AK55" s="21">
        <f>Tendencial!AX191</f>
        <v>5.4742737426029879E-5</v>
      </c>
      <c r="AL55" s="21">
        <f>Tendencial!AY191</f>
        <v>5.5723237608301451E-5</v>
      </c>
      <c r="AM55" s="21">
        <f>Tendencial!AZ191</f>
        <v>5.6713663324904421E-5</v>
      </c>
      <c r="AN55" s="21">
        <f>Tendencial!BA191</f>
        <v>5.7731915148778379E-5</v>
      </c>
      <c r="AO55" s="21">
        <f>Tendencial!BB191</f>
        <v>5.8718054972944161E-5</v>
      </c>
      <c r="AP55" s="21">
        <f>Tendencial!BC191</f>
        <v>5.9713228287937411E-5</v>
      </c>
      <c r="AQ55" s="21">
        <f>Tendencial!BD191</f>
        <v>6.0717594619192943E-5</v>
      </c>
      <c r="AR55" s="21">
        <f>Tendencial!BE191</f>
        <v>6.1726633652427551E-5</v>
      </c>
      <c r="AS55" s="21">
        <f>Tendencial!BF191</f>
        <v>6.2735949859844494E-5</v>
      </c>
      <c r="AT55" s="21">
        <f>Tendencial!BG191</f>
        <v>6.3748073733438395E-5</v>
      </c>
      <c r="AU55" s="21">
        <f>Tendencial!BH191</f>
        <v>6.4764048795531843E-5</v>
      </c>
      <c r="AV55" s="21">
        <f>Tendencial!BI191</f>
        <v>6.5784115855017981E-5</v>
      </c>
      <c r="AW55" s="21">
        <f>Tendencial!BJ191</f>
        <v>6.6805334560518918E-5</v>
      </c>
      <c r="AX55" s="21">
        <f>Tendencial!BK191</f>
        <v>6.7827411875149966E-5</v>
      </c>
      <c r="AY55" s="21">
        <f>Tendencial!BL191</f>
        <v>6.8848894309643906E-5</v>
      </c>
      <c r="AZ55" s="21">
        <f>Tendencial!BM191</f>
        <v>6.9871762969630396E-5</v>
      </c>
      <c r="BA55" s="21">
        <f>Tendencial!BN191</f>
        <v>7.089520566069429E-5</v>
      </c>
      <c r="BB55" s="21">
        <f>Tendencial!BO191</f>
        <v>7.1918431663738023E-5</v>
      </c>
      <c r="BC55" s="21"/>
    </row>
    <row r="56" spans="1:55" ht="14.4" x14ac:dyDescent="0.3">
      <c r="B56" s="384"/>
      <c r="C56" s="9" t="s">
        <v>100</v>
      </c>
      <c r="D56" s="365"/>
      <c r="E56" s="382"/>
      <c r="F56" s="382"/>
      <c r="G56" s="21">
        <f>Tendencial!T192</f>
        <v>1.2511163015073937E-2</v>
      </c>
      <c r="H56" s="21">
        <f>Tendencial!U192</f>
        <v>1.4407417582296491E-2</v>
      </c>
      <c r="I56" s="21">
        <f>Tendencial!V192</f>
        <v>1.6303672149519045E-2</v>
      </c>
      <c r="J56" s="21">
        <f>Tendencial!W192</f>
        <v>1.8199926716741598E-2</v>
      </c>
      <c r="K56" s="21">
        <f>Tendencial!X192</f>
        <v>2.0096181283964155E-2</v>
      </c>
      <c r="L56" s="21">
        <f>Tendencial!Y192</f>
        <v>2.1992435851186709E-2</v>
      </c>
      <c r="M56" s="21">
        <f>Tendencial!Z192</f>
        <v>2.3888690418409263E-2</v>
      </c>
      <c r="N56" s="21">
        <f>Tendencial!AA192</f>
        <v>2.5784944985631816E-2</v>
      </c>
      <c r="O56" s="21">
        <f>Tendencial!AB192</f>
        <v>2.768119955285437E-2</v>
      </c>
      <c r="P56" s="21">
        <f>Tendencial!AC192</f>
        <v>2.9577454120076924E-2</v>
      </c>
      <c r="Q56" s="21">
        <f>Tendencial!AD192</f>
        <v>3.147370868729947E-2</v>
      </c>
      <c r="R56" s="21">
        <f>Tendencial!AE192</f>
        <v>3.3369963254522031E-2</v>
      </c>
      <c r="S56" s="21">
        <f>Tendencial!AF192</f>
        <v>3.5266217821744585E-2</v>
      </c>
      <c r="T56" s="21">
        <f>Tendencial!AG192</f>
        <v>3.7898593181122681E-2</v>
      </c>
      <c r="U56" s="21">
        <f>Tendencial!AH192</f>
        <v>4.1857411850332212E-2</v>
      </c>
      <c r="V56" s="21">
        <f>Tendencial!AI192</f>
        <v>4.6024556072443684E-2</v>
      </c>
      <c r="W56" s="21">
        <f>Tendencial!AJ192</f>
        <v>5.049610845521426E-2</v>
      </c>
      <c r="X56" s="21">
        <f>Tendencial!AK192</f>
        <v>5.5142841809537192E-2</v>
      </c>
      <c r="Y56" s="21">
        <f>Tendencial!AL192</f>
        <v>6.0234872915438456E-2</v>
      </c>
      <c r="Z56" s="21">
        <f>Tendencial!AM192</f>
        <v>6.6012225396783891E-2</v>
      </c>
      <c r="AA56" s="21">
        <f>Tendencial!AN192</f>
        <v>7.1899619725329794E-2</v>
      </c>
      <c r="AB56" s="21">
        <f>Tendencial!AO192</f>
        <v>7.8595025518689257E-2</v>
      </c>
      <c r="AC56" s="21">
        <f>Tendencial!AP192</f>
        <v>8.5626336014043403E-2</v>
      </c>
      <c r="AD56" s="21">
        <f>Tendencial!AQ192</f>
        <v>9.3709598074946374E-2</v>
      </c>
      <c r="AE56" s="21">
        <f>Tendencial!AR192</f>
        <v>0.10214939046125175</v>
      </c>
      <c r="AF56" s="21">
        <f>Tendencial!AS192</f>
        <v>0.11125838112954865</v>
      </c>
      <c r="AG56" s="21">
        <f>Tendencial!AT192</f>
        <v>0.12120885660309563</v>
      </c>
      <c r="AH56" s="21">
        <f>Tendencial!AU192</f>
        <v>0.13202984394024397</v>
      </c>
      <c r="AI56" s="21">
        <f>Tendencial!AV192</f>
        <v>0.14412071380112826</v>
      </c>
      <c r="AJ56" s="21">
        <f>Tendencial!AW192</f>
        <v>0.15698900744100597</v>
      </c>
      <c r="AK56" s="21">
        <f>Tendencial!AX192</f>
        <v>0.17094511423101158</v>
      </c>
      <c r="AL56" s="21">
        <f>Tendencial!AY192</f>
        <v>0.18618740608878576</v>
      </c>
      <c r="AM56" s="21">
        <f>Tendencial!AZ192</f>
        <v>0.20276147330447661</v>
      </c>
      <c r="AN56" s="21">
        <f>Tendencial!BA192</f>
        <v>0.22085003877386752</v>
      </c>
      <c r="AO56" s="21">
        <f>Tendencial!BB192</f>
        <v>0.24034603064817037</v>
      </c>
      <c r="AP56" s="21">
        <f>Tendencial!BC192</f>
        <v>0.26152886060349323</v>
      </c>
      <c r="AQ56" s="21">
        <f>Tendencial!BD192</f>
        <v>0.28454267270839562</v>
      </c>
      <c r="AR56" s="21">
        <f>Tendencial!BE192</f>
        <v>0.30952035776110742</v>
      </c>
      <c r="AS56" s="21">
        <f>Tendencial!BF192</f>
        <v>0.33660214676945993</v>
      </c>
      <c r="AT56" s="21">
        <f>Tendencial!BG192</f>
        <v>0.36597485517256212</v>
      </c>
      <c r="AU56" s="21">
        <f>Tendencial!BH192</f>
        <v>0.3978340493998947</v>
      </c>
      <c r="AV56" s="21">
        <f>Tendencial!BI192</f>
        <v>0.43238714999086264</v>
      </c>
      <c r="AW56" s="21">
        <f>Tendencial!BJ192</f>
        <v>0.46983639725375814</v>
      </c>
      <c r="AX56" s="21">
        <f>Tendencial!BK192</f>
        <v>0.51041630332245547</v>
      </c>
      <c r="AY56" s="21">
        <f>Tendencial!BL192</f>
        <v>0.55437040792704462</v>
      </c>
      <c r="AZ56" s="21">
        <f>Tendencial!BM192</f>
        <v>0.60198899049064547</v>
      </c>
      <c r="BA56" s="21">
        <f>Tendencial!BN192</f>
        <v>0.65356305144609084</v>
      </c>
      <c r="BB56" s="21">
        <f>Tendencial!BO192</f>
        <v>0.70940559746467269</v>
      </c>
      <c r="BC56" s="21"/>
    </row>
    <row r="57" spans="1:55" ht="14.4" x14ac:dyDescent="0.3">
      <c r="B57" s="384"/>
      <c r="C57" s="9" t="s">
        <v>101</v>
      </c>
      <c r="D57" s="365"/>
      <c r="E57" s="382"/>
      <c r="F57" s="382"/>
      <c r="G57" s="21">
        <f>Tendencial!T193</f>
        <v>4.6578354144663429E-2</v>
      </c>
      <c r="H57" s="21">
        <f>Tendencial!U193</f>
        <v>4.7699615542417681E-2</v>
      </c>
      <c r="I57" s="21">
        <f>Tendencial!V193</f>
        <v>4.8820876940171939E-2</v>
      </c>
      <c r="J57" s="21">
        <f>Tendencial!W193</f>
        <v>4.9942138337926198E-2</v>
      </c>
      <c r="K57" s="21">
        <f>Tendencial!X193</f>
        <v>5.1063399735680456E-2</v>
      </c>
      <c r="L57" s="21">
        <f>Tendencial!Y193</f>
        <v>5.2184661133434708E-2</v>
      </c>
      <c r="M57" s="21">
        <f>Tendencial!Z193</f>
        <v>5.3305922531188966E-2</v>
      </c>
      <c r="N57" s="21">
        <f>Tendencial!AA193</f>
        <v>5.4427183928943218E-2</v>
      </c>
      <c r="O57" s="21">
        <f>Tendencial!AB193</f>
        <v>5.5548445326697476E-2</v>
      </c>
      <c r="P57" s="21">
        <f>Tendencial!AC193</f>
        <v>5.6669706724451735E-2</v>
      </c>
      <c r="Q57" s="21">
        <f>Tendencial!AD193</f>
        <v>5.7790968122205993E-2</v>
      </c>
      <c r="R57" s="21">
        <f>Tendencial!AE193</f>
        <v>5.8912229519960245E-2</v>
      </c>
      <c r="S57" s="21">
        <f>Tendencial!AF193</f>
        <v>6.0033490917714503E-2</v>
      </c>
      <c r="T57" s="21">
        <f>Tendencial!AG193</f>
        <v>5.9973457426796786E-2</v>
      </c>
      <c r="U57" s="21">
        <f>Tendencial!AH193</f>
        <v>5.9913483969369991E-2</v>
      </c>
      <c r="V57" s="21">
        <f>Tendencial!AI193</f>
        <v>5.9853570485400617E-2</v>
      </c>
      <c r="W57" s="21">
        <f>Tendencial!AJ193</f>
        <v>5.9793716914915217E-2</v>
      </c>
      <c r="X57" s="21">
        <f>Tendencial!AK193</f>
        <v>5.9733923198000305E-2</v>
      </c>
      <c r="Y57" s="21">
        <f>Tendencial!AL193</f>
        <v>5.9674189274802301E-2</v>
      </c>
      <c r="Z57" s="21">
        <f>Tendencial!AM193</f>
        <v>5.9614515085527502E-2</v>
      </c>
      <c r="AA57" s="21">
        <f>Tendencial!AN193</f>
        <v>5.9554900570441972E-2</v>
      </c>
      <c r="AB57" s="21">
        <f>Tendencial!AO193</f>
        <v>5.9495345669871531E-2</v>
      </c>
      <c r="AC57" s="21">
        <f>Tendencial!AP193</f>
        <v>5.9435850324201657E-2</v>
      </c>
      <c r="AD57" s="21">
        <f>Tendencial!AQ193</f>
        <v>5.9376414473877454E-2</v>
      </c>
      <c r="AE57" s="21">
        <f>Tendencial!AR193</f>
        <v>5.9317038059403575E-2</v>
      </c>
      <c r="AF57" s="21">
        <f>Tendencial!AS193</f>
        <v>5.9257721021344169E-2</v>
      </c>
      <c r="AG57" s="21">
        <f>Tendencial!AT193</f>
        <v>5.9198463300322822E-2</v>
      </c>
      <c r="AH57" s="21">
        <f>Tendencial!AU193</f>
        <v>5.9139264837022497E-2</v>
      </c>
      <c r="AI57" s="21">
        <f>Tendencial!AV193</f>
        <v>5.9080125572185477E-2</v>
      </c>
      <c r="AJ57" s="21">
        <f>Tendencial!AW193</f>
        <v>5.9021045446613289E-2</v>
      </c>
      <c r="AK57" s="21">
        <f>Tendencial!AX193</f>
        <v>5.8962024401166678E-2</v>
      </c>
      <c r="AL57" s="21">
        <f>Tendencial!AY193</f>
        <v>5.8903062376765514E-2</v>
      </c>
      <c r="AM57" s="21">
        <f>Tendencial!AZ193</f>
        <v>5.8844159314388751E-2</v>
      </c>
      <c r="AN57" s="21">
        <f>Tendencial!BA193</f>
        <v>5.8785315155074361E-2</v>
      </c>
      <c r="AO57" s="21">
        <f>Tendencial!BB193</f>
        <v>5.8726529839919286E-2</v>
      </c>
      <c r="AP57" s="21">
        <f>Tendencial!BC193</f>
        <v>5.8667803310079369E-2</v>
      </c>
      <c r="AQ57" s="21">
        <f>Tendencial!BD193</f>
        <v>5.8609135506769293E-2</v>
      </c>
      <c r="AR57" s="21">
        <f>Tendencial!BE193</f>
        <v>5.8550526371262526E-2</v>
      </c>
      <c r="AS57" s="21">
        <f>Tendencial!BF193</f>
        <v>5.8491975844891263E-2</v>
      </c>
      <c r="AT57" s="21">
        <f>Tendencial!BG193</f>
        <v>5.8433483869046371E-2</v>
      </c>
      <c r="AU57" s="21">
        <f>Tendencial!BH193</f>
        <v>5.8375050385177325E-2</v>
      </c>
      <c r="AV57" s="21">
        <f>Tendencial!BI193</f>
        <v>5.8316675334792151E-2</v>
      </c>
      <c r="AW57" s="21">
        <f>Tendencial!BJ193</f>
        <v>5.825835865945736E-2</v>
      </c>
      <c r="AX57" s="21">
        <f>Tendencial!BK193</f>
        <v>5.8200100300797905E-2</v>
      </c>
      <c r="AY57" s="21">
        <f>Tendencial!BL193</f>
        <v>5.8141900200497108E-2</v>
      </c>
      <c r="AZ57" s="21">
        <f>Tendencial!BM193</f>
        <v>5.8083758300296613E-2</v>
      </c>
      <c r="BA57" s="21">
        <f>Tendencial!BN193</f>
        <v>5.8025674541996315E-2</v>
      </c>
      <c r="BB57" s="21">
        <f>Tendencial!BO193</f>
        <v>5.796764886745432E-2</v>
      </c>
      <c r="BC57" s="21"/>
    </row>
    <row r="58" spans="1:55" ht="14.4" x14ac:dyDescent="0.3">
      <c r="B58" s="384"/>
      <c r="C58" s="9" t="s">
        <v>102</v>
      </c>
      <c r="D58" s="365"/>
      <c r="E58" s="382"/>
      <c r="F58" s="382"/>
      <c r="G58" s="21">
        <f>Tendencial!T194</f>
        <v>7.2141382875899093E-2</v>
      </c>
      <c r="H58" s="21">
        <f>Tendencial!U194</f>
        <v>7.8301997430315212E-2</v>
      </c>
      <c r="I58" s="21">
        <f>Tendencial!V194</f>
        <v>8.4462611984731331E-2</v>
      </c>
      <c r="J58" s="21">
        <f>Tendencial!W194</f>
        <v>9.062322653914745E-2</v>
      </c>
      <c r="K58" s="21">
        <f>Tendencial!X194</f>
        <v>9.6783841093563569E-2</v>
      </c>
      <c r="L58" s="21">
        <f>Tendencial!Y194</f>
        <v>0.10294445564797969</v>
      </c>
      <c r="M58" s="21">
        <f>Tendencial!Z194</f>
        <v>0.10910507020239579</v>
      </c>
      <c r="N58" s="21">
        <f>Tendencial!AA194</f>
        <v>0.11526568475681193</v>
      </c>
      <c r="O58" s="21">
        <f>Tendencial!AB194</f>
        <v>0.12142629931122803</v>
      </c>
      <c r="P58" s="21">
        <f>Tendencial!AC194</f>
        <v>0.12758691386564416</v>
      </c>
      <c r="Q58" s="21">
        <f>Tendencial!AD194</f>
        <v>0.13374752842006027</v>
      </c>
      <c r="R58" s="21">
        <f>Tendencial!AE194</f>
        <v>0.1399081429744764</v>
      </c>
      <c r="S58" s="21">
        <f>Tendencial!AF194</f>
        <v>0.14606875752889251</v>
      </c>
      <c r="T58" s="21">
        <f>Tendencial!AG194</f>
        <v>0.14670258309732762</v>
      </c>
      <c r="U58" s="21">
        <f>Tendencial!AH194</f>
        <v>0.15142698154691722</v>
      </c>
      <c r="V58" s="21">
        <f>Tendencial!AI194</f>
        <v>0.15560972123863473</v>
      </c>
      <c r="W58" s="21">
        <f>Tendencial!AJ194</f>
        <v>0.15955897904457345</v>
      </c>
      <c r="X58" s="21">
        <f>Tendencial!AK194</f>
        <v>0.16284285390438252</v>
      </c>
      <c r="Y58" s="21">
        <f>Tendencial!AL194</f>
        <v>0.16624315859590455</v>
      </c>
      <c r="Z58" s="21">
        <f>Tendencial!AM194</f>
        <v>0.17026931138413456</v>
      </c>
      <c r="AA58" s="21">
        <f>Tendencial!AN194</f>
        <v>0.1733224508379875</v>
      </c>
      <c r="AB58" s="21">
        <f>Tendencial!AO194</f>
        <v>0.17706776668486907</v>
      </c>
      <c r="AC58" s="21">
        <f>Tendencial!AP194</f>
        <v>0.18028850334273366</v>
      </c>
      <c r="AD58" s="21">
        <f>Tendencial!AQ194</f>
        <v>0.18440002269720854</v>
      </c>
      <c r="AE58" s="21">
        <f>Tendencial!AR194</f>
        <v>0.18785765500034171</v>
      </c>
      <c r="AF58" s="21">
        <f>Tendencial!AS194</f>
        <v>0.19122385803877309</v>
      </c>
      <c r="AG58" s="21">
        <f>Tendencial!AT194</f>
        <v>0.19469729438234237</v>
      </c>
      <c r="AH58" s="21">
        <f>Tendencial!AU194</f>
        <v>0.19820467515914877</v>
      </c>
      <c r="AI58" s="21">
        <f>Tendencial!AV194</f>
        <v>0.20220151768865302</v>
      </c>
      <c r="AJ58" s="21">
        <f>Tendencial!AW194</f>
        <v>0.2058464930976879</v>
      </c>
      <c r="AK58" s="21">
        <f>Tendencial!AX194</f>
        <v>0.2094822085502743</v>
      </c>
      <c r="AL58" s="21">
        <f>Tendencial!AY194</f>
        <v>0.21323425591443351</v>
      </c>
      <c r="AM58" s="21">
        <f>Tendencial!AZ194</f>
        <v>0.21702428498996754</v>
      </c>
      <c r="AN58" s="21">
        <f>Tendencial!BA194</f>
        <v>0.22092079530265857</v>
      </c>
      <c r="AO58" s="21">
        <f>Tendencial!BB194</f>
        <v>0.22469442369646631</v>
      </c>
      <c r="AP58" s="21">
        <f>Tendencial!BC194</f>
        <v>0.22850262024850715</v>
      </c>
      <c r="AQ58" s="21">
        <f>Tendencial!BD194</f>
        <v>0.23234599540944498</v>
      </c>
      <c r="AR58" s="21">
        <f>Tendencial!BE194</f>
        <v>0.23620725144328941</v>
      </c>
      <c r="AS58" s="21">
        <f>Tendencial!BF194</f>
        <v>0.24006956813033825</v>
      </c>
      <c r="AT58" s="21">
        <f>Tendencial!BG194</f>
        <v>0.24394262881995757</v>
      </c>
      <c r="AU58" s="21">
        <f>Tendencial!BH194</f>
        <v>0.24783042672423514</v>
      </c>
      <c r="AV58" s="21">
        <f>Tendencial!BI194</f>
        <v>0.25173388333853541</v>
      </c>
      <c r="AW58" s="21">
        <f>Tendencial!BJ194</f>
        <v>0.25564174691825231</v>
      </c>
      <c r="AX58" s="21">
        <f>Tendencial!BK194</f>
        <v>0.25955289610890714</v>
      </c>
      <c r="AY58" s="21">
        <f>Tendencial!BL194</f>
        <v>0.26346176889157058</v>
      </c>
      <c r="AZ58" s="21">
        <f>Tendencial!BM194</f>
        <v>0.26737594629711886</v>
      </c>
      <c r="BA58" s="21">
        <f>Tendencial!BN194</f>
        <v>0.27129232032825668</v>
      </c>
      <c r="BB58" s="21">
        <f>Tendencial!BO194</f>
        <v>0.2752078651665707</v>
      </c>
      <c r="BC58" s="21"/>
    </row>
    <row r="59" spans="1:55" ht="14.4" x14ac:dyDescent="0.3">
      <c r="B59" s="384"/>
      <c r="C59" s="9" t="s">
        <v>103</v>
      </c>
      <c r="D59" s="365"/>
      <c r="E59" s="382"/>
      <c r="F59" s="382"/>
      <c r="G59" s="21">
        <f>Tendencial!T195</f>
        <v>1.7931692716126792E-2</v>
      </c>
      <c r="H59" s="21">
        <f>Tendencial!U195</f>
        <v>1.9462994761200201E-2</v>
      </c>
      <c r="I59" s="21">
        <f>Tendencial!V195</f>
        <v>2.0994296806273613E-2</v>
      </c>
      <c r="J59" s="21">
        <f>Tendencial!W195</f>
        <v>2.2525598851347022E-2</v>
      </c>
      <c r="K59" s="21">
        <f>Tendencial!X195</f>
        <v>2.4056900896420434E-2</v>
      </c>
      <c r="L59" s="21">
        <f>Tendencial!Y195</f>
        <v>2.5588202941493846E-2</v>
      </c>
      <c r="M59" s="21">
        <f>Tendencial!Z195</f>
        <v>2.7119504986567254E-2</v>
      </c>
      <c r="N59" s="21">
        <f>Tendencial!AA195</f>
        <v>2.8650807031640666E-2</v>
      </c>
      <c r="O59" s="21">
        <f>Tendencial!AB195</f>
        <v>3.0182109076714078E-2</v>
      </c>
      <c r="P59" s="21">
        <f>Tendencial!AC195</f>
        <v>3.1713411121787487E-2</v>
      </c>
      <c r="Q59" s="21">
        <f>Tendencial!AD195</f>
        <v>3.3244713166860895E-2</v>
      </c>
      <c r="R59" s="21">
        <f>Tendencial!AE195</f>
        <v>3.4776015211934311E-2</v>
      </c>
      <c r="S59" s="21">
        <f>Tendencial!AF195</f>
        <v>3.6307317257007719E-2</v>
      </c>
      <c r="T59" s="21">
        <f>Tendencial!AG195</f>
        <v>3.6464862966220896E-2</v>
      </c>
      <c r="U59" s="21">
        <f>Tendencial!AH195</f>
        <v>3.7639174545641543E-2</v>
      </c>
      <c r="V59" s="21">
        <f>Tendencial!AI195</f>
        <v>3.8678849692879158E-2</v>
      </c>
      <c r="W59" s="21">
        <f>Tendencial!AJ195</f>
        <v>3.9660489836299766E-2</v>
      </c>
      <c r="X59" s="21">
        <f>Tendencial!AK195</f>
        <v>4.0476740267839283E-2</v>
      </c>
      <c r="Y59" s="21">
        <f>Tendencial!AL195</f>
        <v>4.1321930870498874E-2</v>
      </c>
      <c r="Z59" s="21">
        <f>Tendencial!AM195</f>
        <v>4.2322684276500419E-2</v>
      </c>
      <c r="AA59" s="21">
        <f>Tendencial!AN195</f>
        <v>4.308158237802634E-2</v>
      </c>
      <c r="AB59" s="21">
        <f>Tendencial!AO195</f>
        <v>4.4012530056235559E-2</v>
      </c>
      <c r="AC59" s="21">
        <f>Tendencial!AP195</f>
        <v>4.4813086654488507E-2</v>
      </c>
      <c r="AD59" s="21">
        <f>Tendencial!AQ195</f>
        <v>4.5835059047056571E-2</v>
      </c>
      <c r="AE59" s="21">
        <f>Tendencial!AR195</f>
        <v>4.6694499184096849E-2</v>
      </c>
      <c r="AF59" s="21">
        <f>Tendencial!AS195</f>
        <v>4.7531213370863697E-2</v>
      </c>
      <c r="AG59" s="21">
        <f>Tendencial!AT195</f>
        <v>4.8394581810709887E-2</v>
      </c>
      <c r="AH59" s="21">
        <f>Tendencial!AU195</f>
        <v>4.9266387587379487E-2</v>
      </c>
      <c r="AI59" s="21">
        <f>Tendencial!AV195</f>
        <v>5.0259855541786566E-2</v>
      </c>
      <c r="AJ59" s="21">
        <f>Tendencial!AW195</f>
        <v>5.1165862280042308E-2</v>
      </c>
      <c r="AK59" s="21">
        <f>Tendencial!AX195</f>
        <v>5.2069567333925239E-2</v>
      </c>
      <c r="AL59" s="21">
        <f>Tendencial!AY195</f>
        <v>5.3002188219585217E-2</v>
      </c>
      <c r="AM59" s="21">
        <f>Tendencial!AZ195</f>
        <v>5.3944249960827036E-2</v>
      </c>
      <c r="AN59" s="21">
        <f>Tendencial!BA195</f>
        <v>5.4912779018726994E-2</v>
      </c>
      <c r="AO59" s="21">
        <f>Tendencial!BB195</f>
        <v>5.5850764154096746E-2</v>
      </c>
      <c r="AP59" s="21">
        <f>Tendencial!BC195</f>
        <v>5.6797341661368558E-2</v>
      </c>
      <c r="AQ59" s="21">
        <f>Tendencial!BD195</f>
        <v>5.7752663276110651E-2</v>
      </c>
      <c r="AR59" s="21">
        <f>Tendencial!BE195</f>
        <v>5.8712429417775783E-2</v>
      </c>
      <c r="AS59" s="21">
        <f>Tendencial!BF195</f>
        <v>5.9672459198791612E-2</v>
      </c>
      <c r="AT59" s="21">
        <f>Tendencial!BG195</f>
        <v>6.0635159543427859E-2</v>
      </c>
      <c r="AU59" s="21">
        <f>Tendencial!BH195</f>
        <v>6.1601523017244739E-2</v>
      </c>
      <c r="AV59" s="21">
        <f>Tendencial!BI195</f>
        <v>6.2571778670075434E-2</v>
      </c>
      <c r="AW59" s="21">
        <f>Tendencial!BJ195</f>
        <v>6.3543129732316267E-2</v>
      </c>
      <c r="AX59" s="21">
        <f>Tendencial!BK195</f>
        <v>6.4515297476513758E-2</v>
      </c>
      <c r="AY59" s="21">
        <f>Tendencial!BL195</f>
        <v>6.5486899389464739E-2</v>
      </c>
      <c r="AZ59" s="21">
        <f>Tendencial!BM195</f>
        <v>6.6459819836435369E-2</v>
      </c>
      <c r="BA59" s="21">
        <f>Tendencial!BN195</f>
        <v>6.7433286283683683E-2</v>
      </c>
      <c r="BB59" s="21">
        <f>Tendencial!BO195</f>
        <v>6.8406546624113343E-2</v>
      </c>
      <c r="BC59" s="21"/>
    </row>
    <row r="60" spans="1:55" ht="14.4" x14ac:dyDescent="0.3">
      <c r="B60" s="384"/>
      <c r="C60" s="9" t="s">
        <v>104</v>
      </c>
      <c r="D60" s="365"/>
      <c r="E60" s="382"/>
      <c r="F60" s="382"/>
      <c r="G60" s="21">
        <f>Tendencial!T196</f>
        <v>0</v>
      </c>
      <c r="H60" s="21">
        <f>Tendencial!U196</f>
        <v>0</v>
      </c>
      <c r="I60" s="21">
        <f>Tendencial!V196</f>
        <v>0</v>
      </c>
      <c r="J60" s="21">
        <f>Tendencial!W196</f>
        <v>0</v>
      </c>
      <c r="K60" s="21">
        <f>Tendencial!X196</f>
        <v>0</v>
      </c>
      <c r="L60" s="21">
        <f>Tendencial!Y196</f>
        <v>0</v>
      </c>
      <c r="M60" s="21">
        <f>Tendencial!Z196</f>
        <v>0</v>
      </c>
      <c r="N60" s="21">
        <f>Tendencial!AA196</f>
        <v>0</v>
      </c>
      <c r="O60" s="21">
        <f>Tendencial!AB196</f>
        <v>0</v>
      </c>
      <c r="P60" s="21">
        <f>Tendencial!AC196</f>
        <v>0</v>
      </c>
      <c r="Q60" s="21">
        <f>Tendencial!AD196</f>
        <v>0</v>
      </c>
      <c r="R60" s="21">
        <f>Tendencial!AE196</f>
        <v>0</v>
      </c>
      <c r="S60" s="21">
        <f>Tendencial!AF196</f>
        <v>0</v>
      </c>
      <c r="T60" s="21">
        <f>Tendencial!AG196</f>
        <v>0</v>
      </c>
      <c r="U60" s="21">
        <f>Tendencial!AH196</f>
        <v>0</v>
      </c>
      <c r="V60" s="21">
        <f>Tendencial!AI196</f>
        <v>0</v>
      </c>
      <c r="W60" s="21">
        <f>Tendencial!AJ196</f>
        <v>0</v>
      </c>
      <c r="X60" s="21">
        <f>Tendencial!AK196</f>
        <v>0</v>
      </c>
      <c r="Y60" s="21">
        <f>Tendencial!AL196</f>
        <v>0</v>
      </c>
      <c r="Z60" s="21">
        <f>Tendencial!AM196</f>
        <v>0</v>
      </c>
      <c r="AA60" s="21">
        <f>Tendencial!AN196</f>
        <v>0</v>
      </c>
      <c r="AB60" s="21">
        <f>Tendencial!AO196</f>
        <v>0</v>
      </c>
      <c r="AC60" s="21">
        <f>Tendencial!AP196</f>
        <v>0</v>
      </c>
      <c r="AD60" s="21">
        <f>Tendencial!AQ196</f>
        <v>0</v>
      </c>
      <c r="AE60" s="21">
        <f>Tendencial!AR196</f>
        <v>0</v>
      </c>
      <c r="AF60" s="21">
        <f>Tendencial!AS196</f>
        <v>0</v>
      </c>
      <c r="AG60" s="21">
        <f>Tendencial!AT196</f>
        <v>0</v>
      </c>
      <c r="AH60" s="21">
        <f>Tendencial!AU196</f>
        <v>0</v>
      </c>
      <c r="AI60" s="21">
        <f>Tendencial!AV196</f>
        <v>0</v>
      </c>
      <c r="AJ60" s="21">
        <f>Tendencial!AW196</f>
        <v>0</v>
      </c>
      <c r="AK60" s="21">
        <f>Tendencial!AX196</f>
        <v>0</v>
      </c>
      <c r="AL60" s="21">
        <f>Tendencial!AY196</f>
        <v>0</v>
      </c>
      <c r="AM60" s="21">
        <f>Tendencial!AZ196</f>
        <v>0</v>
      </c>
      <c r="AN60" s="21">
        <f>Tendencial!BA196</f>
        <v>0</v>
      </c>
      <c r="AO60" s="21">
        <f>Tendencial!BB196</f>
        <v>0</v>
      </c>
      <c r="AP60" s="21">
        <f>Tendencial!BC196</f>
        <v>0</v>
      </c>
      <c r="AQ60" s="21">
        <f>Tendencial!BD196</f>
        <v>0</v>
      </c>
      <c r="AR60" s="21">
        <f>Tendencial!BE196</f>
        <v>0</v>
      </c>
      <c r="AS60" s="21">
        <f>Tendencial!BF196</f>
        <v>0</v>
      </c>
      <c r="AT60" s="21">
        <f>Tendencial!BG196</f>
        <v>0</v>
      </c>
      <c r="AU60" s="21">
        <f>Tendencial!BH196</f>
        <v>0</v>
      </c>
      <c r="AV60" s="21">
        <f>Tendencial!BI196</f>
        <v>0</v>
      </c>
      <c r="AW60" s="21">
        <f>Tendencial!BJ196</f>
        <v>0</v>
      </c>
      <c r="AX60" s="21">
        <f>Tendencial!BK196</f>
        <v>0</v>
      </c>
      <c r="AY60" s="21">
        <f>Tendencial!BL196</f>
        <v>0</v>
      </c>
      <c r="AZ60" s="21">
        <f>Tendencial!BM196</f>
        <v>0</v>
      </c>
      <c r="BA60" s="21">
        <f>Tendencial!BN196</f>
        <v>0</v>
      </c>
      <c r="BB60" s="21">
        <f>Tendencial!BO196</f>
        <v>0</v>
      </c>
      <c r="BC60" s="21"/>
    </row>
    <row r="61" spans="1:55" ht="14.4" customHeight="1" x14ac:dyDescent="0.3">
      <c r="B61" s="384"/>
      <c r="C61" s="9" t="s">
        <v>105</v>
      </c>
      <c r="D61" s="365"/>
      <c r="E61" s="382"/>
      <c r="F61" s="382"/>
      <c r="G61" s="21">
        <f>Tendencial!T197</f>
        <v>6.0757529797893797E-2</v>
      </c>
      <c r="H61" s="21">
        <f>Tendencial!U197</f>
        <v>6.5946004255157398E-2</v>
      </c>
      <c r="I61" s="21">
        <f>Tendencial!V197</f>
        <v>7.1134478712420984E-2</v>
      </c>
      <c r="J61" s="21">
        <f>Tendencial!W197</f>
        <v>7.6322953169684571E-2</v>
      </c>
      <c r="K61" s="21">
        <f>Tendencial!X197</f>
        <v>8.1511427626948157E-2</v>
      </c>
      <c r="L61" s="21">
        <f>Tendencial!Y197</f>
        <v>8.6699902084211744E-2</v>
      </c>
      <c r="M61" s="21">
        <f>Tendencial!Z197</f>
        <v>9.1888376541475331E-2</v>
      </c>
      <c r="N61" s="21">
        <f>Tendencial!AA197</f>
        <v>9.7076850998738931E-2</v>
      </c>
      <c r="O61" s="21">
        <f>Tendencial!AB197</f>
        <v>0.10226532545600253</v>
      </c>
      <c r="P61" s="21">
        <f>Tendencial!AC197</f>
        <v>0.1074537999132661</v>
      </c>
      <c r="Q61" s="21">
        <f>Tendencial!AD197</f>
        <v>0.1126422743705297</v>
      </c>
      <c r="R61" s="21">
        <f>Tendencial!AE197</f>
        <v>0.11783074882779329</v>
      </c>
      <c r="S61" s="21">
        <f>Tendencial!AF197</f>
        <v>0.12301922328505688</v>
      </c>
      <c r="T61" s="21">
        <f>Tendencial!AG197</f>
        <v>0.12355303168081648</v>
      </c>
      <c r="U61" s="21">
        <f>Tendencial!AH197</f>
        <v>0.12753192379703565</v>
      </c>
      <c r="V61" s="21">
        <f>Tendencial!AI197</f>
        <v>0.13105463047835242</v>
      </c>
      <c r="W61" s="21">
        <f>Tendencial!AJ197</f>
        <v>0.13438069853053622</v>
      </c>
      <c r="X61" s="21">
        <f>Tendencial!AK197</f>
        <v>0.13714638053847095</v>
      </c>
      <c r="Y61" s="21">
        <f>Tendencial!AL197</f>
        <v>0.14001011984289294</v>
      </c>
      <c r="Z61" s="21">
        <f>Tendencial!AM197</f>
        <v>0.14340094891006736</v>
      </c>
      <c r="AA61" s="21">
        <f>Tendencial!AN197</f>
        <v>0.14597230537635111</v>
      </c>
      <c r="AB61" s="21">
        <f>Tendencial!AO197</f>
        <v>0.14912661334908409</v>
      </c>
      <c r="AC61" s="21">
        <f>Tendencial!AP197</f>
        <v>0.15183912031333235</v>
      </c>
      <c r="AD61" s="21">
        <f>Tendencial!AQ197</f>
        <v>0.15530184517021306</v>
      </c>
      <c r="AE61" s="21">
        <f>Tendencial!AR197</f>
        <v>0.15821386583454047</v>
      </c>
      <c r="AF61" s="21">
        <f>Tendencial!AS197</f>
        <v>0.1610488846997192</v>
      </c>
      <c r="AG61" s="21">
        <f>Tendencial!AT197</f>
        <v>0.16397421553941954</v>
      </c>
      <c r="AH61" s="21">
        <f>Tendencial!AU197</f>
        <v>0.16692813440767798</v>
      </c>
      <c r="AI61" s="21">
        <f>Tendencial!AV197</f>
        <v>0.1702942783517383</v>
      </c>
      <c r="AJ61" s="21">
        <f>Tendencial!AW197</f>
        <v>0.17336407952824182</v>
      </c>
      <c r="AK61" s="21">
        <f>Tendencial!AX197</f>
        <v>0.17642608196209006</v>
      </c>
      <c r="AL61" s="21">
        <f>Tendencial!AY197</f>
        <v>0.179586059224006</v>
      </c>
      <c r="AM61" s="21">
        <f>Tendencial!AZ197</f>
        <v>0.18277802471332533</v>
      </c>
      <c r="AN61" s="21">
        <f>Tendencial!BA197</f>
        <v>0.18605966878491709</v>
      </c>
      <c r="AO61" s="21">
        <f>Tendencial!BB197</f>
        <v>0.18923782160709632</v>
      </c>
      <c r="AP61" s="21">
        <f>Tendencial!BC197</f>
        <v>0.1924450877595193</v>
      </c>
      <c r="AQ61" s="21">
        <f>Tendencial!BD197</f>
        <v>0.19568198136421866</v>
      </c>
      <c r="AR61" s="21">
        <f>Tendencial!BE197</f>
        <v>0.19893393425424255</v>
      </c>
      <c r="AS61" s="21">
        <f>Tendencial!BF197</f>
        <v>0.20218678042723529</v>
      </c>
      <c r="AT61" s="21">
        <f>Tendencial!BG197</f>
        <v>0.20544867520770269</v>
      </c>
      <c r="AU61" s="21">
        <f>Tendencial!BH197</f>
        <v>0.20872298168202794</v>
      </c>
      <c r="AV61" s="21">
        <f>Tendencial!BI197</f>
        <v>0.21201047593433683</v>
      </c>
      <c r="AW61" s="21">
        <f>Tendencial!BJ197</f>
        <v>0.21530168173641018</v>
      </c>
      <c r="AX61" s="21">
        <f>Tendencial!BK197</f>
        <v>0.2185956546826178</v>
      </c>
      <c r="AY61" s="21">
        <f>Tendencial!BL197</f>
        <v>0.22188771043621205</v>
      </c>
      <c r="AZ61" s="21">
        <f>Tendencial!BM197</f>
        <v>0.22518423374740149</v>
      </c>
      <c r="BA61" s="21">
        <f>Tendencial!BN197</f>
        <v>0.22848260705840226</v>
      </c>
      <c r="BB61" s="21">
        <f>Tendencial!BO197</f>
        <v>0.23178028202255008</v>
      </c>
      <c r="BC61" s="21"/>
    </row>
    <row r="62" spans="1:55" ht="14.4" x14ac:dyDescent="0.3">
      <c r="B62" s="384"/>
      <c r="C62" s="9" t="s">
        <v>106</v>
      </c>
      <c r="D62" s="365"/>
      <c r="E62" s="382"/>
      <c r="F62" s="382"/>
      <c r="G62" s="21">
        <f>Tendencial!T198</f>
        <v>5.3904946194204039E-3</v>
      </c>
      <c r="H62" s="21">
        <f>Tendencial!U198</f>
        <v>5.8508234665265134E-3</v>
      </c>
      <c r="I62" s="21">
        <f>Tendencial!V198</f>
        <v>6.3111523136326238E-3</v>
      </c>
      <c r="J62" s="21">
        <f>Tendencial!W198</f>
        <v>6.7714811607387342E-3</v>
      </c>
      <c r="K62" s="21">
        <f>Tendencial!X198</f>
        <v>7.2318100078448437E-3</v>
      </c>
      <c r="L62" s="21">
        <f>Tendencial!Y198</f>
        <v>7.6921388549509532E-3</v>
      </c>
      <c r="M62" s="21">
        <f>Tendencial!Z198</f>
        <v>8.1524677020570636E-3</v>
      </c>
      <c r="N62" s="21">
        <f>Tendencial!AA198</f>
        <v>8.612796549163174E-3</v>
      </c>
      <c r="O62" s="21">
        <f>Tendencial!AB198</f>
        <v>9.0731253962692826E-3</v>
      </c>
      <c r="P62" s="21">
        <f>Tendencial!AC198</f>
        <v>9.533454243375393E-3</v>
      </c>
      <c r="Q62" s="21">
        <f>Tendencial!AD198</f>
        <v>9.9937830904815034E-3</v>
      </c>
      <c r="R62" s="21">
        <f>Tendencial!AE198</f>
        <v>1.0454111937587614E-2</v>
      </c>
      <c r="S62" s="21">
        <f>Tendencial!AF198</f>
        <v>1.0914440784693724E-2</v>
      </c>
      <c r="T62" s="21">
        <f>Tendencial!AG198</f>
        <v>1.096180102620972E-2</v>
      </c>
      <c r="U62" s="21">
        <f>Tendencial!AH198</f>
        <v>1.1314814004437767E-2</v>
      </c>
      <c r="V62" s="21">
        <f>Tendencial!AI198</f>
        <v>1.1627353560845021E-2</v>
      </c>
      <c r="W62" s="21">
        <f>Tendencial!AJ198</f>
        <v>1.192244705787762E-2</v>
      </c>
      <c r="X62" s="21">
        <f>Tendencial!AK198</f>
        <v>1.216782230654872E-2</v>
      </c>
      <c r="Y62" s="21">
        <f>Tendencial!AL198</f>
        <v>1.2421897338289802E-2</v>
      </c>
      <c r="Z62" s="21">
        <f>Tendencial!AM198</f>
        <v>1.2722736524852842E-2</v>
      </c>
      <c r="AA62" s="21">
        <f>Tendencial!AN198</f>
        <v>1.2950870934566696E-2</v>
      </c>
      <c r="AB62" s="21">
        <f>Tendencial!AO198</f>
        <v>1.3230725632602847E-2</v>
      </c>
      <c r="AC62" s="21">
        <f>Tendencial!AP198</f>
        <v>1.3471383115626913E-2</v>
      </c>
      <c r="AD62" s="21">
        <f>Tendencial!AQ198</f>
        <v>1.3778600999099782E-2</v>
      </c>
      <c r="AE62" s="21">
        <f>Tendencial!AR198</f>
        <v>1.4036959621889646E-2</v>
      </c>
      <c r="AF62" s="21">
        <f>Tendencial!AS198</f>
        <v>1.4288486535336199E-2</v>
      </c>
      <c r="AG62" s="21">
        <f>Tendencial!AT198</f>
        <v>1.4548026055851333E-2</v>
      </c>
      <c r="AH62" s="21">
        <f>Tendencial!AU198</f>
        <v>1.4810101946996326E-2</v>
      </c>
      <c r="AI62" s="21">
        <f>Tendencial!AV198</f>
        <v>1.5108751034261896E-2</v>
      </c>
      <c r="AJ62" s="21">
        <f>Tendencial!AW198</f>
        <v>1.5381108168919572E-2</v>
      </c>
      <c r="AK62" s="21">
        <f>Tendencial!AX198</f>
        <v>1.5652773388016142E-2</v>
      </c>
      <c r="AL62" s="21">
        <f>Tendencial!AY198</f>
        <v>1.5933131073466993E-2</v>
      </c>
      <c r="AM62" s="21">
        <f>Tendencial!AZ198</f>
        <v>1.6216326800034334E-2</v>
      </c>
      <c r="AN62" s="21">
        <f>Tendencial!BA198</f>
        <v>1.6507478938207362E-2</v>
      </c>
      <c r="AO62" s="21">
        <f>Tendencial!BB198</f>
        <v>1.678944918526383E-2</v>
      </c>
      <c r="AP62" s="21">
        <f>Tendencial!BC198</f>
        <v>1.7074002408464233E-2</v>
      </c>
      <c r="AQ62" s="21">
        <f>Tendencial!BD198</f>
        <v>1.7361184221447896E-2</v>
      </c>
      <c r="AR62" s="21">
        <f>Tendencial!BE198</f>
        <v>1.7649702115684111E-2</v>
      </c>
      <c r="AS62" s="21">
        <f>Tendencial!BF198</f>
        <v>1.7938299263258198E-2</v>
      </c>
      <c r="AT62" s="21">
        <f>Tendencial!BG198</f>
        <v>1.8227699216181146E-2</v>
      </c>
      <c r="AU62" s="21">
        <f>Tendencial!BH198</f>
        <v>1.8518200352269063E-2</v>
      </c>
      <c r="AV62" s="21">
        <f>Tendencial!BI198</f>
        <v>1.8809871526811465E-2</v>
      </c>
      <c r="AW62" s="21">
        <f>Tendencial!BJ198</f>
        <v>1.9101871995337701E-2</v>
      </c>
      <c r="AX62" s="21">
        <f>Tendencial!BK198</f>
        <v>1.9394117968834539E-2</v>
      </c>
      <c r="AY62" s="21">
        <f>Tendencial!BL198</f>
        <v>1.9686193846270839E-2</v>
      </c>
      <c r="AZ62" s="21">
        <f>Tendencial!BM198</f>
        <v>1.9978666091782976E-2</v>
      </c>
      <c r="BA62" s="21">
        <f>Tendencial!BN198</f>
        <v>2.0271302471914512E-2</v>
      </c>
      <c r="BB62" s="21">
        <f>Tendencial!BO198</f>
        <v>2.0563876893718153E-2</v>
      </c>
      <c r="BC62" s="21"/>
    </row>
    <row r="63" spans="1:55" ht="14.4" x14ac:dyDescent="0.3">
      <c r="B63" s="384"/>
      <c r="C63" s="9" t="s">
        <v>107</v>
      </c>
      <c r="D63" s="365"/>
      <c r="E63" s="382"/>
      <c r="F63" s="382"/>
      <c r="G63" s="144">
        <f>Tendencial!T199</f>
        <v>1.8919172322021143</v>
      </c>
      <c r="H63" s="144">
        <f>((H$1-$G$1)*($BB63-$G63))/(2070-2023)+$G63</f>
        <v>2.0436148011006718</v>
      </c>
      <c r="I63" s="144">
        <f t="shared" ref="I63:O63" si="17">((I$1-$G$1)*($BB63-$G63))/(2070-2023)+$G63</f>
        <v>2.1953123699992299</v>
      </c>
      <c r="J63" s="144">
        <f t="shared" si="17"/>
        <v>2.3470099388977874</v>
      </c>
      <c r="K63" s="144">
        <f t="shared" si="17"/>
        <v>2.4987075077963454</v>
      </c>
      <c r="L63" s="144">
        <f t="shared" si="17"/>
        <v>2.650405076694903</v>
      </c>
      <c r="M63" s="144">
        <f t="shared" si="17"/>
        <v>2.802102645593461</v>
      </c>
      <c r="N63" s="144">
        <f t="shared" si="17"/>
        <v>2.9538002144920186</v>
      </c>
      <c r="O63" s="144">
        <f t="shared" si="17"/>
        <v>3.1054977833905761</v>
      </c>
      <c r="P63" s="144">
        <f>((P$1-$G$1)*($BB63-$G63))/(2070-2023)+$G63</f>
        <v>3.2571953522891341</v>
      </c>
      <c r="Q63" s="144">
        <f t="shared" ref="Q63:BA63" si="18">((Q$1-$G$1)*($BB63-$G63))/(2070-2023)+$G63</f>
        <v>3.4088929211876922</v>
      </c>
      <c r="R63" s="144">
        <f t="shared" si="18"/>
        <v>3.5605904900862497</v>
      </c>
      <c r="S63" s="144">
        <f t="shared" si="18"/>
        <v>3.7122880589848073</v>
      </c>
      <c r="T63" s="144">
        <f t="shared" si="18"/>
        <v>3.8639856278833653</v>
      </c>
      <c r="U63" s="144">
        <f t="shared" si="18"/>
        <v>4.0156831967819233</v>
      </c>
      <c r="V63" s="144">
        <f t="shared" si="18"/>
        <v>4.1673807656804804</v>
      </c>
      <c r="W63" s="144">
        <f t="shared" si="18"/>
        <v>4.3190783345790384</v>
      </c>
      <c r="X63" s="144">
        <f t="shared" si="18"/>
        <v>4.4707759034775965</v>
      </c>
      <c r="Y63" s="144">
        <f t="shared" si="18"/>
        <v>4.6224734723761536</v>
      </c>
      <c r="Z63" s="144">
        <f t="shared" si="18"/>
        <v>4.7741710412747116</v>
      </c>
      <c r="AA63" s="144">
        <f t="shared" si="18"/>
        <v>4.9258686101732696</v>
      </c>
      <c r="AB63" s="144">
        <f t="shared" si="18"/>
        <v>5.0775661790718267</v>
      </c>
      <c r="AC63" s="144">
        <f t="shared" si="18"/>
        <v>5.2292637479703856</v>
      </c>
      <c r="AD63" s="144">
        <f t="shared" si="18"/>
        <v>5.3809613168689427</v>
      </c>
      <c r="AE63" s="144">
        <f t="shared" si="18"/>
        <v>5.5326588857675008</v>
      </c>
      <c r="AF63" s="144">
        <f t="shared" si="18"/>
        <v>5.6843564546660588</v>
      </c>
      <c r="AG63" s="144">
        <f t="shared" si="18"/>
        <v>5.8360540235646159</v>
      </c>
      <c r="AH63" s="144">
        <f t="shared" si="18"/>
        <v>5.9877515924631748</v>
      </c>
      <c r="AI63" s="144">
        <f t="shared" si="18"/>
        <v>6.1394491613617319</v>
      </c>
      <c r="AJ63" s="144">
        <f t="shared" si="18"/>
        <v>6.291146730260289</v>
      </c>
      <c r="AK63" s="144">
        <f t="shared" si="18"/>
        <v>6.4428442991588479</v>
      </c>
      <c r="AL63" s="144">
        <f t="shared" si="18"/>
        <v>6.5945418680574051</v>
      </c>
      <c r="AM63" s="144">
        <f t="shared" si="18"/>
        <v>6.7462394369559622</v>
      </c>
      <c r="AN63" s="144">
        <f t="shared" si="18"/>
        <v>6.8979370058545211</v>
      </c>
      <c r="AO63" s="144">
        <f t="shared" si="18"/>
        <v>7.0496345747530782</v>
      </c>
      <c r="AP63" s="144">
        <f t="shared" si="18"/>
        <v>7.2013321436516353</v>
      </c>
      <c r="AQ63" s="144">
        <f t="shared" si="18"/>
        <v>7.3530297125501942</v>
      </c>
      <c r="AR63" s="144">
        <f t="shared" si="18"/>
        <v>7.5047272814487513</v>
      </c>
      <c r="AS63" s="144">
        <f t="shared" si="18"/>
        <v>7.6564248503473085</v>
      </c>
      <c r="AT63" s="144">
        <f t="shared" si="18"/>
        <v>7.8081224192458674</v>
      </c>
      <c r="AU63" s="144">
        <f t="shared" si="18"/>
        <v>7.9598199881444245</v>
      </c>
      <c r="AV63" s="144">
        <f t="shared" si="18"/>
        <v>8.1115175570429834</v>
      </c>
      <c r="AW63" s="144">
        <f t="shared" si="18"/>
        <v>8.2632151259415405</v>
      </c>
      <c r="AX63" s="144">
        <f t="shared" si="18"/>
        <v>8.4149126948400976</v>
      </c>
      <c r="AY63" s="144">
        <f t="shared" si="18"/>
        <v>8.5666102637386565</v>
      </c>
      <c r="AZ63" s="144">
        <f t="shared" si="18"/>
        <v>8.7183078326372137</v>
      </c>
      <c r="BA63" s="144">
        <f t="shared" si="18"/>
        <v>8.8700054015357708</v>
      </c>
      <c r="BB63" s="144">
        <f>Tendencial!BO199*1.25</f>
        <v>9.0217029704343297</v>
      </c>
      <c r="BC63" s="21"/>
    </row>
    <row r="64" spans="1:55" ht="14.4" x14ac:dyDescent="0.3">
      <c r="B64" s="384"/>
      <c r="C64" s="9" t="s">
        <v>108</v>
      </c>
      <c r="D64" s="365"/>
      <c r="E64" s="382"/>
      <c r="F64" s="382"/>
      <c r="G64" s="21">
        <f>Tendencial!T200</f>
        <v>1.7523820582555069E-2</v>
      </c>
      <c r="H64" s="21">
        <f>Tendencial!U200</f>
        <v>1.9020291814823776E-2</v>
      </c>
      <c r="I64" s="21">
        <f>Tendencial!V200</f>
        <v>2.0516763047092483E-2</v>
      </c>
      <c r="J64" s="21">
        <f>Tendencial!W200</f>
        <v>2.2013234279361193E-2</v>
      </c>
      <c r="K64" s="21">
        <f>Tendencial!X200</f>
        <v>2.3509705511629904E-2</v>
      </c>
      <c r="L64" s="21">
        <f>Tendencial!Y200</f>
        <v>2.5006176743898611E-2</v>
      </c>
      <c r="M64" s="21">
        <f>Tendencial!Z200</f>
        <v>2.6502647976167321E-2</v>
      </c>
      <c r="N64" s="21">
        <f>Tendencial!AA200</f>
        <v>2.7999119208436028E-2</v>
      </c>
      <c r="O64" s="21">
        <f>Tendencial!AB200</f>
        <v>2.9495590440704739E-2</v>
      </c>
      <c r="P64" s="21">
        <f>Tendencial!AC200</f>
        <v>3.0992061672973449E-2</v>
      </c>
      <c r="Q64" s="21">
        <f>Tendencial!AD200</f>
        <v>3.248853290524216E-2</v>
      </c>
      <c r="R64" s="21">
        <f>Tendencial!AE200</f>
        <v>3.3985004137510863E-2</v>
      </c>
      <c r="S64" s="21">
        <f>Tendencial!AF200</f>
        <v>3.5481475369779573E-2</v>
      </c>
      <c r="T64" s="21">
        <f>Tendencial!AG200</f>
        <v>3.5635437563171397E-2</v>
      </c>
      <c r="U64" s="21">
        <f>Tendencial!AH200</f>
        <v>3.6783038392137042E-2</v>
      </c>
      <c r="V64" s="21">
        <f>Tendencial!AI200</f>
        <v>3.7799065213071144E-2</v>
      </c>
      <c r="W64" s="21">
        <f>Tendencial!AJ200</f>
        <v>3.8758377087430095E-2</v>
      </c>
      <c r="X64" s="21">
        <f>Tendencial!AK200</f>
        <v>3.955606118447396E-2</v>
      </c>
      <c r="Y64" s="21">
        <f>Tendencial!AL200</f>
        <v>4.0382027182973818E-2</v>
      </c>
      <c r="Z64" s="21">
        <f>Tendencial!AM200</f>
        <v>4.136001757193359E-2</v>
      </c>
      <c r="AA64" s="21">
        <f>Tendencial!AN200</f>
        <v>4.210165386818919E-2</v>
      </c>
      <c r="AB64" s="21">
        <f>Tendencial!AO200</f>
        <v>4.301142632207542E-2</v>
      </c>
      <c r="AC64" s="21">
        <f>Tendencial!AP200</f>
        <v>4.3793773555883889E-2</v>
      </c>
      <c r="AD64" s="21">
        <f>Tendencial!AQ200</f>
        <v>4.479250028688464E-2</v>
      </c>
      <c r="AE64" s="21">
        <f>Tendencial!AR200</f>
        <v>4.5632391701563836E-2</v>
      </c>
      <c r="AF64" s="21">
        <f>Tendencial!AS200</f>
        <v>4.6450074087711027E-2</v>
      </c>
      <c r="AG64" s="21">
        <f>Tendencial!AT200</f>
        <v>4.7293804452491282E-2</v>
      </c>
      <c r="AH64" s="21">
        <f>Tendencial!AU200</f>
        <v>4.8145780239442701E-2</v>
      </c>
      <c r="AI64" s="21">
        <f>Tendencial!AV200</f>
        <v>4.9116650890816876E-2</v>
      </c>
      <c r="AJ64" s="21">
        <f>Tendencial!AW200</f>
        <v>5.0002049708380868E-2</v>
      </c>
      <c r="AK64" s="21">
        <f>Tendencial!AX200</f>
        <v>5.0885199195408952E-2</v>
      </c>
      <c r="AL64" s="21">
        <f>Tendencial!AY200</f>
        <v>5.1796606798169789E-2</v>
      </c>
      <c r="AM64" s="21">
        <f>Tendencial!AZ200</f>
        <v>5.2717240515942801E-2</v>
      </c>
      <c r="AN64" s="21">
        <f>Tendencial!BA200</f>
        <v>5.3663739527961107E-2</v>
      </c>
      <c r="AO64" s="21">
        <f>Tendencial!BB200</f>
        <v>5.4580389365850676E-2</v>
      </c>
      <c r="AP64" s="21">
        <f>Tendencial!BC200</f>
        <v>5.5505436134580734E-2</v>
      </c>
      <c r="AQ64" s="21">
        <f>Tendencial!BD200</f>
        <v>5.6439028118360456E-2</v>
      </c>
      <c r="AR64" s="21">
        <f>Tendencial!BE200</f>
        <v>5.7376963534386462E-2</v>
      </c>
      <c r="AS64" s="21">
        <f>Tendencial!BF200</f>
        <v>5.8315156593054092E-2</v>
      </c>
      <c r="AT64" s="21">
        <f>Tendencial!BG200</f>
        <v>5.9255959471022072E-2</v>
      </c>
      <c r="AU64" s="21">
        <f>Tendencial!BH200</f>
        <v>6.020034215707333E-2</v>
      </c>
      <c r="AV64" s="21">
        <f>Tendencial!BI200</f>
        <v>6.1148528491101008E-2</v>
      </c>
      <c r="AW64" s="21">
        <f>Tendencial!BJ200</f>
        <v>6.2097785318487642E-2</v>
      </c>
      <c r="AX64" s="21">
        <f>Tendencial!BK200</f>
        <v>6.3047840251681017E-2</v>
      </c>
      <c r="AY64" s="21">
        <f>Tendencial!BL200</f>
        <v>6.3997342223957615E-2</v>
      </c>
      <c r="AZ64" s="21">
        <f>Tendencial!BM200</f>
        <v>6.4948132739037059E-2</v>
      </c>
      <c r="BA64" s="21">
        <f>Tendencial!BN200</f>
        <v>6.5899456835137316E-2</v>
      </c>
      <c r="BB64" s="21">
        <f>Tendencial!BO200</f>
        <v>6.6850579512499911E-2</v>
      </c>
      <c r="BC64" s="21"/>
    </row>
    <row r="65" spans="1:55" ht="14.4" x14ac:dyDescent="0.3">
      <c r="B65" s="384"/>
      <c r="C65" s="9" t="s">
        <v>109</v>
      </c>
      <c r="D65" s="365"/>
      <c r="E65" s="382"/>
      <c r="F65" s="382"/>
      <c r="G65" s="21">
        <f>Tendencial!T201</f>
        <v>1.0216577179225672E-2</v>
      </c>
      <c r="H65" s="21">
        <f>Tendencial!U201</f>
        <v>1.1089036114133062E-2</v>
      </c>
      <c r="I65" s="21">
        <f>Tendencial!V201</f>
        <v>1.1961495049040453E-2</v>
      </c>
      <c r="J65" s="21">
        <f>Tendencial!W201</f>
        <v>1.2833953983947844E-2</v>
      </c>
      <c r="K65" s="21">
        <f>Tendencial!X201</f>
        <v>1.3706412918855236E-2</v>
      </c>
      <c r="L65" s="21">
        <f>Tendencial!Y201</f>
        <v>1.4578871853762627E-2</v>
      </c>
      <c r="M65" s="21">
        <f>Tendencial!Z201</f>
        <v>1.5451330788670017E-2</v>
      </c>
      <c r="N65" s="21">
        <f>Tendencial!AA201</f>
        <v>1.6323789723577408E-2</v>
      </c>
      <c r="O65" s="21">
        <f>Tendencial!AB201</f>
        <v>1.7196248658484799E-2</v>
      </c>
      <c r="P65" s="21">
        <f>Tendencial!AC201</f>
        <v>1.8068707593392189E-2</v>
      </c>
      <c r="Q65" s="21">
        <f>Tendencial!AD201</f>
        <v>1.894116652829958E-2</v>
      </c>
      <c r="R65" s="21">
        <f>Tendencial!AE201</f>
        <v>1.9813625463206971E-2</v>
      </c>
      <c r="S65" s="21">
        <f>Tendencial!AF201</f>
        <v>2.0686084398114361E-2</v>
      </c>
      <c r="T65" s="21">
        <f>Tendencial!AG201</f>
        <v>2.0775846024242647E-2</v>
      </c>
      <c r="U65" s="21">
        <f>Tendencial!AH201</f>
        <v>2.1444909735825191E-2</v>
      </c>
      <c r="V65" s="21">
        <f>Tendencial!AI201</f>
        <v>2.2037264375804222E-2</v>
      </c>
      <c r="W65" s="21">
        <f>Tendencial!AJ201</f>
        <v>2.2596553587718008E-2</v>
      </c>
      <c r="X65" s="21">
        <f>Tendencial!AK201</f>
        <v>2.3061612055059456E-2</v>
      </c>
      <c r="Y65" s="21">
        <f>Tendencial!AL201</f>
        <v>2.3543159177237285E-2</v>
      </c>
      <c r="Z65" s="21">
        <f>Tendencial!AM201</f>
        <v>2.4113338165448063E-2</v>
      </c>
      <c r="AA65" s="21">
        <f>Tendencial!AN201</f>
        <v>2.4545720157943086E-2</v>
      </c>
      <c r="AB65" s="21">
        <f>Tendencial!AO201</f>
        <v>2.5076127351218915E-2</v>
      </c>
      <c r="AC65" s="21">
        <f>Tendencial!AP201</f>
        <v>2.553224426119886E-2</v>
      </c>
      <c r="AD65" s="21">
        <f>Tendencial!AQ201</f>
        <v>2.611451276139011E-2</v>
      </c>
      <c r="AE65" s="21">
        <f>Tendencial!AR201</f>
        <v>2.6604178552010062E-2</v>
      </c>
      <c r="AF65" s="21">
        <f>Tendencial!AS201</f>
        <v>2.708089623847636E-2</v>
      </c>
      <c r="AG65" s="21">
        <f>Tendencial!AT201</f>
        <v>2.7572800178580319E-2</v>
      </c>
      <c r="AH65" s="21">
        <f>Tendencial!AU201</f>
        <v>2.80695112891064E-2</v>
      </c>
      <c r="AI65" s="21">
        <f>Tendencial!AV201</f>
        <v>2.8635539393199391E-2</v>
      </c>
      <c r="AJ65" s="21">
        <f>Tendencial!AW201</f>
        <v>2.9151736492537574E-2</v>
      </c>
      <c r="AK65" s="21">
        <f>Tendencial!AX201</f>
        <v>2.966662220781351E-2</v>
      </c>
      <c r="AL65" s="21">
        <f>Tendencial!AY201</f>
        <v>3.0197982710591577E-2</v>
      </c>
      <c r="AM65" s="21">
        <f>Tendencial!AZ201</f>
        <v>3.0734722138338791E-2</v>
      </c>
      <c r="AN65" s="21">
        <f>Tendencial!BA201</f>
        <v>3.1286541312747156E-2</v>
      </c>
      <c r="AO65" s="21">
        <f>Tendencial!BB201</f>
        <v>3.1820958095377667E-2</v>
      </c>
      <c r="AP65" s="21">
        <f>Tendencial!BC201</f>
        <v>3.2360270379625328E-2</v>
      </c>
      <c r="AQ65" s="21">
        <f>Tendencial!BD201</f>
        <v>3.2904564616789977E-2</v>
      </c>
      <c r="AR65" s="21">
        <f>Tendencial!BE201</f>
        <v>3.3451391121992739E-2</v>
      </c>
      <c r="AS65" s="21">
        <f>Tendencial!BF201</f>
        <v>3.399836783564579E-2</v>
      </c>
      <c r="AT65" s="21">
        <f>Tendencial!BG201</f>
        <v>3.4546866102214781E-2</v>
      </c>
      <c r="AU65" s="21">
        <f>Tendencial!BH201</f>
        <v>3.5097451435664957E-2</v>
      </c>
      <c r="AV65" s="21">
        <f>Tendencial!BI201</f>
        <v>3.5650254337078156E-2</v>
      </c>
      <c r="AW65" s="21">
        <f>Tendencial!BJ201</f>
        <v>3.6203681347712867E-2</v>
      </c>
      <c r="AX65" s="21">
        <f>Tendencial!BK201</f>
        <v>3.6757573662676242E-2</v>
      </c>
      <c r="AY65" s="21">
        <f>Tendencial!BL201</f>
        <v>3.731114359543667E-2</v>
      </c>
      <c r="AZ65" s="21">
        <f>Tendencial!BM201</f>
        <v>3.7865464762605827E-2</v>
      </c>
      <c r="BA65" s="21">
        <f>Tendencial!BN201</f>
        <v>3.8420097013288697E-2</v>
      </c>
      <c r="BB65" s="21">
        <f>Tendencial!BO201</f>
        <v>3.8974611834666183E-2</v>
      </c>
      <c r="BC65" s="21"/>
    </row>
    <row r="66" spans="1:55" ht="14.4" x14ac:dyDescent="0.3">
      <c r="B66" s="384"/>
      <c r="C66" s="9" t="s">
        <v>110</v>
      </c>
      <c r="D66" s="365"/>
      <c r="E66" s="382"/>
      <c r="F66" s="382"/>
      <c r="G66" s="21">
        <f>Tendencial!T202</f>
        <v>4.5402204826362985E-4</v>
      </c>
      <c r="H66" s="21">
        <f>Tendencial!U202</f>
        <v>4.9279389774938692E-4</v>
      </c>
      <c r="I66" s="21">
        <f>Tendencial!V202</f>
        <v>5.31565747235144E-4</v>
      </c>
      <c r="J66" s="21">
        <f>Tendencial!W202</f>
        <v>5.7033759672090118E-4</v>
      </c>
      <c r="K66" s="21">
        <f>Tendencial!X202</f>
        <v>6.0910944620665825E-4</v>
      </c>
      <c r="L66" s="21">
        <f>Tendencial!Y202</f>
        <v>6.4788129569241532E-4</v>
      </c>
      <c r="M66" s="21">
        <f>Tendencial!Z202</f>
        <v>6.8665314517817239E-4</v>
      </c>
      <c r="N66" s="21">
        <f>Tendencial!AA202</f>
        <v>7.2542499466392958E-4</v>
      </c>
      <c r="O66" s="21">
        <f>Tendencial!AB202</f>
        <v>7.6419684414968676E-4</v>
      </c>
      <c r="P66" s="21">
        <f>Tendencial!AC202</f>
        <v>8.0296869363544383E-4</v>
      </c>
      <c r="Q66" s="21">
        <f>Tendencial!AD202</f>
        <v>8.417405431212009E-4</v>
      </c>
      <c r="R66" s="21">
        <f>Tendencial!AE202</f>
        <v>8.8051239260695797E-4</v>
      </c>
      <c r="S66" s="21">
        <f>Tendencial!AF202</f>
        <v>9.1928424209271515E-4</v>
      </c>
      <c r="T66" s="21">
        <f>Tendencial!AG202</f>
        <v>9.2327322554923972E-4</v>
      </c>
      <c r="U66" s="21">
        <f>Tendencial!AH202</f>
        <v>9.5300624389997037E-4</v>
      </c>
      <c r="V66" s="21">
        <f>Tendencial!AI202</f>
        <v>9.7933033094241046E-4</v>
      </c>
      <c r="W66" s="21">
        <f>Tendencial!AJ202</f>
        <v>1.0041849989109732E-3</v>
      </c>
      <c r="X66" s="21">
        <f>Tendencial!AK202</f>
        <v>1.0248520769548853E-3</v>
      </c>
      <c r="Y66" s="21">
        <f>Tendencial!AL202</f>
        <v>1.0462519065564471E-3</v>
      </c>
      <c r="Z66" s="21">
        <f>Tendencial!AM202</f>
        <v>1.0715905133680057E-3</v>
      </c>
      <c r="AA66" s="21">
        <f>Tendencial!AN202</f>
        <v>1.0908054573185175E-3</v>
      </c>
      <c r="AB66" s="21">
        <f>Tendencial!AO202</f>
        <v>1.114376615846496E-3</v>
      </c>
      <c r="AC66" s="21">
        <f>Tendencial!AP202</f>
        <v>1.134646333393177E-3</v>
      </c>
      <c r="AD66" s="21">
        <f>Tendencial!AQ202</f>
        <v>1.1605221949913037E-3</v>
      </c>
      <c r="AE66" s="21">
        <f>Tendencial!AR202</f>
        <v>1.1822828161192841E-3</v>
      </c>
      <c r="AF66" s="21">
        <f>Tendencial!AS202</f>
        <v>1.2034680268465164E-3</v>
      </c>
      <c r="AG66" s="21">
        <f>Tendencial!AT202</f>
        <v>1.225328110758874E-3</v>
      </c>
      <c r="AH66" s="21">
        <f>Tendencial!AU202</f>
        <v>1.2474018240818566E-3</v>
      </c>
      <c r="AI66" s="21">
        <f>Tendencial!AV202</f>
        <v>1.2725559666764664E-3</v>
      </c>
      <c r="AJ66" s="21">
        <f>Tendencial!AW202</f>
        <v>1.2954956323039941E-3</v>
      </c>
      <c r="AK66" s="21">
        <f>Tendencial!AX202</f>
        <v>1.3183770203628647E-3</v>
      </c>
      <c r="AL66" s="21">
        <f>Tendencial!AY202</f>
        <v>1.3419905437186365E-3</v>
      </c>
      <c r="AM66" s="21">
        <f>Tendencial!AZ202</f>
        <v>1.3658431051092712E-3</v>
      </c>
      <c r="AN66" s="21">
        <f>Tendencial!BA202</f>
        <v>1.3903658065425335E-3</v>
      </c>
      <c r="AO66" s="21">
        <f>Tendencial!BB202</f>
        <v>1.4141151501847213E-3</v>
      </c>
      <c r="AP66" s="21">
        <f>Tendencial!BC202</f>
        <v>1.4380820486530024E-3</v>
      </c>
      <c r="AQ66" s="21">
        <f>Tendencial!BD202</f>
        <v>1.462270343820789E-3</v>
      </c>
      <c r="AR66" s="21">
        <f>Tendencial!BE202</f>
        <v>1.4865711723254505E-3</v>
      </c>
      <c r="AS66" s="21">
        <f>Tendencial!BF202</f>
        <v>1.510878676054805E-3</v>
      </c>
      <c r="AT66" s="21">
        <f>Tendencial!BG202</f>
        <v>1.535253797202334E-3</v>
      </c>
      <c r="AU66" s="21">
        <f>Tendencial!BH202</f>
        <v>1.5597216670624342E-3</v>
      </c>
      <c r="AV66" s="21">
        <f>Tendencial!BI202</f>
        <v>1.5842880850694405E-3</v>
      </c>
      <c r="AW66" s="21">
        <f>Tendencial!BJ202</f>
        <v>1.6088822383288821E-3</v>
      </c>
      <c r="AX66" s="21">
        <f>Tendencial!BK202</f>
        <v>1.6334970695923812E-3</v>
      </c>
      <c r="AY66" s="21">
        <f>Tendencial!BL202</f>
        <v>1.6580975742741359E-3</v>
      </c>
      <c r="AZ66" s="21">
        <f>Tendencial!BM202</f>
        <v>1.6827314636187766E-3</v>
      </c>
      <c r="BA66" s="21">
        <f>Tendencial!BN202</f>
        <v>1.7073791774343337E-3</v>
      </c>
      <c r="BB66" s="21">
        <f>Tendencial!BO202</f>
        <v>1.7320216727219216E-3</v>
      </c>
      <c r="BC66" s="21"/>
    </row>
    <row r="67" spans="1:55" ht="14.4" x14ac:dyDescent="0.3">
      <c r="B67" s="384"/>
      <c r="C67" s="9" t="s">
        <v>111</v>
      </c>
      <c r="D67" s="365"/>
      <c r="E67" s="382"/>
      <c r="F67" s="382"/>
      <c r="G67" s="21">
        <f>Tendencial!T203</f>
        <v>5.4589087102095178E-5</v>
      </c>
      <c r="H67" s="21">
        <f>Tendencial!U203</f>
        <v>5.925079874535518E-5</v>
      </c>
      <c r="I67" s="21">
        <f>Tendencial!V203</f>
        <v>6.3912510388615181E-5</v>
      </c>
      <c r="J67" s="21">
        <f>Tendencial!W203</f>
        <v>6.8574222031875183E-5</v>
      </c>
      <c r="K67" s="21">
        <f>Tendencial!X203</f>
        <v>7.3235933675135198E-5</v>
      </c>
      <c r="L67" s="21">
        <f>Tendencial!Y203</f>
        <v>7.78976453183952E-5</v>
      </c>
      <c r="M67" s="21">
        <f>Tendencial!Z203</f>
        <v>8.2559356961655201E-5</v>
      </c>
      <c r="N67" s="21">
        <f>Tendencial!AA203</f>
        <v>8.7221068604915203E-5</v>
      </c>
      <c r="O67" s="21">
        <f>Tendencial!AB203</f>
        <v>9.1882780248175205E-5</v>
      </c>
      <c r="P67" s="21">
        <f>Tendencial!AC203</f>
        <v>9.654449189143522E-5</v>
      </c>
      <c r="Q67" s="21">
        <f>Tendencial!AD203</f>
        <v>1.0120620353469521E-4</v>
      </c>
      <c r="R67" s="21">
        <f>Tendencial!AE203</f>
        <v>1.0586791517795522E-4</v>
      </c>
      <c r="S67" s="21">
        <f>Tendencial!AF203</f>
        <v>1.1052962682121522E-4</v>
      </c>
      <c r="T67" s="21">
        <f>Tendencial!AG203</f>
        <v>1.1100924001663122E-4</v>
      </c>
      <c r="U67" s="21">
        <f>Tendencial!AH203</f>
        <v>1.1458417285252243E-4</v>
      </c>
      <c r="V67" s="21">
        <f>Tendencial!AI203</f>
        <v>1.1774923473869871E-4</v>
      </c>
      <c r="W67" s="21">
        <f>Tendencial!AJ203</f>
        <v>1.2073762184416742E-4</v>
      </c>
      <c r="X67" s="21">
        <f>Tendencial!AK203</f>
        <v>1.2322251641657777E-4</v>
      </c>
      <c r="Y67" s="21">
        <f>Tendencial!AL203</f>
        <v>1.2579551296279688E-4</v>
      </c>
      <c r="Z67" s="21">
        <f>Tendencial!AM203</f>
        <v>1.2884208618445405E-4</v>
      </c>
      <c r="AA67" s="21">
        <f>Tendencial!AN203</f>
        <v>1.3115238422611942E-4</v>
      </c>
      <c r="AB67" s="21">
        <f>Tendencial!AO203</f>
        <v>1.3398644929168638E-4</v>
      </c>
      <c r="AC67" s="21">
        <f>Tendencial!AP203</f>
        <v>1.3642356744690014E-4</v>
      </c>
      <c r="AD67" s="21">
        <f>Tendencial!AQ203</f>
        <v>1.3953473719740904E-4</v>
      </c>
      <c r="AE67" s="21">
        <f>Tendencial!AR203</f>
        <v>1.4215111331106699E-4</v>
      </c>
      <c r="AF67" s="21">
        <f>Tendencial!AS203</f>
        <v>1.4469830527693734E-4</v>
      </c>
      <c r="AG67" s="21">
        <f>Tendencial!AT203</f>
        <v>1.4732664024285928E-4</v>
      </c>
      <c r="AH67" s="21">
        <f>Tendencial!AU203</f>
        <v>1.4998066082151472E-4</v>
      </c>
      <c r="AI67" s="21">
        <f>Tendencial!AV203</f>
        <v>1.5300505509119203E-4</v>
      </c>
      <c r="AJ67" s="21">
        <f>Tendencial!AW203</f>
        <v>1.5576319296097874E-4</v>
      </c>
      <c r="AK67" s="21">
        <f>Tendencial!AX203</f>
        <v>1.5851432385988445E-4</v>
      </c>
      <c r="AL67" s="21">
        <f>Tendencial!AY203</f>
        <v>1.6135348263683242E-4</v>
      </c>
      <c r="AM67" s="21">
        <f>Tendencial!AZ203</f>
        <v>1.6422138201824168E-4</v>
      </c>
      <c r="AN67" s="21">
        <f>Tendencial!BA203</f>
        <v>1.6716985531296089E-4</v>
      </c>
      <c r="AO67" s="21">
        <f>Tendencial!BB203</f>
        <v>1.7002534436610087E-4</v>
      </c>
      <c r="AP67" s="21">
        <f>Tendencial!BC203</f>
        <v>1.7290699100210827E-4</v>
      </c>
      <c r="AQ67" s="21">
        <f>Tendencial!BD203</f>
        <v>1.7581525714648456E-4</v>
      </c>
      <c r="AR67" s="21">
        <f>Tendencial!BE203</f>
        <v>1.7873705367369588E-4</v>
      </c>
      <c r="AS67" s="21">
        <f>Tendencial!BF203</f>
        <v>1.8165965279281566E-4</v>
      </c>
      <c r="AT67" s="21">
        <f>Tendencial!BG203</f>
        <v>1.8459038185440069E-4</v>
      </c>
      <c r="AU67" s="21">
        <f>Tendencial!BH203</f>
        <v>1.8753226250558036E-4</v>
      </c>
      <c r="AV67" s="21">
        <f>Tendencial!BI203</f>
        <v>1.9048599203809913E-4</v>
      </c>
      <c r="AW67" s="21">
        <f>Tendencial!BJ203</f>
        <v>1.9344305630318603E-4</v>
      </c>
      <c r="AX67" s="21">
        <f>Tendencial!BK203</f>
        <v>1.9640260677652844E-4</v>
      </c>
      <c r="AY67" s="21">
        <f>Tendencial!BL203</f>
        <v>1.9936043470132571E-4</v>
      </c>
      <c r="AZ67" s="21">
        <f>Tendencial!BM203</f>
        <v>2.0232227661239771E-4</v>
      </c>
      <c r="BA67" s="21">
        <f>Tendencial!BN203</f>
        <v>2.0528578070100022E-4</v>
      </c>
      <c r="BB67" s="21">
        <f>Tendencial!BO203</f>
        <v>2.0824865734281038E-4</v>
      </c>
      <c r="BC67" s="21"/>
    </row>
    <row r="68" spans="1:55" ht="14.4" x14ac:dyDescent="0.3">
      <c r="B68" s="384"/>
      <c r="C68" s="9" t="s">
        <v>112</v>
      </c>
      <c r="D68" s="365"/>
      <c r="E68" s="382"/>
      <c r="F68" s="382"/>
      <c r="G68" s="21">
        <f>Tendencial!T244</f>
        <v>7.5938116273642942E-4</v>
      </c>
      <c r="H68" s="21">
        <f>Tendencial!U244</f>
        <v>7.925433552286341E-4</v>
      </c>
      <c r="I68" s="21">
        <f>Tendencial!V244</f>
        <v>9.154442630758665E-4</v>
      </c>
      <c r="J68" s="21">
        <f>Tendencial!W244</f>
        <v>1.0074538326212796E-3</v>
      </c>
      <c r="K68" s="21">
        <f>Tendencial!X244</f>
        <v>1.1608582292941625E-3</v>
      </c>
      <c r="L68" s="21">
        <f>Tendencial!Y244</f>
        <v>1.3122240121476178E-3</v>
      </c>
      <c r="M68" s="21">
        <f>Tendencial!Z244</f>
        <v>1.4601345622769035E-3</v>
      </c>
      <c r="N68" s="21">
        <f>Tendencial!AA244</f>
        <v>1.6201780490605684E-3</v>
      </c>
      <c r="O68" s="21">
        <f>Tendencial!AB244</f>
        <v>1.4146140859186247E-3</v>
      </c>
      <c r="P68" s="21">
        <f>Tendencial!AC244</f>
        <v>1.5029055902406614E-3</v>
      </c>
      <c r="Q68" s="21">
        <f>Tendencial!AD244</f>
        <v>1.5838881654128929E-3</v>
      </c>
      <c r="R68" s="21">
        <f>Tendencial!AE244</f>
        <v>1.639901872778813E-3</v>
      </c>
      <c r="S68" s="21">
        <f>Tendencial!AF244</f>
        <v>1.673642025555892E-3</v>
      </c>
      <c r="T68" s="21">
        <f>Tendencial!AG244</f>
        <v>1.6809043390454486E-3</v>
      </c>
      <c r="U68" s="21">
        <f>Tendencial!AH244</f>
        <v>1.7350360501962078E-3</v>
      </c>
      <c r="V68" s="21">
        <f>Tendencial!AI244</f>
        <v>1.782961486466414E-3</v>
      </c>
      <c r="W68" s="21">
        <f>Tendencial!AJ244</f>
        <v>1.8282117093449534E-3</v>
      </c>
      <c r="X68" s="21">
        <f>Tendencial!AK244</f>
        <v>1.8658380372813419E-3</v>
      </c>
      <c r="Y68" s="21">
        <f>Tendencial!AL244</f>
        <v>1.9047984072310931E-3</v>
      </c>
      <c r="Z68" s="21">
        <f>Tendencial!AM244</f>
        <v>1.9509296855529335E-3</v>
      </c>
      <c r="AA68" s="21">
        <f>Tendencial!AN244</f>
        <v>1.9859122690040203E-3</v>
      </c>
      <c r="AB68" s="21">
        <f>Tendencial!AO244</f>
        <v>2.0288257441808157E-3</v>
      </c>
      <c r="AC68" s="21">
        <f>Tendencial!AP244</f>
        <v>2.0657286405635989E-3</v>
      </c>
      <c r="AD68" s="21">
        <f>Tendencial!AQ244</f>
        <v>2.1128380409374224E-3</v>
      </c>
      <c r="AE68" s="21">
        <f>Tendencial!AR244</f>
        <v>2.1524552652456299E-3</v>
      </c>
      <c r="AF68" s="21">
        <f>Tendencial!AS244</f>
        <v>2.1910249016756402E-3</v>
      </c>
      <c r="AG68" s="21">
        <f>Tendencial!AT244</f>
        <v>2.230823207186255E-3</v>
      </c>
      <c r="AH68" s="21">
        <f>Tendencial!AU244</f>
        <v>2.2710104448063801E-3</v>
      </c>
      <c r="AI68" s="21">
        <f>Tendencial!AV244</f>
        <v>2.3168058889524992E-3</v>
      </c>
      <c r="AJ68" s="21">
        <f>Tendencial!AW244</f>
        <v>2.3585696728709864E-3</v>
      </c>
      <c r="AK68" s="21">
        <f>Tendencial!AX244</f>
        <v>2.4002273570832176E-3</v>
      </c>
      <c r="AL68" s="21">
        <f>Tendencial!AY244</f>
        <v>2.4432179613490955E-3</v>
      </c>
      <c r="AM68" s="21">
        <f>Tendencial!AZ244</f>
        <v>2.4866437564760092E-3</v>
      </c>
      <c r="AN68" s="21">
        <f>Tendencial!BA244</f>
        <v>2.5312896035596449E-3</v>
      </c>
      <c r="AO68" s="21">
        <f>Tendencial!BB244</f>
        <v>2.5745274812246093E-3</v>
      </c>
      <c r="AP68" s="21">
        <f>Tendencial!BC244</f>
        <v>2.6181614375811691E-3</v>
      </c>
      <c r="AQ68" s="21">
        <f>Tendencial!BD244</f>
        <v>2.6621984671153657E-3</v>
      </c>
      <c r="AR68" s="21">
        <f>Tendencial!BE244</f>
        <v>2.7064403740022307E-3</v>
      </c>
      <c r="AS68" s="21">
        <f>Tendencial!BF244</f>
        <v>2.7506944337533186E-3</v>
      </c>
      <c r="AT68" s="21">
        <f>Tendencial!BG244</f>
        <v>2.7950715972709394E-3</v>
      </c>
      <c r="AU68" s="21">
        <f>Tendencial!BH244</f>
        <v>2.8396176184019811E-3</v>
      </c>
      <c r="AV68" s="21">
        <f>Tendencial!BI244</f>
        <v>2.8843430555532817E-3</v>
      </c>
      <c r="AW68" s="21">
        <f>Tendencial!BJ244</f>
        <v>2.9291189872980277E-3</v>
      </c>
      <c r="AX68" s="21">
        <f>Tendencial!BK244</f>
        <v>2.9739325652625285E-3</v>
      </c>
      <c r="AY68" s="21">
        <f>Tendencial!BL244</f>
        <v>3.0187200603593025E-3</v>
      </c>
      <c r="AZ68" s="21">
        <f>Tendencial!BM244</f>
        <v>3.0635683353239965E-3</v>
      </c>
      <c r="BA68" s="21">
        <f>Tendencial!BN244</f>
        <v>3.1084417790171936E-3</v>
      </c>
      <c r="BB68" s="21">
        <f>Tendencial!BO244</f>
        <v>3.1533057218973443E-3</v>
      </c>
      <c r="BC68" s="21"/>
    </row>
    <row r="69" spans="1:55" ht="14.4" x14ac:dyDescent="0.3">
      <c r="A69" s="16" t="s">
        <v>50</v>
      </c>
      <c r="B69" s="16"/>
      <c r="C69" s="31" t="s">
        <v>686</v>
      </c>
      <c r="D69" s="351"/>
      <c r="E69" s="351"/>
      <c r="F69" s="35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row>
    <row r="70" spans="1:55" ht="14.4" customHeight="1" x14ac:dyDescent="0.3">
      <c r="B70" s="384" t="s">
        <v>230</v>
      </c>
      <c r="C70" s="9" t="s">
        <v>231</v>
      </c>
      <c r="D70" s="365" t="s">
        <v>207</v>
      </c>
      <c r="E70" s="382" t="s">
        <v>208</v>
      </c>
      <c r="F70" s="382" t="s">
        <v>207</v>
      </c>
      <c r="G70" s="21">
        <f>(1+'CC70 - %'!G38/100)*Tendencial!T155</f>
        <v>6.017399309889</v>
      </c>
      <c r="H70" s="21">
        <f>(1+'CC70 - %'!H38/100)*Tendencial!U155</f>
        <v>6.07757330298789</v>
      </c>
      <c r="I70" s="21">
        <f>(1+'CC70 - %'!I38/100)*Tendencial!V155</f>
        <v>6.138349036017769</v>
      </c>
      <c r="J70" s="21">
        <f>(1+'CC70 - %'!J38/100)*Tendencial!W155</f>
        <v>6.138349036017769</v>
      </c>
      <c r="K70" s="21">
        <f>(1+'CC70 - %'!K38/100)*Tendencial!X155</f>
        <v>6.138349036017769</v>
      </c>
      <c r="L70" s="21">
        <f>(1+'CC70 - %'!L38/100)*Tendencial!Y155</f>
        <v>6.138349036017769</v>
      </c>
      <c r="M70" s="21">
        <f>(1+'CC70 - %'!M38/100)*Tendencial!Z155</f>
        <v>6.138349036017769</v>
      </c>
      <c r="N70" s="21">
        <f>(1+'CC70 - %'!N38/100)*Tendencial!AA155</f>
        <v>6.138349036017769</v>
      </c>
      <c r="O70" s="21">
        <f>(1+'CC70 - %'!O38/100)*Tendencial!AB155</f>
        <v>6.138349036017769</v>
      </c>
      <c r="P70" s="21">
        <f>(1+'CC70 - %'!P38/100)*Tendencial!AC155</f>
        <v>6.138349036017769</v>
      </c>
      <c r="Q70" s="21">
        <f>(1+'CC70 - %'!Q38/100)*Tendencial!AD155</f>
        <v>6.138349036017769</v>
      </c>
      <c r="R70" s="21">
        <f>(1+'CC70 - %'!R38/100)*Tendencial!AE155</f>
        <v>6.138349036017769</v>
      </c>
      <c r="S70" s="21">
        <f>(1+'CC70 - %'!S38/100)*Tendencial!AF155</f>
        <v>6.138349036017769</v>
      </c>
      <c r="T70" s="21">
        <f>(1+'CC70 - %'!T38/100)*Tendencial!AG155</f>
        <v>6.138349036017769</v>
      </c>
      <c r="U70" s="21">
        <f>(1+'CC70 - %'!U38/100)*Tendencial!AH155</f>
        <v>6.138349036017769</v>
      </c>
      <c r="V70" s="21">
        <f>(1+'CC70 - %'!V38/100)*Tendencial!AI155</f>
        <v>6.138349036017769</v>
      </c>
      <c r="W70" s="21">
        <f>(1+'CC70 - %'!W38/100)*Tendencial!AJ155</f>
        <v>6.138349036017769</v>
      </c>
      <c r="X70" s="21">
        <f>(1+'CC70 - %'!X38/100)*Tendencial!AK155</f>
        <v>6.138349036017769</v>
      </c>
      <c r="Y70" s="21">
        <f>(1+'CC70 - %'!Y38/100)*Tendencial!AL155</f>
        <v>6.138349036017769</v>
      </c>
      <c r="Z70" s="21">
        <f>(1+'CC70 - %'!Z38/100)*Tendencial!AM155</f>
        <v>6.138349036017769</v>
      </c>
      <c r="AA70" s="21">
        <f>(1+'CC70 - %'!AA38/100)*Tendencial!AN155</f>
        <v>6.138349036017769</v>
      </c>
      <c r="AB70" s="21">
        <f>(1+'CC70 - %'!AB38/100)*Tendencial!AO155</f>
        <v>6.138349036017769</v>
      </c>
      <c r="AC70" s="21">
        <f>(1+'CC70 - %'!AC38/100)*Tendencial!AP155</f>
        <v>6.138349036017769</v>
      </c>
      <c r="AD70" s="21">
        <f>(1+'CC70 - %'!AD38/100)*Tendencial!AQ155</f>
        <v>6.138349036017769</v>
      </c>
      <c r="AE70" s="21">
        <f>(1+'CC70 - %'!AE38/100)*Tendencial!AR155</f>
        <v>6.138349036017769</v>
      </c>
      <c r="AF70" s="21">
        <f>(1+'CC70 - %'!AF38/100)*Tendencial!AS155</f>
        <v>6.138349036017769</v>
      </c>
      <c r="AG70" s="21">
        <f>(1+'CC70 - %'!AG38/100)*Tendencial!AT155</f>
        <v>6.138349036017769</v>
      </c>
      <c r="AH70" s="21">
        <f>(1+'CC70 - %'!AH38/100)*Tendencial!AU155</f>
        <v>6.138349036017769</v>
      </c>
      <c r="AI70" s="21">
        <f>(1+'CC70 - %'!AI38/100)*Tendencial!AV155</f>
        <v>6.138349036017769</v>
      </c>
      <c r="AJ70" s="21">
        <f>(1+'CC70 - %'!AJ38/100)*Tendencial!AW155</f>
        <v>6.138349036017769</v>
      </c>
      <c r="AK70" s="21">
        <f>(1+'CC70 - %'!AK38/100)*Tendencial!AX155</f>
        <v>6.138349036017769</v>
      </c>
      <c r="AL70" s="21">
        <f>(1+'CC70 - %'!AL38/100)*Tendencial!AY155</f>
        <v>6.138349036017769</v>
      </c>
      <c r="AM70" s="21">
        <f>(1+'CC70 - %'!AM38/100)*Tendencial!AZ155</f>
        <v>6.138349036017769</v>
      </c>
      <c r="AN70" s="21">
        <f>(1+'CC70 - %'!AN38/100)*Tendencial!BA155</f>
        <v>6.138349036017769</v>
      </c>
      <c r="AO70" s="21">
        <f>(1+'CC70 - %'!AO38/100)*Tendencial!BB155</f>
        <v>6.138349036017769</v>
      </c>
      <c r="AP70" s="21">
        <f>(1+'CC70 - %'!AP38/100)*Tendencial!BC155</f>
        <v>6.138349036017769</v>
      </c>
      <c r="AQ70" s="21">
        <f>(1+'CC70 - %'!AQ38/100)*Tendencial!BD155</f>
        <v>6.138349036017769</v>
      </c>
      <c r="AR70" s="21">
        <f>(1+'CC70 - %'!AR38/100)*Tendencial!BE155</f>
        <v>6.138349036017769</v>
      </c>
      <c r="AS70" s="21">
        <f>(1+'CC70 - %'!AS38/100)*Tendencial!BF155</f>
        <v>6.138349036017769</v>
      </c>
      <c r="AT70" s="21">
        <f>(1+'CC70 - %'!AT38/100)*Tendencial!BG155</f>
        <v>6.138349036017769</v>
      </c>
      <c r="AU70" s="21">
        <f>(1+'CC70 - %'!AU38/100)*Tendencial!BH155</f>
        <v>6.138349036017769</v>
      </c>
      <c r="AV70" s="21">
        <f>(1+'CC70 - %'!AV38/100)*Tendencial!BI155</f>
        <v>6.138349036017769</v>
      </c>
      <c r="AW70" s="21">
        <f>(1+'CC70 - %'!AW38/100)*Tendencial!BJ155</f>
        <v>6.138349036017769</v>
      </c>
      <c r="AX70" s="21">
        <f>(1+'CC70 - %'!AX38/100)*Tendencial!BK155</f>
        <v>6.138349036017769</v>
      </c>
      <c r="AY70" s="21">
        <f>(1+'CC70 - %'!AY38/100)*Tendencial!BL155</f>
        <v>6.138349036017769</v>
      </c>
      <c r="AZ70" s="21">
        <f>(1+'CC70 - %'!AZ38/100)*Tendencial!BM155</f>
        <v>6.138349036017769</v>
      </c>
      <c r="BA70" s="21">
        <f>(1+'CC70 - %'!BA38/100)*Tendencial!BN155</f>
        <v>6.138349036017769</v>
      </c>
      <c r="BB70" s="21">
        <f>(1+'CC70 - %'!BB38/100)*Tendencial!BO155</f>
        <v>6.138349036017769</v>
      </c>
      <c r="BC70" s="21"/>
    </row>
    <row r="71" spans="1:55" ht="14.4" x14ac:dyDescent="0.3">
      <c r="B71" s="384"/>
      <c r="C71" s="9" t="s">
        <v>232</v>
      </c>
      <c r="D71" s="365"/>
      <c r="E71" s="382"/>
      <c r="F71" s="382"/>
      <c r="G71" s="21">
        <f>(1+'CC70 - %'!G39/100)*Tendencial!T156</f>
        <v>0.20535829014788912</v>
      </c>
      <c r="H71" s="21">
        <f>(1+'CC70 - %'!H39/100)*Tendencial!U156</f>
        <v>0.243382049296093</v>
      </c>
      <c r="I71" s="21">
        <f>(1+'CC70 - %'!I39/100)*Tendencial!V156</f>
        <v>0.23864314582095539</v>
      </c>
      <c r="J71" s="21">
        <f>(1+'CC70 - %'!J39/100)*Tendencial!W156</f>
        <v>0.24234977058194601</v>
      </c>
      <c r="K71" s="21">
        <f>(1+'CC70 - %'!K39/100)*Tendencial!X156</f>
        <v>0.24610666352357433</v>
      </c>
      <c r="L71" s="21">
        <f>(1+'CC70 - %'!L39/100)*Tendencial!Y156</f>
        <v>0.24991445934697698</v>
      </c>
      <c r="M71" s="21">
        <f>(1+'CC70 - %'!M39/100)*Tendencial!Z156</f>
        <v>0.25377380042049535</v>
      </c>
      <c r="N71" s="21">
        <f>(1+'CC70 - %'!N39/100)*Tendencial!AA156</f>
        <v>0.25768533686954942</v>
      </c>
      <c r="O71" s="21">
        <f>(1+'CC70 - %'!O39/100)*Tendencial!AB156</f>
        <v>0.26164972666754249</v>
      </c>
      <c r="P71" s="21">
        <f>(1+'CC70 - %'!P39/100)*Tendencial!AC156</f>
        <v>0.26566763572780844</v>
      </c>
      <c r="Q71" s="21">
        <f>(1+'CC70 - %'!Q39/100)*Tendencial!AD156</f>
        <v>0.26973973799661294</v>
      </c>
      <c r="R71" s="21">
        <f>(1+'CC70 - %'!R39/100)*Tendencial!AE156</f>
        <v>0.27386671554722075</v>
      </c>
      <c r="S71" s="21">
        <f>(1+'CC70 - %'!S39/100)*Tendencial!AF156</f>
        <v>0.27804925867504116</v>
      </c>
      <c r="T71" s="21">
        <f>(1+'CC70 - %'!T39/100)*Tendencial!AG156</f>
        <v>0.28663474079559675</v>
      </c>
      <c r="U71" s="21">
        <f>(1+'CC70 - %'!U39/100)*Tendencial!AH156</f>
        <v>0.29358884239659877</v>
      </c>
      <c r="V71" s="21">
        <f>(1+'CC70 - %'!V39/100)*Tendencial!AI156</f>
        <v>0.2992103748079647</v>
      </c>
      <c r="W71" s="21">
        <f>(1+'CC70 - %'!W39/100)*Tendencial!AJ156</f>
        <v>0.30966364742407121</v>
      </c>
      <c r="X71" s="21">
        <f>(1+'CC70 - %'!X39/100)*Tendencial!AK156</f>
        <v>0.31930448152729168</v>
      </c>
      <c r="Y71" s="21">
        <f>(1+'CC70 - %'!Y39/100)*Tendencial!AL156</f>
        <v>0.32843910522142628</v>
      </c>
      <c r="Z71" s="21">
        <f>(1+'CC70 - %'!Z39/100)*Tendencial!AM156</f>
        <v>0.33738635908283476</v>
      </c>
      <c r="AA71" s="21">
        <f>(1+'CC70 - %'!AA39/100)*Tendencial!AN156</f>
        <v>0.34475876865250138</v>
      </c>
      <c r="AB71" s="21">
        <f>(1+'CC70 - %'!AB39/100)*Tendencial!AO156</f>
        <v>0.3537775887205063</v>
      </c>
      <c r="AC71" s="21">
        <f>(1+'CC70 - %'!AC39/100)*Tendencial!AP156</f>
        <v>0.36198690706404668</v>
      </c>
      <c r="AD71" s="21">
        <f>(1+'CC70 - %'!AD39/100)*Tendencial!AQ156</f>
        <v>0.37240229882923487</v>
      </c>
      <c r="AE71" s="21">
        <f>(1+'CC70 - %'!AE39/100)*Tendencial!AR156</f>
        <v>0.38125858264177226</v>
      </c>
      <c r="AF71" s="21">
        <f>(1+'CC70 - %'!AF39/100)*Tendencial!AS156</f>
        <v>0.38996561326496909</v>
      </c>
      <c r="AG71" s="21">
        <f>(1+'CC70 - %'!AG39/100)*Tendencial!AT156</f>
        <v>0.39895583376435456</v>
      </c>
      <c r="AH71" s="21">
        <f>(1+'CC70 - %'!AH39/100)*Tendencial!AU156</f>
        <v>0.40806823507152978</v>
      </c>
      <c r="AI71" s="21">
        <f>(1+'CC70 - %'!AI39/100)*Tendencial!AV156</f>
        <v>0.41826624767380549</v>
      </c>
      <c r="AJ71" s="21">
        <f>(1+'CC70 - %'!AJ39/100)*Tendencial!AW156</f>
        <v>0.42785055969040631</v>
      </c>
      <c r="AK71" s="21">
        <f>(1+'CC70 - %'!AK39/100)*Tendencial!AX156</f>
        <v>0.43754168204390959</v>
      </c>
      <c r="AL71" s="21">
        <f>(1+'CC70 - %'!AL39/100)*Tendencial!AY156</f>
        <v>0.44750657497183077</v>
      </c>
      <c r="AM71" s="21">
        <f>(1+'CC70 - %'!AM39/100)*Tendencial!AZ156</f>
        <v>0.45759863598187989</v>
      </c>
      <c r="AN71" s="21">
        <f>(1+'CC70 - %'!AN39/100)*Tendencial!BA156</f>
        <v>0.46798832059180528</v>
      </c>
      <c r="AO71" s="21">
        <f>(1+'CC70 - %'!AO39/100)*Tendencial!BB156</f>
        <v>0.47820286508471943</v>
      </c>
      <c r="AP71" s="21">
        <f>(1+'CC70 - %'!AP39/100)*Tendencial!BC156</f>
        <v>0.48857868199199267</v>
      </c>
      <c r="AQ71" s="21">
        <f>(1+'CC70 - %'!AQ39/100)*Tendencial!BD156</f>
        <v>0.49910966523350819</v>
      </c>
      <c r="AR71" s="21">
        <f>(1+'CC70 - %'!AR39/100)*Tendencial!BE156</f>
        <v>0.50975205035397042</v>
      </c>
      <c r="AS71" s="21">
        <f>(1+'CC70 - %'!AS39/100)*Tendencial!BF156</f>
        <v>0.52046545799411925</v>
      </c>
      <c r="AT71" s="21">
        <f>(1+'CC70 - %'!AT39/100)*Tendencial!BG156</f>
        <v>0.53127805818066853</v>
      </c>
      <c r="AU71" s="21">
        <f>(1+'CC70 - %'!AU39/100)*Tendencial!BH156</f>
        <v>0.54220202455940614</v>
      </c>
      <c r="AV71" s="21">
        <f>(1+'CC70 - %'!AV39/100)*Tendencial!BI156</f>
        <v>0.55323924867475849</v>
      </c>
      <c r="AW71" s="21">
        <f>(1+'CC70 - %'!AW39/100)*Tendencial!BJ156</f>
        <v>0.56436454245795586</v>
      </c>
      <c r="AX71" s="21">
        <f>(1+'CC70 - %'!AX39/100)*Tendencial!BK156</f>
        <v>0.57557449484243606</v>
      </c>
      <c r="AY71" s="21">
        <f>(1+'CC70 - %'!AY39/100)*Tendencial!BL156</f>
        <v>0.58685602239255164</v>
      </c>
      <c r="AZ71" s="21">
        <f>(1+'CC70 - %'!AZ39/100)*Tendencial!BM156</f>
        <v>0.59822608222382823</v>
      </c>
      <c r="BA71" s="21">
        <f>(1+'CC70 - %'!BA39/100)*Tendencial!BN156</f>
        <v>0.60967889422914534</v>
      </c>
      <c r="BB71" s="21">
        <f>(1+'CC70 - %'!BB39/100)*Tendencial!BO156</f>
        <v>0.6212080310491187</v>
      </c>
      <c r="BC71" s="21"/>
    </row>
    <row r="72" spans="1:55" ht="14.4" x14ac:dyDescent="0.3">
      <c r="B72" s="384"/>
      <c r="C72" s="9" t="s">
        <v>233</v>
      </c>
      <c r="D72" s="365"/>
      <c r="E72" s="382"/>
      <c r="F72" s="382"/>
      <c r="G72" s="21">
        <f>(1+'CC70 - %'!G40/100)*Tendencial!T157</f>
        <v>3.813285757516141E-3</v>
      </c>
      <c r="H72" s="21">
        <f>(1+'CC70 - %'!H40/100)*Tendencial!U157</f>
        <v>4.4989419570692383E-3</v>
      </c>
      <c r="I72" s="21">
        <f>(1+'CC70 - %'!I40/100)*Tendencial!V157</f>
        <v>4.3915546175563496E-3</v>
      </c>
      <c r="J72" s="21">
        <f>(1+'CC70 - %'!J40/100)*Tendencial!W157</f>
        <v>5.1734523522047847E-3</v>
      </c>
      <c r="K72" s="21">
        <f>(1+'CC70 - %'!K40/100)*Tendencial!X157</f>
        <v>5.4703994683314933E-3</v>
      </c>
      <c r="L72" s="21">
        <f>(1+'CC70 - %'!L40/100)*Tendencial!Y157</f>
        <v>5.7974746603490709E-3</v>
      </c>
      <c r="M72" s="21">
        <f>(1+'CC70 - %'!M40/100)*Tendencial!Z157</f>
        <v>6.0813020348448894E-3</v>
      </c>
      <c r="N72" s="21">
        <f>(1+'CC70 - %'!N40/100)*Tendencial!AA157</f>
        <v>6.4498312359817286E-3</v>
      </c>
      <c r="O72" s="21">
        <f>(1+'CC70 - %'!O40/100)*Tendencial!AB157</f>
        <v>6.0080139166036797E-3</v>
      </c>
      <c r="P72" s="21">
        <f>(1+'CC70 - %'!P40/100)*Tendencial!AC157</f>
        <v>6.2437397936611445E-3</v>
      </c>
      <c r="Q72" s="21">
        <f>(1+'CC70 - %'!Q40/100)*Tendencial!AD157</f>
        <v>6.5680008732277922E-3</v>
      </c>
      <c r="R72" s="21">
        <f>(1+'CC70 - %'!R40/100)*Tendencial!AE157</f>
        <v>6.7705420678346772E-3</v>
      </c>
      <c r="S72" s="21">
        <f>(1+'CC70 - %'!S40/100)*Tendencial!AF157</f>
        <v>6.9624391667945703E-3</v>
      </c>
      <c r="T72" s="21">
        <f>(1+'CC70 - %'!T40/100)*Tendencial!AG157</f>
        <v>7.1473851106228599E-3</v>
      </c>
      <c r="U72" s="21">
        <f>(1+'CC70 - %'!U40/100)*Tendencial!AH157</f>
        <v>7.2903395505117177E-3</v>
      </c>
      <c r="V72" s="21">
        <f>(1+'CC70 - %'!V40/100)*Tendencial!AI157</f>
        <v>7.3992169660914665E-3</v>
      </c>
      <c r="W72" s="21">
        <f>(1+'CC70 - %'!W40/100)*Tendencial!AJ157</f>
        <v>7.6262524636911532E-3</v>
      </c>
      <c r="X72" s="21">
        <f>(1+'CC70 - %'!X40/100)*Tendencial!AK157</f>
        <v>7.8315662697886756E-3</v>
      </c>
      <c r="Y72" s="21">
        <f>(1+'CC70 - %'!Y40/100)*Tendencial!AL157</f>
        <v>8.0229085358240436E-3</v>
      </c>
      <c r="Z72" s="21">
        <f>(1+'CC70 - %'!Z40/100)*Tendencial!AM157</f>
        <v>8.2082101115744672E-3</v>
      </c>
      <c r="AA72" s="21">
        <f>(1+'CC70 - %'!AA40/100)*Tendencial!AN157</f>
        <v>8.3539278139543455E-3</v>
      </c>
      <c r="AB72" s="21">
        <f>(1+'CC70 - %'!AB40/100)*Tendencial!AO157</f>
        <v>8.53828302909471E-3</v>
      </c>
      <c r="AC72" s="21">
        <f>(1+'CC70 - %'!AC40/100)*Tendencial!AP157</f>
        <v>8.7017819727975478E-3</v>
      </c>
      <c r="AD72" s="21">
        <f>(1+'CC70 - %'!AD40/100)*Tendencial!AQ157</f>
        <v>8.9168808510428181E-3</v>
      </c>
      <c r="AE72" s="21">
        <f>(1+'CC70 - %'!AE40/100)*Tendencial!AR157</f>
        <v>9.0931756673680569E-3</v>
      </c>
      <c r="AF72" s="21">
        <f>(1+'CC70 - %'!AF40/100)*Tendencial!AS157</f>
        <v>9.2646191720722956E-3</v>
      </c>
      <c r="AG72" s="21">
        <f>(1+'CC70 - %'!AG40/100)*Tendencial!AT157</f>
        <v>9.4415055109926E-3</v>
      </c>
      <c r="AH72" s="21">
        <f>(1+'CC70 - %'!AH40/100)*Tendencial!AU157</f>
        <v>9.6199797848209659E-3</v>
      </c>
      <c r="AI72" s="21">
        <f>(1+'CC70 - %'!AI40/100)*Tendencial!AV157</f>
        <v>9.8226529157210661E-3</v>
      </c>
      <c r="AJ72" s="21">
        <f>(1+'CC70 - %'!AJ40/100)*Tendencial!AW157</f>
        <v>1.0009497263928992E-2</v>
      </c>
      <c r="AK72" s="21">
        <f>(1+'CC70 - %'!AK40/100)*Tendencial!AX157</f>
        <v>1.0197489225163983E-2</v>
      </c>
      <c r="AL72" s="21">
        <f>(1+'CC70 - %'!AL40/100)*Tendencial!AY157</f>
        <v>1.0390496319512289E-2</v>
      </c>
      <c r="AM72" s="21">
        <f>(1+'CC70 - %'!AM40/100)*Tendencial!AZ157</f>
        <v>1.0585074964711928E-2</v>
      </c>
      <c r="AN72" s="21">
        <f>(1+'CC70 - %'!AN40/100)*Tendencial!BA157</f>
        <v>1.0785139854726138E-2</v>
      </c>
      <c r="AO72" s="21">
        <f>(1+'CC70 - %'!AO40/100)*Tendencial!BB157</f>
        <v>1.0979779179192668E-2</v>
      </c>
      <c r="AP72" s="21">
        <f>(1+'CC70 - %'!AP40/100)*Tendencial!BC157</f>
        <v>1.1176752643772677E-2</v>
      </c>
      <c r="AQ72" s="21">
        <f>(1+'CC70 - %'!AQ40/100)*Tendencial!BD157</f>
        <v>1.1375899366915191E-2</v>
      </c>
      <c r="AR72" s="21">
        <f>(1+'CC70 - %'!AR40/100)*Tendencial!BE157</f>
        <v>1.1576205688751983E-2</v>
      </c>
      <c r="AS72" s="21">
        <f>(1+'CC70 - %'!AS40/100)*Tendencial!BF157</f>
        <v>1.1776749287031292E-2</v>
      </c>
      <c r="AT72" s="21">
        <f>(1+'CC70 - %'!AT40/100)*Tendencial!BG157</f>
        <v>1.1978166654374636E-2</v>
      </c>
      <c r="AU72" s="21">
        <f>(1+'CC70 - %'!AU40/100)*Tendencial!BH157</f>
        <v>1.2180725806810472E-2</v>
      </c>
      <c r="AV72" s="21">
        <f>(1+'CC70 - %'!AV40/100)*Tendencial!BI157</f>
        <v>1.2384460798455203E-2</v>
      </c>
      <c r="AW72" s="21">
        <f>(1+'CC70 - %'!AW40/100)*Tendencial!BJ157</f>
        <v>1.2588801191107788E-2</v>
      </c>
      <c r="AX72" s="21">
        <f>(1+'CC70 - %'!AX40/100)*Tendencial!BK157</f>
        <v>1.2793668661033354E-2</v>
      </c>
      <c r="AY72" s="21">
        <f>(1+'CC70 - %'!AY40/100)*Tendencial!BL157</f>
        <v>1.2998771749142587E-2</v>
      </c>
      <c r="AZ72" s="21">
        <f>(1+'CC70 - %'!AZ40/100)*Tendencial!BM157</f>
        <v>1.3204486138564174E-2</v>
      </c>
      <c r="BA72" s="21">
        <f>(1+'CC70 - %'!BA40/100)*Tendencial!BN157</f>
        <v>1.3410682168721938E-2</v>
      </c>
      <c r="BB72" s="21">
        <f>(1+'CC70 - %'!BB40/100)*Tendencial!BO157</f>
        <v>1.3617217786810432E-2</v>
      </c>
      <c r="BC72" s="21"/>
    </row>
    <row r="73" spans="1:55" ht="14.4" x14ac:dyDescent="0.3">
      <c r="B73" s="384"/>
      <c r="C73" s="9" t="s">
        <v>234</v>
      </c>
      <c r="D73" s="365"/>
      <c r="E73" s="382"/>
      <c r="F73" s="382"/>
      <c r="G73" s="21">
        <f>(1+'CC70 - %'!G41/100)*Tendencial!T158</f>
        <v>2.0492724225028781E-2</v>
      </c>
      <c r="H73" s="21">
        <f>(1+'CC70 - %'!H41/100)*Tendencial!U158</f>
        <v>2.4153358250614352E-2</v>
      </c>
      <c r="I73" s="21">
        <f>(1+'CC70 - %'!I41/100)*Tendencial!V158</f>
        <v>2.3553347601943529E-2</v>
      </c>
      <c r="J73" s="21">
        <f>(1+'CC70 - %'!J41/100)*Tendencial!W158</f>
        <v>2.7719312695059884E-2</v>
      </c>
      <c r="K73" s="21">
        <f>(1+'CC70 - %'!K41/100)*Tendencial!X158</f>
        <v>2.7691593382364824E-2</v>
      </c>
      <c r="L73" s="21">
        <f>(1+'CC70 - %'!L41/100)*Tendencial!Y158</f>
        <v>2.766390178898246E-2</v>
      </c>
      <c r="M73" s="21">
        <f>(1+'CC70 - %'!M41/100)*Tendencial!Z158</f>
        <v>2.7636237887193479E-2</v>
      </c>
      <c r="N73" s="21">
        <f>(1+'CC70 - %'!N41/100)*Tendencial!AA158</f>
        <v>2.7608601649306286E-2</v>
      </c>
      <c r="O73" s="21">
        <f>(1+'CC70 - %'!O41/100)*Tendencial!AB158</f>
        <v>2.7580993047656981E-2</v>
      </c>
      <c r="P73" s="21">
        <f>(1+'CC70 - %'!P41/100)*Tendencial!AC158</f>
        <v>2.7553412054609323E-2</v>
      </c>
      <c r="Q73" s="21">
        <f>(1+'CC70 - %'!Q41/100)*Tendencial!AD158</f>
        <v>2.7525858642554715E-2</v>
      </c>
      <c r="R73" s="21">
        <f>(1+'CC70 - %'!R41/100)*Tendencial!AE158</f>
        <v>2.7498332783912161E-2</v>
      </c>
      <c r="S73" s="21">
        <f>(1+'CC70 - %'!S41/100)*Tendencial!AF158</f>
        <v>2.7470834451128249E-2</v>
      </c>
      <c r="T73" s="21">
        <f>(1+'CC70 - %'!T41/100)*Tendencial!AG158</f>
        <v>2.7443363616677121E-2</v>
      </c>
      <c r="U73" s="21">
        <f>(1+'CC70 - %'!U41/100)*Tendencial!AH158</f>
        <v>2.7415920253060444E-2</v>
      </c>
      <c r="V73" s="21">
        <f>(1+'CC70 - %'!V41/100)*Tendencial!AI158</f>
        <v>2.7388504332807383E-2</v>
      </c>
      <c r="W73" s="21">
        <f>(1+'CC70 - %'!W41/100)*Tendencial!AJ158</f>
        <v>2.7361115828474575E-2</v>
      </c>
      <c r="X73" s="21">
        <f>(1+'CC70 - %'!X41/100)*Tendencial!AK158</f>
        <v>2.73337547126461E-2</v>
      </c>
      <c r="Y73" s="21">
        <f>(1+'CC70 - %'!Y41/100)*Tendencial!AL158</f>
        <v>2.7306420957933453E-2</v>
      </c>
      <c r="Z73" s="21">
        <f>(1+'CC70 - %'!Z41/100)*Tendencial!AM158</f>
        <v>2.727911453697552E-2</v>
      </c>
      <c r="AA73" s="21">
        <f>(1+'CC70 - %'!AA41/100)*Tendencial!AN158</f>
        <v>2.7251835422438545E-2</v>
      </c>
      <c r="AB73" s="21">
        <f>(1+'CC70 - %'!AB41/100)*Tendencial!AO158</f>
        <v>2.7224583587016106E-2</v>
      </c>
      <c r="AC73" s="21">
        <f>(1+'CC70 - %'!AC41/100)*Tendencial!AP158</f>
        <v>2.7197359003429091E-2</v>
      </c>
      <c r="AD73" s="21">
        <f>(1+'CC70 - %'!AD41/100)*Tendencial!AQ158</f>
        <v>2.717016164442566E-2</v>
      </c>
      <c r="AE73" s="21">
        <f>(1+'CC70 - %'!AE41/100)*Tendencial!AR158</f>
        <v>2.7142991482781233E-2</v>
      </c>
      <c r="AF73" s="21">
        <f>(1+'CC70 - %'!AF41/100)*Tendencial!AS158</f>
        <v>2.7115848491298451E-2</v>
      </c>
      <c r="AG73" s="21">
        <f>(1+'CC70 - %'!AG41/100)*Tendencial!AT158</f>
        <v>2.7088732642807152E-2</v>
      </c>
      <c r="AH73" s="21">
        <f>(1+'CC70 - %'!AH41/100)*Tendencial!AU158</f>
        <v>2.7061643910164346E-2</v>
      </c>
      <c r="AI73" s="21">
        <f>(1+'CC70 - %'!AI41/100)*Tendencial!AV158</f>
        <v>2.7034582266254183E-2</v>
      </c>
      <c r="AJ73" s="21">
        <f>(1+'CC70 - %'!AJ41/100)*Tendencial!AW158</f>
        <v>2.7007547683987929E-2</v>
      </c>
      <c r="AK73" s="21">
        <f>(1+'CC70 - %'!AK41/100)*Tendencial!AX158</f>
        <v>2.6980540136303941E-2</v>
      </c>
      <c r="AL73" s="21">
        <f>(1+'CC70 - %'!AL41/100)*Tendencial!AY158</f>
        <v>2.6953559596167638E-2</v>
      </c>
      <c r="AM73" s="21">
        <f>(1+'CC70 - %'!AM41/100)*Tendencial!AZ158</f>
        <v>2.692660603657147E-2</v>
      </c>
      <c r="AN73" s="21">
        <f>(1+'CC70 - %'!AN41/100)*Tendencial!BA158</f>
        <v>2.6899679430534899E-2</v>
      </c>
      <c r="AO73" s="21">
        <f>(1+'CC70 - %'!AO41/100)*Tendencial!BB158</f>
        <v>2.6872779751104362E-2</v>
      </c>
      <c r="AP73" s="21">
        <f>(1+'CC70 - %'!AP41/100)*Tendencial!BC158</f>
        <v>2.6845906971353257E-2</v>
      </c>
      <c r="AQ73" s="21">
        <f>(1+'CC70 - %'!AQ41/100)*Tendencial!BD158</f>
        <v>2.6819061064381904E-2</v>
      </c>
      <c r="AR73" s="21">
        <f>(1+'CC70 - %'!AR41/100)*Tendencial!BE158</f>
        <v>2.6792242003317521E-2</v>
      </c>
      <c r="AS73" s="21">
        <f>(1+'CC70 - %'!AS41/100)*Tendencial!BF158</f>
        <v>2.6765449761314203E-2</v>
      </c>
      <c r="AT73" s="21">
        <f>(1+'CC70 - %'!AT41/100)*Tendencial!BG158</f>
        <v>2.673868431155289E-2</v>
      </c>
      <c r="AU73" s="21">
        <f>(1+'CC70 - %'!AU41/100)*Tendencial!BH158</f>
        <v>2.6711945627241336E-2</v>
      </c>
      <c r="AV73" s="21">
        <f>(1+'CC70 - %'!AV41/100)*Tendencial!BI158</f>
        <v>2.6685233681614094E-2</v>
      </c>
      <c r="AW73" s="21">
        <f>(1+'CC70 - %'!AW41/100)*Tendencial!BJ158</f>
        <v>2.665854844793248E-2</v>
      </c>
      <c r="AX73" s="21">
        <f>(1+'CC70 - %'!AX41/100)*Tendencial!BK158</f>
        <v>2.6631889899484548E-2</v>
      </c>
      <c r="AY73" s="21">
        <f>(1+'CC70 - %'!AY41/100)*Tendencial!BL158</f>
        <v>2.6605258009585065E-2</v>
      </c>
      <c r="AZ73" s="21">
        <f>(1+'CC70 - %'!AZ41/100)*Tendencial!BM158</f>
        <v>2.657865275157548E-2</v>
      </c>
      <c r="BA73" s="21">
        <f>(1+'CC70 - %'!BA41/100)*Tendencial!BN158</f>
        <v>2.6552074098823906E-2</v>
      </c>
      <c r="BB73" s="21">
        <f>(1+'CC70 - %'!BB41/100)*Tendencial!BO158</f>
        <v>2.6525522024725082E-2</v>
      </c>
      <c r="BC73" s="21"/>
    </row>
    <row r="74" spans="1:55" ht="14.4" x14ac:dyDescent="0.3">
      <c r="B74" s="384"/>
      <c r="C74" s="9" t="s">
        <v>235</v>
      </c>
      <c r="D74" s="365"/>
      <c r="E74" s="382"/>
      <c r="F74" s="382"/>
      <c r="G74" s="21">
        <f>(1+'CC70 - %'!G42/100)*Tendencial!T159</f>
        <v>4.3579677533026953E-3</v>
      </c>
      <c r="H74" s="21">
        <f>(1+'CC70 - %'!H42/100)*Tendencial!U159</f>
        <v>5.1364355092226458E-3</v>
      </c>
      <c r="I74" s="21">
        <f>(1+'CC70 - %'!I42/100)*Tendencial!V159</f>
        <v>5.0088376832902563E-3</v>
      </c>
      <c r="J74" s="21">
        <f>(1+'CC70 - %'!J42/100)*Tendencial!W159</f>
        <v>5.8947687746291012E-3</v>
      </c>
      <c r="K74" s="21">
        <f>(1+'CC70 - %'!K42/100)*Tendencial!X159</f>
        <v>6.2269222492112768E-3</v>
      </c>
      <c r="L74" s="21">
        <f>(1+'CC70 - %'!L42/100)*Tendencial!Y159</f>
        <v>6.5926765829329168E-3</v>
      </c>
      <c r="M74" s="21">
        <f>(1+'CC70 - %'!M42/100)*Tendencial!Z159</f>
        <v>6.9085741635421727E-3</v>
      </c>
      <c r="N74" s="21">
        <f>(1+'CC70 - %'!N42/100)*Tendencial!AA159</f>
        <v>7.319974488810374E-3</v>
      </c>
      <c r="O74" s="21">
        <f>(1+'CC70 - %'!O42/100)*Tendencial!AB159</f>
        <v>6.8118007917845197E-3</v>
      </c>
      <c r="P74" s="21">
        <f>(1+'CC70 - %'!P42/100)*Tendencial!AC159</f>
        <v>7.0720614000280438E-3</v>
      </c>
      <c r="Q74" s="21">
        <f>(1+'CC70 - %'!Q42/100)*Tendencial!AD159</f>
        <v>7.4319892342154022E-3</v>
      </c>
      <c r="R74" s="21">
        <f>(1+'CC70 - %'!R42/100)*Tendencial!AE159</f>
        <v>7.6536108748294085E-3</v>
      </c>
      <c r="S74" s="21">
        <f>(1+'CC70 - %'!S42/100)*Tendencial!AF159</f>
        <v>7.8627748735362376E-3</v>
      </c>
      <c r="T74" s="21">
        <f>(1+'CC70 - %'!T42/100)*Tendencial!AG159</f>
        <v>8.0636844287911846E-3</v>
      </c>
      <c r="U74" s="21">
        <f>(1+'CC70 - %'!U42/100)*Tendencial!AH159</f>
        <v>8.216870280118185E-3</v>
      </c>
      <c r="V74" s="21">
        <f>(1+'CC70 - %'!V42/100)*Tendencial!AI159</f>
        <v>8.3313847666323035E-3</v>
      </c>
      <c r="W74" s="21">
        <f>(1+'CC70 - %'!W42/100)*Tendencial!AJ159</f>
        <v>8.5785874502786637E-3</v>
      </c>
      <c r="X74" s="21">
        <f>(1+'CC70 - %'!X42/100)*Tendencial!AK159</f>
        <v>8.8008947188794907E-3</v>
      </c>
      <c r="Y74" s="21">
        <f>(1+'CC70 - %'!Y42/100)*Tendencial!AL159</f>
        <v>9.0070806586278994E-3</v>
      </c>
      <c r="Z74" s="21">
        <f>(1+'CC70 - %'!Z42/100)*Tendencial!AM159</f>
        <v>9.2060876471899804E-3</v>
      </c>
      <c r="AA74" s="21">
        <f>(1+'CC70 - %'!AA42/100)*Tendencial!AN159</f>
        <v>9.3603525189586943E-3</v>
      </c>
      <c r="AB74" s="21">
        <f>(1+'CC70 - %'!AB42/100)*Tendencial!AO159</f>
        <v>9.557565777560454E-3</v>
      </c>
      <c r="AC74" s="21">
        <f>(1+'CC70 - %'!AC42/100)*Tendencial!AP159</f>
        <v>9.7310706024690326E-3</v>
      </c>
      <c r="AD74" s="21">
        <f>(1+'CC70 - %'!AD42/100)*Tendencial!AQ159</f>
        <v>9.9618840083651183E-3</v>
      </c>
      <c r="AE74" s="21">
        <f>(1+'CC70 - %'!AE42/100)*Tendencial!AR159</f>
        <v>1.014893808125311E-2</v>
      </c>
      <c r="AF74" s="21">
        <f>(1+'CC70 - %'!AF42/100)*Tendencial!AS159</f>
        <v>1.0330218580824913E-2</v>
      </c>
      <c r="AG74" s="21">
        <f>(1+'CC70 - %'!AG42/100)*Tendencial!AT159</f>
        <v>1.0517209350008964E-2</v>
      </c>
      <c r="AH74" s="21">
        <f>(1+'CC70 - %'!AH42/100)*Tendencial!AU159</f>
        <v>1.070560381236378E-2</v>
      </c>
      <c r="AI74" s="21">
        <f>(1+'CC70 - %'!AI42/100)*Tendencial!AV159</f>
        <v>1.0920536036376331E-2</v>
      </c>
      <c r="AJ74" s="21">
        <f>(1+'CC70 - %'!AJ42/100)*Tendencial!AW159</f>
        <v>1.1117470415780003E-2</v>
      </c>
      <c r="AK74" s="21">
        <f>(1+'CC70 - %'!AK42/100)*Tendencial!AX159</f>
        <v>1.1315296549112567E-2</v>
      </c>
      <c r="AL74" s="21">
        <f>(1+'CC70 - %'!AL42/100)*Tendencial!AY159</f>
        <v>1.1518299154127429E-2</v>
      </c>
      <c r="AM74" s="21">
        <f>(1+'CC70 - %'!AM42/100)*Tendencial!AZ159</f>
        <v>1.1722649549113544E-2</v>
      </c>
      <c r="AN74" s="21">
        <f>(1+'CC70 - %'!AN42/100)*Tendencial!BA159</f>
        <v>1.1932675043494241E-2</v>
      </c>
      <c r="AO74" s="21">
        <f>(1+'CC70 - %'!AO42/100)*Tendencial!BB159</f>
        <v>1.2136298033638639E-2</v>
      </c>
      <c r="AP74" s="21">
        <f>(1+'CC70 - %'!AP42/100)*Tendencial!BC159</f>
        <v>1.2342105819401242E-2</v>
      </c>
      <c r="AQ74" s="21">
        <f>(1+'CC70 - %'!AQ42/100)*Tendencial!BD159</f>
        <v>1.2549914601499734E-2</v>
      </c>
      <c r="AR74" s="21">
        <f>(1+'CC70 - %'!AR42/100)*Tendencial!BE159</f>
        <v>1.2758601407005511E-2</v>
      </c>
      <c r="AS74" s="21">
        <f>(1+'CC70 - %'!AS42/100)*Tendencial!BF159</f>
        <v>1.2967148152178481E-2</v>
      </c>
      <c r="AT74" s="21">
        <f>(1+'CC70 - %'!AT42/100)*Tendencial!BG159</f>
        <v>1.317625539699197E-2</v>
      </c>
      <c r="AU74" s="21">
        <f>(1+'CC70 - %'!AU42/100)*Tendencial!BH159</f>
        <v>1.3386216068502304E-2</v>
      </c>
      <c r="AV74" s="21">
        <f>(1+'CC70 - %'!AV42/100)*Tendencial!BI159</f>
        <v>1.3597065100452378E-2</v>
      </c>
      <c r="AW74" s="21">
        <f>(1+'CC70 - %'!AW42/100)*Tendencial!BJ159</f>
        <v>1.3808174248250472E-2</v>
      </c>
      <c r="AX74" s="21">
        <f>(1+'CC70 - %'!AX42/100)*Tendencial!BK159</f>
        <v>1.4019456937056047E-2</v>
      </c>
      <c r="AY74" s="21">
        <f>(1+'CC70 - %'!AY42/100)*Tendencial!BL159</f>
        <v>1.4230593590083288E-2</v>
      </c>
      <c r="AZ74" s="21">
        <f>(1+'CC70 - %'!AZ42/100)*Tendencial!BM159</f>
        <v>1.4441995517495802E-2</v>
      </c>
      <c r="BA74" s="21">
        <f>(1+'CC70 - %'!BA42/100)*Tendencial!BN159</f>
        <v>1.4653520283019873E-2</v>
      </c>
      <c r="BB74" s="21">
        <f>(1+'CC70 - %'!BB42/100)*Tendencial!BO159</f>
        <v>1.4865012465739591E-2</v>
      </c>
      <c r="BC74" s="21"/>
    </row>
    <row r="75" spans="1:55" ht="14.4" x14ac:dyDescent="0.3">
      <c r="B75" s="384"/>
      <c r="C75" s="9" t="s">
        <v>236</v>
      </c>
      <c r="D75" s="365"/>
      <c r="E75" s="382"/>
      <c r="F75" s="382"/>
      <c r="G75" s="21">
        <f>(1+'CC70 - %'!G43/100)*Tendencial!T160</f>
        <v>0.10629885756333729</v>
      </c>
      <c r="H75" s="21">
        <f>(1+'CC70 - %'!H43/100)*Tendencial!U160</f>
        <v>0.12549316327802049</v>
      </c>
      <c r="I75" s="21">
        <f>(1+'CC70 - %'!I43/100)*Tendencial!V160</f>
        <v>0.12257662420847414</v>
      </c>
      <c r="J75" s="21">
        <f>(1+'CC70 - %'!J43/100)*Tendencial!W160</f>
        <v>0.14449365520806629</v>
      </c>
      <c r="K75" s="21">
        <f>(1+'CC70 - %'!K43/100)*Tendencial!X160</f>
        <v>0.152885249964826</v>
      </c>
      <c r="L75" s="21">
        <f>(1+'CC70 - %'!L43/100)*Tendencial!Y160</f>
        <v>0.16212981901074849</v>
      </c>
      <c r="M75" s="21">
        <f>(1+'CC70 - %'!M43/100)*Tendencial!Z160</f>
        <v>0.17017563413572656</v>
      </c>
      <c r="N75" s="21">
        <f>(1+'CC70 - %'!N43/100)*Tendencial!AA160</f>
        <v>0.18060309806686467</v>
      </c>
      <c r="O75" s="21">
        <f>(1+'CC70 - %'!O43/100)*Tendencial!AB160</f>
        <v>0.16833836087135109</v>
      </c>
      <c r="P75" s="21">
        <f>(1+'CC70 - %'!P43/100)*Tendencial!AC160</f>
        <v>0.17505380720838601</v>
      </c>
      <c r="Q75" s="21">
        <f>(1+'CC70 - %'!Q43/100)*Tendencial!AD160</f>
        <v>0.1842611816412115</v>
      </c>
      <c r="R75" s="21">
        <f>(1+'CC70 - %'!R43/100)*Tendencial!AE160</f>
        <v>0.1900628613578709</v>
      </c>
      <c r="S75" s="21">
        <f>(1+'CC70 - %'!S43/100)*Tendencial!AF160</f>
        <v>0.19557245984911709</v>
      </c>
      <c r="T75" s="21">
        <f>(1+'CC70 - %'!T43/100)*Tendencial!AG160</f>
        <v>0.2008931935819479</v>
      </c>
      <c r="U75" s="21">
        <f>(1+'CC70 - %'!U43/100)*Tendencial!AH160</f>
        <v>0.20503917539283856</v>
      </c>
      <c r="V75" s="21">
        <f>(1+'CC70 - %'!V43/100)*Tendencial!AI160</f>
        <v>0.20823091221612486</v>
      </c>
      <c r="W75" s="21">
        <f>(1+'CC70 - %'!W43/100)*Tendencial!AJ160</f>
        <v>0.21475350859522563</v>
      </c>
      <c r="X75" s="21">
        <f>(1+'CC70 - %'!X43/100)*Tendencial!AK160</f>
        <v>0.22067171542179712</v>
      </c>
      <c r="Y75" s="21">
        <f>(1+'CC70 - %'!Y43/100)*Tendencial!AL160</f>
        <v>0.22620288820915466</v>
      </c>
      <c r="Z75" s="21">
        <f>(1+'CC70 - %'!Z43/100)*Tendencial!AM160</f>
        <v>0.23157002353649447</v>
      </c>
      <c r="AA75" s="21">
        <f>(1+'CC70 - %'!AA43/100)*Tendencial!AN160</f>
        <v>0.23582588640138566</v>
      </c>
      <c r="AB75" s="21">
        <f>(1+'CC70 - %'!AB43/100)*Tendencial!AO160</f>
        <v>0.24117789552015015</v>
      </c>
      <c r="AC75" s="21">
        <f>(1+'CC70 - %'!AC43/100)*Tendencial!AP160</f>
        <v>0.24594651141064192</v>
      </c>
      <c r="AD75" s="21">
        <f>(1+'CC70 - %'!AD43/100)*Tendencial!AQ160</f>
        <v>0.25217978348151698</v>
      </c>
      <c r="AE75" s="21">
        <f>(1+'CC70 - %'!AE43/100)*Tendencial!AR160</f>
        <v>0.25732207376669064</v>
      </c>
      <c r="AF75" s="21">
        <f>(1+'CC70 - %'!AF43/100)*Tendencial!AS160</f>
        <v>0.26233275295137798</v>
      </c>
      <c r="AG75" s="21">
        <f>(1+'CC70 - %'!AG43/100)*Tendencial!AT160</f>
        <v>0.26750321558586981</v>
      </c>
      <c r="AH75" s="21">
        <f>(1+'CC70 - %'!AH43/100)*Tendencial!AU160</f>
        <v>0.27272443915239469</v>
      </c>
      <c r="AI75" s="21">
        <f>(1+'CC70 - %'!AI43/100)*Tendencial!AV160</f>
        <v>0.27863788928127653</v>
      </c>
      <c r="AJ75" s="21">
        <f>(1+'CC70 - %'!AJ43/100)*Tendencial!AW160</f>
        <v>0.28410864540880892</v>
      </c>
      <c r="AK75" s="21">
        <f>(1+'CC70 - %'!AK43/100)*Tendencial!AX160</f>
        <v>0.28961802593035435</v>
      </c>
      <c r="AL75" s="21">
        <f>(1+'CC70 - %'!AL43/100)*Tendencial!AY160</f>
        <v>0.29527597853062404</v>
      </c>
      <c r="AM75" s="21">
        <f>(1+'CC70 - %'!AM43/100)*Tendencial!AZ160</f>
        <v>0.30098482286324296</v>
      </c>
      <c r="AN75" s="21">
        <f>(1+'CC70 - %'!AN43/100)*Tendencial!BA160</f>
        <v>0.3068560005198625</v>
      </c>
      <c r="AO75" s="21">
        <f>(1+'CC70 - %'!AO43/100)*Tendencial!BB160</f>
        <v>0.31257912704575752</v>
      </c>
      <c r="AP75" s="21">
        <f>(1+'CC70 - %'!AP43/100)*Tendencial!BC160</f>
        <v>0.31837494853399378</v>
      </c>
      <c r="AQ75" s="21">
        <f>(1+'CC70 - %'!AQ43/100)*Tendencial!BD160</f>
        <v>0.32423897927904249</v>
      </c>
      <c r="AR75" s="21">
        <f>(1+'CC70 - %'!AR43/100)*Tendencial!BE160</f>
        <v>0.33014240196504618</v>
      </c>
      <c r="AS75" s="21">
        <f>(1+'CC70 - %'!AS43/100)*Tendencial!BF160</f>
        <v>0.33605893741470189</v>
      </c>
      <c r="AT75" s="21">
        <f>(1+'CC70 - %'!AT43/100)*Tendencial!BG160</f>
        <v>0.34200675271310443</v>
      </c>
      <c r="AU75" s="21">
        <f>(1+'CC70 - %'!AU43/100)*Tendencial!BH160</f>
        <v>0.3479935303633529</v>
      </c>
      <c r="AV75" s="21">
        <f>(1+'CC70 - %'!AV43/100)*Tendencial!BI160</f>
        <v>0.35402028262209617</v>
      </c>
      <c r="AW75" s="21">
        <f>(1+'CC70 - %'!AW43/100)*Tendencial!BJ160</f>
        <v>0.36007073389128996</v>
      </c>
      <c r="AX75" s="21">
        <f>(1+'CC70 - %'!AX43/100)*Tendencial!BK160</f>
        <v>0.36614265442043986</v>
      </c>
      <c r="AY75" s="21">
        <f>(1+'CC70 - %'!AY43/100)*Tendencial!BL160</f>
        <v>0.3722277059672699</v>
      </c>
      <c r="AZ75" s="21">
        <f>(1+'CC70 - %'!AZ43/100)*Tendencial!BM160</f>
        <v>0.37833664604098394</v>
      </c>
      <c r="BA75" s="21">
        <f>(1+'CC70 - %'!BA43/100)*Tendencial!BN160</f>
        <v>0.38446576945164873</v>
      </c>
      <c r="BB75" s="21">
        <f>(1+'CC70 - %'!BB43/100)*Tendencial!BO160</f>
        <v>0.39061100695435624</v>
      </c>
      <c r="BC75" s="21"/>
    </row>
    <row r="76" spans="1:55" ht="14.4" x14ac:dyDescent="0.3">
      <c r="B76" s="384"/>
      <c r="C76" s="9" t="s">
        <v>237</v>
      </c>
      <c r="D76" s="365"/>
      <c r="E76" s="382"/>
      <c r="F76" s="382"/>
      <c r="G76" s="21">
        <f>(1+'CC70 - %'!G44/100)*Tendencial!T161</f>
        <v>8.4360346548808007E-6</v>
      </c>
      <c r="H76" s="21">
        <f>(1+'CC70 - %'!H44/100)*Tendencial!U161</f>
        <v>9.942971222199602E-6</v>
      </c>
      <c r="I76" s="21">
        <f>(1+'CC70 - %'!I44/100)*Tendencial!V161</f>
        <v>9.695970844411739E-6</v>
      </c>
      <c r="J76" s="21">
        <f>(1+'CC70 - %'!J44/100)*Tendencial!W161</f>
        <v>1.1410931994068451E-5</v>
      </c>
      <c r="K76" s="21">
        <f>(1+'CC70 - %'!K44/100)*Tendencial!X161</f>
        <v>1.2053905595741101E-5</v>
      </c>
      <c r="L76" s="21">
        <f>(1+'CC70 - %'!L44/100)*Tendencial!Y161</f>
        <v>1.2761922820538193E-5</v>
      </c>
      <c r="M76" s="21">
        <f>(1+'CC70 - %'!M44/100)*Tendencial!Z161</f>
        <v>1.3373428707747445E-5</v>
      </c>
      <c r="N76" s="21">
        <f>(1+'CC70 - %'!N44/100)*Tendencial!AA161</f>
        <v>1.4169806193184686E-5</v>
      </c>
      <c r="O76" s="21">
        <f>(1+'CC70 - %'!O44/100)*Tendencial!AB161</f>
        <v>1.3186097464371786E-5</v>
      </c>
      <c r="P76" s="21">
        <f>(1+'CC70 - %'!P44/100)*Tendencial!AC161</f>
        <v>1.3689902823826043E-5</v>
      </c>
      <c r="Q76" s="21">
        <f>(1+'CC70 - %'!Q44/100)*Tendencial!AD161</f>
        <v>1.4386641270355306E-5</v>
      </c>
      <c r="R76" s="21">
        <f>(1+'CC70 - %'!R44/100)*Tendencial!AE161</f>
        <v>1.4815650374214419E-5</v>
      </c>
      <c r="S76" s="21">
        <f>(1+'CC70 - %'!S44/100)*Tendencial!AF161</f>
        <v>1.5220544315962154E-5</v>
      </c>
      <c r="T76" s="21">
        <f>(1+'CC70 - %'!T44/100)*Tendencial!AG161</f>
        <v>1.5609459532083924E-5</v>
      </c>
      <c r="U76" s="21">
        <f>(1+'CC70 - %'!U44/100)*Tendencial!AH161</f>
        <v>1.5905992508825808E-5</v>
      </c>
      <c r="V76" s="21">
        <f>(1+'CC70 - %'!V44/100)*Tendencial!AI161</f>
        <v>1.6127666516392032E-5</v>
      </c>
      <c r="W76" s="21">
        <f>(1+'CC70 - %'!W44/100)*Tendencial!AJ161</f>
        <v>1.6606194702939487E-5</v>
      </c>
      <c r="X76" s="21">
        <f>(1+'CC70 - %'!X44/100)*Tendencial!AK161</f>
        <v>1.7036531026682866E-5</v>
      </c>
      <c r="Y76" s="21">
        <f>(1+'CC70 - %'!Y44/100)*Tendencial!AL161</f>
        <v>1.7435660123438695E-5</v>
      </c>
      <c r="Z76" s="21">
        <f>(1+'CC70 - %'!Z44/100)*Tendencial!AM161</f>
        <v>1.7820892403049043E-5</v>
      </c>
      <c r="AA76" s="21">
        <f>(1+'CC70 - %'!AA44/100)*Tendencial!AN161</f>
        <v>1.8119514118018218E-5</v>
      </c>
      <c r="AB76" s="21">
        <f>(1+'CC70 - %'!AB44/100)*Tendencial!AO161</f>
        <v>1.8501274144284033E-5</v>
      </c>
      <c r="AC76" s="21">
        <f>(1+'CC70 - %'!AC44/100)*Tendencial!AP161</f>
        <v>1.8837140033747886E-5</v>
      </c>
      <c r="AD76" s="21">
        <f>(1+'CC70 - %'!AD44/100)*Tendencial!AQ161</f>
        <v>1.9283942305167816E-5</v>
      </c>
      <c r="AE76" s="21">
        <f>(1+'CC70 - %'!AE44/100)*Tendencial!AR161</f>
        <v>1.9646036457889301E-5</v>
      </c>
      <c r="AF76" s="21">
        <f>(1+'CC70 - %'!AF44/100)*Tendencial!AS161</f>
        <v>1.9996954285466813E-5</v>
      </c>
      <c r="AG76" s="21">
        <f>(1+'CC70 - %'!AG44/100)*Tendencial!AT161</f>
        <v>2.0358925896611481E-5</v>
      </c>
      <c r="AH76" s="21">
        <f>(1+'CC70 - %'!AH44/100)*Tendencial!AU161</f>
        <v>2.0723614738562732E-5</v>
      </c>
      <c r="AI76" s="21">
        <f>(1+'CC70 - %'!AI44/100)*Tendencial!AV161</f>
        <v>2.1139674652922211E-5</v>
      </c>
      <c r="AJ76" s="21">
        <f>(1+'CC70 - %'!AJ44/100)*Tendencial!AW161</f>
        <v>2.1520894832472132E-5</v>
      </c>
      <c r="AK76" s="21">
        <f>(1+'CC70 - %'!AK44/100)*Tendencial!AX161</f>
        <v>2.1903841244861213E-5</v>
      </c>
      <c r="AL76" s="21">
        <f>(1+'CC70 - %'!AL44/100)*Tendencial!AY161</f>
        <v>2.2296808129400137E-5</v>
      </c>
      <c r="AM76" s="21">
        <f>(1+'CC70 - %'!AM44/100)*Tendencial!AZ161</f>
        <v>2.2692384028862674E-5</v>
      </c>
      <c r="AN76" s="21">
        <f>(1+'CC70 - %'!AN44/100)*Tendencial!BA161</f>
        <v>2.309894563034797E-5</v>
      </c>
      <c r="AO76" s="21">
        <f>(1+'CC70 - %'!AO44/100)*Tendencial!BB161</f>
        <v>2.349311343943439E-5</v>
      </c>
      <c r="AP76" s="21">
        <f>(1+'CC70 - %'!AP44/100)*Tendencial!BC161</f>
        <v>2.3891510516058425E-5</v>
      </c>
      <c r="AQ76" s="21">
        <f>(1+'CC70 - %'!AQ44/100)*Tendencial!BD161</f>
        <v>2.4293781066601824E-5</v>
      </c>
      <c r="AR76" s="21">
        <f>(1+'CC70 - %'!AR44/100)*Tendencial!BE161</f>
        <v>2.4697751270816601E-5</v>
      </c>
      <c r="AS76" s="21">
        <f>(1+'CC70 - %'!AS44/100)*Tendencial!BF161</f>
        <v>2.5101450350074011E-5</v>
      </c>
      <c r="AT76" s="21">
        <f>(1+'CC70 - %'!AT44/100)*Tendencial!BG161</f>
        <v>2.5506234429188951E-5</v>
      </c>
      <c r="AU76" s="21">
        <f>(1+'CC70 - %'!AU44/100)*Tendencial!BH161</f>
        <v>2.5912670548336663E-5</v>
      </c>
      <c r="AV76" s="21">
        <f>(1+'CC70 - %'!AV44/100)*Tendencial!BI161</f>
        <v>2.6320826331300147E-5</v>
      </c>
      <c r="AW76" s="21">
        <f>(1+'CC70 - %'!AW44/100)*Tendencial!BJ161</f>
        <v>2.6729485639400213E-5</v>
      </c>
      <c r="AX76" s="21">
        <f>(1+'CC70 - %'!AX44/100)*Tendencial!BK161</f>
        <v>2.7138480883430976E-5</v>
      </c>
      <c r="AY76" s="21">
        <f>(1+'CC70 - %'!AY44/100)*Tendencial!BL161</f>
        <v>2.7547193435400526E-5</v>
      </c>
      <c r="AZ76" s="21">
        <f>(1+'CC70 - %'!AZ44/100)*Tendencial!BM161</f>
        <v>2.7956419498261826E-5</v>
      </c>
      <c r="BA76" s="21">
        <f>(1+'CC70 - %'!BA44/100)*Tendencial!BN161</f>
        <v>2.8365883347776149E-5</v>
      </c>
      <c r="BB76" s="21">
        <f>(1+'CC70 - %'!BB44/100)*Tendencial!BO161</f>
        <v>2.8775284124389927E-5</v>
      </c>
      <c r="BC76" s="21"/>
    </row>
    <row r="77" spans="1:55" ht="14.4" customHeight="1" x14ac:dyDescent="0.3">
      <c r="B77" s="384"/>
      <c r="C77" s="9" t="s">
        <v>238</v>
      </c>
      <c r="D77" s="365"/>
      <c r="E77" s="382"/>
      <c r="F77" s="382"/>
      <c r="G77" s="21">
        <f>(1+'CC70 - %'!G45/100)*Tendencial!T162</f>
        <v>6.1770474578806384E-2</v>
      </c>
      <c r="H77" s="21">
        <f>(1+'CC70 - %'!H45/100)*Tendencial!U162</f>
        <v>7.2949619876677876E-2</v>
      </c>
      <c r="I77" s="21">
        <f>(1+'CC70 - %'!I45/100)*Tendencial!V162</f>
        <v>7.1278853089925473E-2</v>
      </c>
      <c r="J77" s="21">
        <f>(1+'CC70 - %'!J45/100)*Tendencial!W162</f>
        <v>8.4052640436490439E-2</v>
      </c>
      <c r="K77" s="21">
        <f>(1+'CC70 - %'!K45/100)*Tendencial!X162</f>
        <v>8.8964587290688554E-2</v>
      </c>
      <c r="L77" s="21">
        <f>(1+'CC70 - %'!L45/100)*Tendencial!Y162</f>
        <v>9.4376298255207935E-2</v>
      </c>
      <c r="M77" s="21">
        <f>(1+'CC70 - %'!M45/100)*Tendencial!Z162</f>
        <v>9.9093540350291456E-2</v>
      </c>
      <c r="N77" s="21">
        <f>(1+'CC70 - %'!N45/100)*Tendencial!AA162</f>
        <v>0.10520116719988842</v>
      </c>
      <c r="O77" s="21">
        <f>(1+'CC70 - %'!O45/100)*Tendencial!AB162</f>
        <v>9.8090132981811462E-2</v>
      </c>
      <c r="P77" s="21">
        <f>(1+'CC70 - %'!P45/100)*Tendencial!AC162</f>
        <v>0.10203757558635745</v>
      </c>
      <c r="Q77" s="21">
        <f>(1+'CC70 - %'!Q45/100)*Tendencial!AD162</f>
        <v>0.1074405545722133</v>
      </c>
      <c r="R77" s="21">
        <f>(1+'CC70 - %'!R45/100)*Tendencial!AE162</f>
        <v>0.11086053028379959</v>
      </c>
      <c r="S77" s="21">
        <f>(1+'CC70 - %'!S45/100)*Tendencial!AF162</f>
        <v>0.11411222372977216</v>
      </c>
      <c r="T77" s="21">
        <f>(1+'CC70 - %'!T45/100)*Tendencial!AG162</f>
        <v>0.11725569924849581</v>
      </c>
      <c r="U77" s="21">
        <f>(1+'CC70 - %'!U45/100)*Tendencial!AH162</f>
        <v>0.11971521254894717</v>
      </c>
      <c r="V77" s="21">
        <f>(1+'CC70 - %'!V45/100)*Tendencial!AI162</f>
        <v>0.12161886426738756</v>
      </c>
      <c r="W77" s="21">
        <f>(1+'CC70 - %'!W45/100)*Tendencial!AJ162</f>
        <v>0.12546966864861872</v>
      </c>
      <c r="X77" s="21">
        <f>(1+'CC70 - %'!X45/100)*Tendencial!AK162</f>
        <v>0.12896961164882151</v>
      </c>
      <c r="Y77" s="21">
        <f>(1+'CC70 - %'!Y45/100)*Tendencial!AL162</f>
        <v>0.13224540897052864</v>
      </c>
      <c r="Z77" s="21">
        <f>(1+'CC70 - %'!Z45/100)*Tendencial!AM162</f>
        <v>0.13542724294557651</v>
      </c>
      <c r="AA77" s="21">
        <f>(1+'CC70 - %'!AA45/100)*Tendencial!AN162</f>
        <v>0.1379608674664789</v>
      </c>
      <c r="AB77" s="21">
        <f>(1+'CC70 - %'!AB45/100)*Tendencial!AO162</f>
        <v>0.14113742609143501</v>
      </c>
      <c r="AC77" s="21">
        <f>(1+'CC70 - %'!AC45/100)*Tendencial!AP162</f>
        <v>0.14397434751758145</v>
      </c>
      <c r="AD77" s="21">
        <f>(1+'CC70 - %'!AD45/100)*Tendencial!AQ162</f>
        <v>0.14767058406500236</v>
      </c>
      <c r="AE77" s="21">
        <f>(1+'CC70 - %'!AE45/100)*Tendencial!AR162</f>
        <v>0.15072995015490373</v>
      </c>
      <c r="AF77" s="21">
        <f>(1+'CC70 - %'!AF45/100)*Tendencial!AS162</f>
        <v>0.15371396837254434</v>
      </c>
      <c r="AG77" s="21">
        <f>(1+'CC70 - %'!AG45/100)*Tendencial!AT162</f>
        <v>0.1567933538455881</v>
      </c>
      <c r="AH77" s="21">
        <f>(1+'CC70 - %'!AH45/100)*Tendencial!AU162</f>
        <v>0.15990426508390929</v>
      </c>
      <c r="AI77" s="21">
        <f>(1+'CC70 - %'!AI45/100)*Tendencial!AV162</f>
        <v>0.16342294570431035</v>
      </c>
      <c r="AJ77" s="21">
        <f>(1+'CC70 - %'!AJ45/100)*Tendencial!AW162</f>
        <v>0.16668392251871372</v>
      </c>
      <c r="AK77" s="21">
        <f>(1+'CC70 - %'!AK45/100)*Tendencial!AX162</f>
        <v>0.16996941557688214</v>
      </c>
      <c r="AL77" s="21">
        <f>(1+'CC70 - %'!AL45/100)*Tendencial!AY162</f>
        <v>0.17334398303005574</v>
      </c>
      <c r="AM77" s="21">
        <f>(1+'CC70 - %'!AM45/100)*Tendencial!AZ162</f>
        <v>0.17675033572656404</v>
      </c>
      <c r="AN77" s="21">
        <f>(1+'CC70 - %'!AN45/100)*Tendencial!BA162</f>
        <v>0.18025395579376841</v>
      </c>
      <c r="AO77" s="21">
        <f>(1+'CC70 - %'!AO45/100)*Tendencial!BB162</f>
        <v>0.18367253969708339</v>
      </c>
      <c r="AP77" s="21">
        <f>(1+'CC70 - %'!AP45/100)*Tendencial!BC162</f>
        <v>0.18713574904440511</v>
      </c>
      <c r="AQ77" s="21">
        <f>(1+'CC70 - %'!AQ45/100)*Tendencial!BD162</f>
        <v>0.19064097687620116</v>
      </c>
      <c r="AR77" s="21">
        <f>(1+'CC70 - %'!AR45/100)*Tendencial!BE162</f>
        <v>0.19417130232702978</v>
      </c>
      <c r="AS77" s="21">
        <f>(1+'CC70 - %'!AS45/100)*Tendencial!BF162</f>
        <v>0.19771127695621865</v>
      </c>
      <c r="AT77" s="21">
        <f>(1+'CC70 - %'!AT45/100)*Tendencial!BG162</f>
        <v>0.20127159018144058</v>
      </c>
      <c r="AU77" s="21">
        <f>(1+'CC70 - %'!AU45/100)*Tendencial!BH162</f>
        <v>0.2048567723074442</v>
      </c>
      <c r="AV77" s="21">
        <f>(1+'CC70 - %'!AV45/100)*Tendencial!BI162</f>
        <v>0.20846743122166642</v>
      </c>
      <c r="AW77" s="21">
        <f>(1+'CC70 - %'!AW45/100)*Tendencial!BJ162</f>
        <v>0.21209399231685711</v>
      </c>
      <c r="AX77" s="21">
        <f>(1+'CC70 - %'!AX45/100)*Tendencial!BK162</f>
        <v>0.21573514538964933</v>
      </c>
      <c r="AY77" s="21">
        <f>(1+'CC70 - %'!AY45/100)*Tendencial!BL162</f>
        <v>0.21938597838377355</v>
      </c>
      <c r="AZ77" s="21">
        <f>(1+'CC70 - %'!AZ45/100)*Tendencial!BM162</f>
        <v>0.2230528315066731</v>
      </c>
      <c r="BA77" s="21">
        <f>(1+'CC70 - %'!BA45/100)*Tendencial!BN162</f>
        <v>0.22673352331608121</v>
      </c>
      <c r="BB77" s="21">
        <f>(1+'CC70 - %'!BB45/100)*Tendencial!BO162</f>
        <v>0.23042565500513409</v>
      </c>
      <c r="BC77" s="21"/>
    </row>
    <row r="78" spans="1:55" ht="14.4" x14ac:dyDescent="0.3">
      <c r="B78" s="384"/>
      <c r="C78" s="9" t="s">
        <v>239</v>
      </c>
      <c r="D78" s="365"/>
      <c r="E78" s="382"/>
      <c r="F78" s="382"/>
      <c r="G78" s="21">
        <f>(1+'CC70 - %'!G46/100)*Tendencial!T163</f>
        <v>1.0541979254232866E-2</v>
      </c>
      <c r="H78" s="21">
        <f>(1+'CC70 - %'!H46/100)*Tendencial!U163</f>
        <v>1.2443684534983183E-2</v>
      </c>
      <c r="I78" s="21">
        <f>(1+'CC70 - %'!I46/100)*Tendencial!V163</f>
        <v>1.2152682471690209E-2</v>
      </c>
      <c r="J78" s="21">
        <f>(1+'CC70 - %'!J46/100)*Tendencial!W163</f>
        <v>1.4323496325554358E-2</v>
      </c>
      <c r="K78" s="21">
        <f>(1+'CC70 - %'!K46/100)*Tendencial!X163</f>
        <v>1.5153111578331135E-2</v>
      </c>
      <c r="L78" s="21">
        <f>(1+'CC70 - %'!L46/100)*Tendencial!Y163</f>
        <v>1.6067018759535083E-2</v>
      </c>
      <c r="M78" s="21">
        <f>(1+'CC70 - %'!M46/100)*Tendencial!Z163</f>
        <v>1.6861885986337737E-2</v>
      </c>
      <c r="N78" s="21">
        <f>(1+'CC70 - %'!N46/100)*Tendencial!AA163</f>
        <v>1.7892479666572387E-2</v>
      </c>
      <c r="O78" s="21">
        <f>(1+'CC70 - %'!O46/100)*Tendencial!AB163</f>
        <v>1.6674975051082518E-2</v>
      </c>
      <c r="P78" s="21">
        <f>(1+'CC70 - %'!P46/100)*Tendencial!AC163</f>
        <v>1.7337665406432001E-2</v>
      </c>
      <c r="Q78" s="21">
        <f>(1+'CC70 - %'!Q46/100)*Tendencial!AD163</f>
        <v>1.8246940744405721E-2</v>
      </c>
      <c r="R78" s="21">
        <f>(1+'CC70 - %'!R46/100)*Tendencial!AE163</f>
        <v>1.8818752042008096E-2</v>
      </c>
      <c r="S78" s="21">
        <f>(1+'CC70 - %'!S46/100)*Tendencial!AF163</f>
        <v>1.9361490840978064E-2</v>
      </c>
      <c r="T78" s="21">
        <f>(1+'CC70 - %'!T46/100)*Tendencial!AG163</f>
        <v>1.9885387203899051E-2</v>
      </c>
      <c r="U78" s="21">
        <f>(1+'CC70 - %'!U46/100)*Tendencial!AH163</f>
        <v>2.0292875891315267E-2</v>
      </c>
      <c r="V78" s="21">
        <f>(1+'CC70 - %'!V46/100)*Tendencial!AI163</f>
        <v>2.0605827906157739E-2</v>
      </c>
      <c r="W78" s="21">
        <f>(1+'CC70 - %'!W46/100)*Tendencial!AJ163</f>
        <v>2.1248263247998465E-2</v>
      </c>
      <c r="X78" s="21">
        <f>(1+'CC70 - %'!X46/100)*Tendencial!AK163</f>
        <v>2.1830733782617812E-2</v>
      </c>
      <c r="Y78" s="21">
        <f>(1+'CC70 - %'!Y46/100)*Tendencial!AL163</f>
        <v>2.2374765296723817E-2</v>
      </c>
      <c r="Z78" s="21">
        <f>(1+'CC70 - %'!Z46/100)*Tendencial!AM163</f>
        <v>2.290242921071009E-2</v>
      </c>
      <c r="AA78" s="21">
        <f>(1+'CC70 - %'!AA46/100)*Tendencial!AN163</f>
        <v>2.3320064017771397E-2</v>
      </c>
      <c r="AB78" s="21">
        <f>(1+'CC70 - %'!AB46/100)*Tendencial!AO163</f>
        <v>2.3845970506051556E-2</v>
      </c>
      <c r="AC78" s="21">
        <f>(1+'CC70 - %'!AC46/100)*Tendencial!AP163</f>
        <v>2.4314065973724503E-2</v>
      </c>
      <c r="AD78" s="21">
        <f>(1+'CC70 - %'!AD46/100)*Tendencial!AQ163</f>
        <v>2.4926815426540634E-2</v>
      </c>
      <c r="AE78" s="21">
        <f>(1+'CC70 - %'!AE46/100)*Tendencial!AR163</f>
        <v>2.5431581149922076E-2</v>
      </c>
      <c r="AF78" s="21">
        <f>(1+'CC70 - %'!AF46/100)*Tendencial!AS163</f>
        <v>2.5923211753070025E-2</v>
      </c>
      <c r="AG78" s="21">
        <f>(1+'CC70 - %'!AG46/100)*Tendencial!AT163</f>
        <v>2.6430504299480805E-2</v>
      </c>
      <c r="AH78" s="21">
        <f>(1+'CC70 - %'!AH46/100)*Tendencial!AU163</f>
        <v>2.6942682446288065E-2</v>
      </c>
      <c r="AI78" s="21">
        <f>(1+'CC70 - %'!AI46/100)*Tendencial!AV163</f>
        <v>2.7523107004776448E-2</v>
      </c>
      <c r="AJ78" s="21">
        <f>(1+'CC70 - %'!AJ46/100)*Tendencial!AW163</f>
        <v>2.8059661459414725E-2</v>
      </c>
      <c r="AK78" s="21">
        <f>(1+'CC70 - %'!AK46/100)*Tendencial!AX163</f>
        <v>2.859989474577691E-2</v>
      </c>
      <c r="AL78" s="21">
        <f>(1+'CC70 - %'!AL46/100)*Tendencial!AY163</f>
        <v>2.9154661849655074E-2</v>
      </c>
      <c r="AM78" s="21">
        <f>(1+'CC70 - %'!AM46/100)*Tendencial!AZ163</f>
        <v>2.9714314093144185E-2</v>
      </c>
      <c r="AN78" s="21">
        <f>(1+'CC70 - %'!AN46/100)*Tendencial!BA163</f>
        <v>3.0289850527260298E-2</v>
      </c>
      <c r="AO78" s="21">
        <f>(1+'CC70 - %'!AO46/100)*Tendencial!BB163</f>
        <v>3.0850631314485573E-2</v>
      </c>
      <c r="AP78" s="21">
        <f>(1+'CC70 - %'!AP46/100)*Tendencial!BC163</f>
        <v>3.1418447065090477E-2</v>
      </c>
      <c r="AQ78" s="21">
        <f>(1+'CC70 - %'!AQ46/100)*Tendencial!BD163</f>
        <v>3.1992852940584064E-2</v>
      </c>
      <c r="AR78" s="21">
        <f>(1+'CC70 - %'!AR46/100)*Tendencial!BE163</f>
        <v>3.2571003858004863E-2</v>
      </c>
      <c r="AS78" s="21">
        <f>(1+'CC70 - %'!AS46/100)*Tendencial!BF163</f>
        <v>3.3150306631758365E-2</v>
      </c>
      <c r="AT78" s="21">
        <f>(1+'CC70 - %'!AT46/100)*Tendencial!BG163</f>
        <v>3.3732553246517097E-2</v>
      </c>
      <c r="AU78" s="21">
        <f>(1+'CC70 - %'!AU46/100)*Tendencial!BH163</f>
        <v>3.4318500768136459E-2</v>
      </c>
      <c r="AV78" s="21">
        <f>(1+'CC70 - %'!AV46/100)*Tendencial!BI163</f>
        <v>3.4908248145544989E-2</v>
      </c>
      <c r="AW78" s="21">
        <f>(1+'CC70 - %'!AW46/100)*Tendencial!BJ163</f>
        <v>3.5500189831760565E-2</v>
      </c>
      <c r="AX78" s="21">
        <f>(1+'CC70 - %'!AX46/100)*Tendencial!BK163</f>
        <v>3.6094105756632022E-2</v>
      </c>
      <c r="AY78" s="21">
        <f>(1+'CC70 - %'!AY46/100)*Tendencial!BL163</f>
        <v>3.668917387393094E-2</v>
      </c>
      <c r="AZ78" s="21">
        <f>(1+'CC70 - %'!AZ46/100)*Tendencial!BM163</f>
        <v>3.7286454522458656E-2</v>
      </c>
      <c r="BA78" s="21">
        <f>(1+'CC70 - %'!BA46/100)*Tendencial!BN163</f>
        <v>3.7885582322889418E-2</v>
      </c>
      <c r="BB78" s="21">
        <f>(1+'CC70 - %'!BB46/100)*Tendencial!BO163</f>
        <v>3.8486156216953268E-2</v>
      </c>
      <c r="BC78" s="21"/>
    </row>
    <row r="79" spans="1:55" ht="14.4" x14ac:dyDescent="0.3">
      <c r="B79" s="384"/>
      <c r="C79" s="9" t="s">
        <v>240</v>
      </c>
      <c r="D79" s="365"/>
      <c r="E79" s="382"/>
      <c r="F79" s="382"/>
      <c r="G79" s="21">
        <f>(1+'CC70 - %'!G47/100)*Tendencial!T164</f>
        <v>1.350714179296621E-3</v>
      </c>
      <c r="H79" s="21">
        <f>(1+'CC70 - %'!H47/100)*Tendencial!U164</f>
        <v>1.5935823013704968E-3</v>
      </c>
      <c r="I79" s="21">
        <f>(1+'CC70 - %'!I47/100)*Tendencial!V164</f>
        <v>1.5555443437191196E-3</v>
      </c>
      <c r="J79" s="21">
        <f>(1+'CC70 - %'!J47/100)*Tendencial!W164</f>
        <v>1.8325024381572015E-3</v>
      </c>
      <c r="K79" s="21">
        <f>(1+'CC70 - %'!K47/100)*Tendencial!X164</f>
        <v>1.9376848728758741E-3</v>
      </c>
      <c r="L79" s="21">
        <f>(1+'CC70 - %'!L47/100)*Tendencial!Y164</f>
        <v>2.0535390541901199E-3</v>
      </c>
      <c r="M79" s="21">
        <f>(1+'CC70 - %'!M47/100)*Tendencial!Z164</f>
        <v>2.1540743100251689E-3</v>
      </c>
      <c r="N79" s="21">
        <f>(1+'CC70 - %'!N47/100)*Tendencial!AA164</f>
        <v>2.2846120271315376E-3</v>
      </c>
      <c r="O79" s="21">
        <f>(1+'CC70 - %'!O47/100)*Tendencial!AB164</f>
        <v>2.1281147290293694E-3</v>
      </c>
      <c r="P79" s="21">
        <f>(1+'CC70 - %'!P47/100)*Tendencial!AC164</f>
        <v>2.2116118243994381E-3</v>
      </c>
      <c r="Q79" s="21">
        <f>(1+'CC70 - %'!Q47/100)*Tendencial!AD164</f>
        <v>2.3264692113921168E-3</v>
      </c>
      <c r="R79" s="21">
        <f>(1+'CC70 - %'!R47/100)*Tendencial!AE164</f>
        <v>2.3982118713561564E-3</v>
      </c>
      <c r="S79" s="21">
        <f>(1+'CC70 - %'!S47/100)*Tendencial!AF164</f>
        <v>2.4661842576427398E-3</v>
      </c>
      <c r="T79" s="21">
        <f>(1+'CC70 - %'!T47/100)*Tendencial!AG164</f>
        <v>2.5316944566200613E-3</v>
      </c>
      <c r="U79" s="21">
        <f>(1+'CC70 - %'!U47/100)*Tendencial!AH164</f>
        <v>2.5823307323228979E-3</v>
      </c>
      <c r="V79" s="21">
        <f>(1+'CC70 - %'!V47/100)*Tendencial!AI164</f>
        <v>2.6208964938158235E-3</v>
      </c>
      <c r="W79" s="21">
        <f>(1+'CC70 - %'!W47/100)*Tendencial!AJ164</f>
        <v>2.7013153465616797E-3</v>
      </c>
      <c r="X79" s="21">
        <f>(1+'CC70 - %'!X47/100)*Tendencial!AK164</f>
        <v>2.7740401006807937E-3</v>
      </c>
      <c r="Y79" s="21">
        <f>(1+'CC70 - %'!Y47/100)*Tendencial!AL164</f>
        <v>2.8418159581085523E-3</v>
      </c>
      <c r="Z79" s="21">
        <f>(1+'CC70 - %'!Z47/100)*Tendencial!AM164</f>
        <v>2.9074521264231801E-3</v>
      </c>
      <c r="AA79" s="21">
        <f>(1+'CC70 - %'!AA47/100)*Tendencial!AN164</f>
        <v>2.9590671847468529E-3</v>
      </c>
      <c r="AB79" s="21">
        <f>(1+'CC70 - %'!AB47/100)*Tendencial!AO164</f>
        <v>3.0243681401306861E-3</v>
      </c>
      <c r="AC79" s="21">
        <f>(1+'CC70 - %'!AC47/100)*Tendencial!AP164</f>
        <v>3.0822815396508141E-3</v>
      </c>
      <c r="AD79" s="21">
        <f>(1+'CC70 - %'!AD47/100)*Tendencial!AQ164</f>
        <v>3.1584722904289381E-3</v>
      </c>
      <c r="AE79" s="21">
        <f>(1+'CC70 - %'!AE47/100)*Tendencial!AR164</f>
        <v>3.2209181503222448E-3</v>
      </c>
      <c r="AF79" s="21">
        <f>(1+'CC70 - %'!AF47/100)*Tendencial!AS164</f>
        <v>3.2816456141101045E-3</v>
      </c>
      <c r="AG79" s="21">
        <f>(1+'CC70 - %'!AG47/100)*Tendencial!AT164</f>
        <v>3.3443009988088769E-3</v>
      </c>
      <c r="AH79" s="21">
        <f>(1+'CC70 - %'!AH47/100)*Tendencial!AU164</f>
        <v>3.4075188501918969E-3</v>
      </c>
      <c r="AI79" s="21">
        <f>(1+'CC70 - %'!AI47/100)*Tendencial!AV164</f>
        <v>3.4793082436643443E-3</v>
      </c>
      <c r="AJ79" s="21">
        <f>(1+'CC70 - %'!AJ47/100)*Tendencial!AW164</f>
        <v>3.545490881550436E-3</v>
      </c>
      <c r="AK79" s="21">
        <f>(1+'CC70 - %'!AK47/100)*Tendencial!AX164</f>
        <v>3.6120800185259153E-3</v>
      </c>
      <c r="AL79" s="21">
        <f>(1+'CC70 - %'!AL47/100)*Tendencial!AY164</f>
        <v>3.6804455792571696E-3</v>
      </c>
      <c r="AM79" s="21">
        <f>(1+'CC70 - %'!AM47/100)*Tendencial!AZ164</f>
        <v>3.7493678032319792E-3</v>
      </c>
      <c r="AN79" s="21">
        <f>(1+'CC70 - %'!AN47/100)*Tendencial!BA164</f>
        <v>3.8202333247022695E-3</v>
      </c>
      <c r="AO79" s="21">
        <f>(1+'CC70 - %'!AO47/100)*Tendencial!BB164</f>
        <v>3.8891770420430077E-3</v>
      </c>
      <c r="AP79" s="21">
        <f>(1+'CC70 - %'!AP47/100)*Tendencial!BC164</f>
        <v>3.9589475414158895E-3</v>
      </c>
      <c r="AQ79" s="21">
        <f>(1+'CC70 - %'!AQ47/100)*Tendencial!BD164</f>
        <v>4.0294878365350947E-3</v>
      </c>
      <c r="AR79" s="21">
        <f>(1+'CC70 - %'!AR47/100)*Tendencial!BE164</f>
        <v>4.1004388762190293E-3</v>
      </c>
      <c r="AS79" s="21">
        <f>(1+'CC70 - %'!AS47/100)*Tendencial!BF164</f>
        <v>4.1714739622282842E-3</v>
      </c>
      <c r="AT79" s="21">
        <f>(1+'CC70 - %'!AT47/100)*Tendencial!BG164</f>
        <v>4.2428185483220525E-3</v>
      </c>
      <c r="AU79" s="21">
        <f>(1+'CC70 - %'!AU47/100)*Tendencial!BH164</f>
        <v>4.3145675691768672E-3</v>
      </c>
      <c r="AV79" s="21">
        <f>(1+'CC70 - %'!AV47/100)*Tendencial!BI164</f>
        <v>4.3867330871926648E-3</v>
      </c>
      <c r="AW79" s="21">
        <f>(1+'CC70 - %'!AW47/100)*Tendencial!BJ164</f>
        <v>4.4591130459237585E-3</v>
      </c>
      <c r="AX79" s="21">
        <f>(1+'CC70 - %'!AX47/100)*Tendencial!BK164</f>
        <v>4.5316797021098757E-3</v>
      </c>
      <c r="AY79" s="21">
        <f>(1+'CC70 - %'!AY47/100)*Tendencial!BL164</f>
        <v>4.6043298172449964E-3</v>
      </c>
      <c r="AZ79" s="21">
        <f>(1+'CC70 - %'!AZ47/100)*Tendencial!BM164</f>
        <v>4.6771964630581003E-3</v>
      </c>
      <c r="BA79" s="21">
        <f>(1+'CC70 - %'!BA47/100)*Tendencial!BN164</f>
        <v>4.7502337121286186E-3</v>
      </c>
      <c r="BB79" s="21">
        <f>(1+'CC70 - %'!BB47/100)*Tendencial!BO164</f>
        <v>4.8233912475512024E-3</v>
      </c>
      <c r="BC79" s="21"/>
    </row>
    <row r="80" spans="1:55" ht="14.4" x14ac:dyDescent="0.3">
      <c r="B80" s="384"/>
      <c r="C80" s="9" t="s">
        <v>241</v>
      </c>
      <c r="D80" s="365"/>
      <c r="E80" s="382"/>
      <c r="F80" s="382"/>
      <c r="G80" s="21">
        <f>(1+'CC70 - %'!G48/100)*Tendencial!T165</f>
        <v>5.0997288934972258E-4</v>
      </c>
      <c r="H80" s="21">
        <f>(1+'CC70 - %'!H48/100)*Tendencial!U165</f>
        <v>6.0410431596494979E-4</v>
      </c>
      <c r="I80" s="21">
        <f>(1+'CC70 - %'!I48/100)*Tendencial!V165</f>
        <v>5.9205645538874569E-4</v>
      </c>
      <c r="J80" s="21">
        <f>(1+'CC70 - %'!J48/100)*Tendencial!W165</f>
        <v>7.0025811711755311E-4</v>
      </c>
      <c r="K80" s="21">
        <f>(1+'CC70 - %'!K48/100)*Tendencial!X165</f>
        <v>7.4339441473243457E-4</v>
      </c>
      <c r="L80" s="21">
        <f>(1+'CC70 - %'!L48/100)*Tendencial!Y165</f>
        <v>7.9095442484689688E-4</v>
      </c>
      <c r="M80" s="21">
        <f>(1+'CC70 - %'!M48/100)*Tendencial!Z165</f>
        <v>8.3293559215442026E-4</v>
      </c>
      <c r="N80" s="21">
        <f>(1+'CC70 - %'!N48/100)*Tendencial!AA165</f>
        <v>8.8686076731558287E-4</v>
      </c>
      <c r="O80" s="21">
        <f>(1+'CC70 - %'!O48/100)*Tendencial!AB165</f>
        <v>8.2931661696480094E-4</v>
      </c>
      <c r="P80" s="21">
        <f>(1+'CC70 - %'!P48/100)*Tendencial!AC165</f>
        <v>8.6518061036385593E-4</v>
      </c>
      <c r="Q80" s="21">
        <f>(1+'CC70 - %'!Q48/100)*Tendencial!AD165</f>
        <v>9.1360407043054284E-4</v>
      </c>
      <c r="R80" s="21">
        <f>(1+'CC70 - %'!R48/100)*Tendencial!AE165</f>
        <v>9.4536931091181815E-4</v>
      </c>
      <c r="S80" s="21">
        <f>(1+'CC70 - %'!S48/100)*Tendencial!AF165</f>
        <v>9.7585029072300047E-4</v>
      </c>
      <c r="T80" s="21">
        <f>(1+'CC70 - %'!T48/100)*Tendencial!AG165</f>
        <v>1.0055490735037622E-3</v>
      </c>
      <c r="U80" s="21">
        <f>(1+'CC70 - %'!U48/100)*Tendencial!AH165</f>
        <v>1.0295058578104379E-3</v>
      </c>
      <c r="V80" s="21">
        <f>(1+'CC70 - %'!V48/100)*Tendencial!AI165</f>
        <v>1.0487755921254529E-3</v>
      </c>
      <c r="W80" s="21">
        <f>(1+'CC70 - %'!W48/100)*Tendencial!AJ165</f>
        <v>1.0849621445212709E-3</v>
      </c>
      <c r="X80" s="21">
        <f>(1+'CC70 - %'!X48/100)*Tendencial!AK165</f>
        <v>1.1182774691248379E-3</v>
      </c>
      <c r="Y80" s="21">
        <f>(1+'CC70 - %'!Y48/100)*Tendencial!AL165</f>
        <v>1.1497974974103758E-3</v>
      </c>
      <c r="Z80" s="21">
        <f>(1+'CC70 - %'!Z48/100)*Tendencial!AM165</f>
        <v>1.1806404777210332E-3</v>
      </c>
      <c r="AA80" s="21">
        <f>(1+'CC70 - %'!AA48/100)*Tendencial!AN165</f>
        <v>1.2059541832333497E-3</v>
      </c>
      <c r="AB80" s="21">
        <f>(1+'CC70 - %'!AB48/100)*Tendencial!AO165</f>
        <v>1.23700885087505E-3</v>
      </c>
      <c r="AC80" s="21">
        <f>(1+'CC70 - %'!AC48/100)*Tendencial!AP165</f>
        <v>1.2652140155232877E-3</v>
      </c>
      <c r="AD80" s="21">
        <f>(1+'CC70 - %'!AD48/100)*Tendencial!AQ165</f>
        <v>1.3011091885393657E-3</v>
      </c>
      <c r="AE80" s="21">
        <f>(1+'CC70 - %'!AE48/100)*Tendencial!AR165</f>
        <v>1.3315358777081234E-3</v>
      </c>
      <c r="AF80" s="21">
        <f>(1+'CC70 - %'!AF48/100)*Tendencial!AS165</f>
        <v>1.3614226815385827E-3</v>
      </c>
      <c r="AG80" s="21">
        <f>(1+'CC70 - %'!AG48/100)*Tendencial!AT165</f>
        <v>1.3922796109085622E-3</v>
      </c>
      <c r="AH80" s="21">
        <f>(1+'CC70 - %'!AH48/100)*Tendencial!AU165</f>
        <v>1.4235441328472969E-3</v>
      </c>
      <c r="AI80" s="21">
        <f>(1+'CC70 - %'!AI48/100)*Tendencial!AV165</f>
        <v>1.4585757079128923E-3</v>
      </c>
      <c r="AJ80" s="21">
        <f>(1+'CC70 - %'!AJ48/100)*Tendencial!AW165</f>
        <v>1.4914467658090451E-3</v>
      </c>
      <c r="AK80" s="21">
        <f>(1+'CC70 - %'!AK48/100)*Tendencial!AX165</f>
        <v>1.5246706722233075E-3</v>
      </c>
      <c r="AL80" s="21">
        <f>(1+'CC70 - %'!AL48/100)*Tendencial!AY165</f>
        <v>1.558828879873727E-3</v>
      </c>
      <c r="AM80" s="21">
        <f>(1+'CC70 - %'!AM48/100)*Tendencial!AZ165</f>
        <v>1.5934101467270964E-3</v>
      </c>
      <c r="AN80" s="21">
        <f>(1+'CC70 - %'!AN48/100)*Tendencial!BA165</f>
        <v>1.6290076108726719E-3</v>
      </c>
      <c r="AO80" s="21">
        <f>(1+'CC70 - %'!AO48/100)*Tendencial!BB165</f>
        <v>1.6639754025487468E-3</v>
      </c>
      <c r="AP80" s="21">
        <f>(1+'CC70 - %'!AP48/100)*Tendencial!BC165</f>
        <v>1.6994846292874481E-3</v>
      </c>
      <c r="AQ80" s="21">
        <f>(1+'CC70 - %'!AQ48/100)*Tendencial!BD165</f>
        <v>1.7355137458918411E-3</v>
      </c>
      <c r="AR80" s="21">
        <f>(1+'CC70 - %'!AR48/100)*Tendencial!BE165</f>
        <v>1.7719103406999683E-3</v>
      </c>
      <c r="AS80" s="21">
        <f>(1+'CC70 - %'!AS48/100)*Tendencial!BF165</f>
        <v>1.808533977271683E-3</v>
      </c>
      <c r="AT80" s="21">
        <f>(1+'CC70 - %'!AT48/100)*Tendencial!BG165</f>
        <v>1.8454825286634672E-3</v>
      </c>
      <c r="AU80" s="21">
        <f>(1+'CC70 - %'!AU48/100)*Tendencial!BH165</f>
        <v>1.8827981890505901E-3</v>
      </c>
      <c r="AV80" s="21">
        <f>(1+'CC70 - %'!AV48/100)*Tendencial!BI165</f>
        <v>1.9204874051349827E-3</v>
      </c>
      <c r="AW80" s="21">
        <f>(1+'CC70 - %'!AW48/100)*Tendencial!BJ165</f>
        <v>1.9584626452206527E-3</v>
      </c>
      <c r="AX80" s="21">
        <f>(1+'CC70 - %'!AX48/100)*Tendencial!BK165</f>
        <v>1.9967120399560527E-3</v>
      </c>
      <c r="AY80" s="21">
        <f>(1+'CC70 - %'!AY48/100)*Tendencial!BL165</f>
        <v>2.0351901925993493E-3</v>
      </c>
      <c r="AZ80" s="21">
        <f>(1+'CC70 - %'!AZ48/100)*Tendencial!BM165</f>
        <v>2.0739559108958346E-3</v>
      </c>
      <c r="BA80" s="21">
        <f>(1+'CC70 - %'!BA48/100)*Tendencial!BN165</f>
        <v>2.1129891261627756E-3</v>
      </c>
      <c r="BB80" s="21">
        <f>(1+'CC70 - %'!BB48/100)*Tendencial!BO165</f>
        <v>2.1522675531098537E-3</v>
      </c>
      <c r="BC80" s="21"/>
    </row>
    <row r="81" spans="1:55" ht="14.4" x14ac:dyDescent="0.3">
      <c r="B81" s="384"/>
      <c r="C81" s="9" t="s">
        <v>242</v>
      </c>
      <c r="D81" s="365"/>
      <c r="E81" s="382"/>
      <c r="F81" s="382"/>
      <c r="G81" s="21">
        <f>(1+'CC70 - %'!G49/100)*Tendencial!T166</f>
        <v>0.26371625223000345</v>
      </c>
      <c r="H81" s="21">
        <f>(1+'CC70 - %'!H49/100)*Tendencial!U166</f>
        <v>0.311443298544471</v>
      </c>
      <c r="I81" s="21">
        <f>(1+'CC70 - %'!I49/100)*Tendencial!V166</f>
        <v>0.30431030566466755</v>
      </c>
      <c r="J81" s="21">
        <f>(1+'CC70 - %'!J49/100)*Tendencial!W166</f>
        <v>0.35884534605069285</v>
      </c>
      <c r="K81" s="21">
        <f>(1+'CC70 - %'!K49/100)*Tendencial!X166</f>
        <v>0.37981588617321477</v>
      </c>
      <c r="L81" s="21">
        <f>(1+'CC70 - %'!L49/100)*Tendencial!Y166</f>
        <v>0.40292006569338856</v>
      </c>
      <c r="M81" s="21">
        <f>(1+'CC70 - %'!M49/100)*Tendencial!Z166</f>
        <v>0.42305935415862339</v>
      </c>
      <c r="N81" s="21">
        <f>(1+'CC70 - %'!N49/100)*Tendencial!AA166</f>
        <v>0.44913460246742765</v>
      </c>
      <c r="O81" s="21">
        <f>(1+'CC70 - %'!O49/100)*Tendencial!AB166</f>
        <v>0.41877551414476821</v>
      </c>
      <c r="P81" s="21">
        <f>(1+'CC70 - %'!P49/100)*Tendencial!AC166</f>
        <v>0.43562830306475298</v>
      </c>
      <c r="Q81" s="21">
        <f>(1+'CC70 - %'!Q49/100)*Tendencial!AD166</f>
        <v>0.45869520320989515</v>
      </c>
      <c r="R81" s="21">
        <f>(1+'CC70 - %'!R49/100)*Tendencial!AE166</f>
        <v>0.47329608143734886</v>
      </c>
      <c r="S81" s="21">
        <f>(1+'CC70 - %'!S49/100)*Tendencial!AF166</f>
        <v>0.48717851337299362</v>
      </c>
      <c r="T81" s="21">
        <f>(1+'CC70 - %'!T49/100)*Tendencial!AG166</f>
        <v>0.50059893127373278</v>
      </c>
      <c r="U81" s="21">
        <f>(1+'CC70 - %'!U49/100)*Tendencial!AH166</f>
        <v>0.51109931409137466</v>
      </c>
      <c r="V81" s="21">
        <f>(1+'CC70 - %'!V49/100)*Tendencial!AI166</f>
        <v>0.51922656097042885</v>
      </c>
      <c r="W81" s="21">
        <f>(1+'CC70 - %'!W49/100)*Tendencial!AJ166</f>
        <v>0.53566677300398813</v>
      </c>
      <c r="X81" s="21">
        <f>(1+'CC70 - %'!X49/100)*Tendencial!AK166</f>
        <v>0.55060905501372992</v>
      </c>
      <c r="Y81" s="21">
        <f>(1+'CC70 - %'!Y49/100)*Tendencial!AL166</f>
        <v>0.5645943934563471</v>
      </c>
      <c r="Z81" s="21">
        <f>(1+'CC70 - %'!Z49/100)*Tendencial!AM166</f>
        <v>0.5781785748446121</v>
      </c>
      <c r="AA81" s="21">
        <f>(1+'CC70 - %'!AA49/100)*Tendencial!AN166</f>
        <v>0.58899536017395226</v>
      </c>
      <c r="AB81" s="21">
        <f>(1+'CC70 - %'!AB49/100)*Tendencial!AO166</f>
        <v>0.60255701954721119</v>
      </c>
      <c r="AC81" s="21">
        <f>(1+'CC70 - %'!AC49/100)*Tendencial!AP166</f>
        <v>0.61466866821877608</v>
      </c>
      <c r="AD81" s="21">
        <f>(1+'CC70 - %'!AD49/100)*Tendencial!AQ166</f>
        <v>0.63044898488766987</v>
      </c>
      <c r="AE81" s="21">
        <f>(1+'CC70 - %'!AE49/100)*Tendencial!AR166</f>
        <v>0.64351031499610267</v>
      </c>
      <c r="AF81" s="21">
        <f>(1+'CC70 - %'!AF49/100)*Tendencial!AS166</f>
        <v>0.65624996296397253</v>
      </c>
      <c r="AG81" s="21">
        <f>(1+'CC70 - %'!AG49/100)*Tendencial!AT166</f>
        <v>0.6693967616839106</v>
      </c>
      <c r="AH81" s="21">
        <f>(1+'CC70 - %'!AH49/100)*Tendencial!AU166</f>
        <v>0.6826781531315933</v>
      </c>
      <c r="AI81" s="21">
        <f>(1+'CC70 - %'!AI49/100)*Tendencial!AV166</f>
        <v>0.69770043153132699</v>
      </c>
      <c r="AJ81" s="21">
        <f>(1+'CC70 - %'!AJ49/100)*Tendencial!AW166</f>
        <v>0.71162249688645485</v>
      </c>
      <c r="AK81" s="21">
        <f>(1+'CC70 - %'!AK49/100)*Tendencial!AX166</f>
        <v>0.72564922926848419</v>
      </c>
      <c r="AL81" s="21">
        <f>(1+'CC70 - %'!AL49/100)*Tendencial!AY166</f>
        <v>0.74005624633798917</v>
      </c>
      <c r="AM81" s="21">
        <f>(1+'CC70 - %'!AM49/100)*Tendencial!AZ166</f>
        <v>0.75459896392308201</v>
      </c>
      <c r="AN81" s="21">
        <f>(1+'CC70 - %'!AN49/100)*Tendencial!BA166</f>
        <v>0.76955694440908562</v>
      </c>
      <c r="AO81" s="21">
        <f>(1+'CC70 - %'!AO49/100)*Tendencial!BB166</f>
        <v>0.78415188059928553</v>
      </c>
      <c r="AP81" s="21">
        <f>(1+'CC70 - %'!AP49/100)*Tendencial!BC166</f>
        <v>0.7989373358834021</v>
      </c>
      <c r="AQ81" s="21">
        <f>(1+'CC70 - %'!AQ49/100)*Tendencial!BD166</f>
        <v>0.81390218038745776</v>
      </c>
      <c r="AR81" s="21">
        <f>(1+'CC70 - %'!AR49/100)*Tendencial!BE166</f>
        <v>0.82897417397975171</v>
      </c>
      <c r="AS81" s="21">
        <f>(1+'CC70 - %'!AS49/100)*Tendencial!BF166</f>
        <v>0.84408736274128493</v>
      </c>
      <c r="AT81" s="21">
        <f>(1+'CC70 - %'!AT49/100)*Tendencial!BG166</f>
        <v>0.85928738292767004</v>
      </c>
      <c r="AU81" s="21">
        <f>(1+'CC70 - %'!AU49/100)*Tendencial!BH166</f>
        <v>0.87459357573707519</v>
      </c>
      <c r="AV81" s="21">
        <f>(1+'CC70 - %'!AV49/100)*Tendencial!BI166</f>
        <v>0.89000853641905509</v>
      </c>
      <c r="AW81" s="21">
        <f>(1+'CC70 - %'!AW49/100)*Tendencial!BJ166</f>
        <v>0.90549138817028585</v>
      </c>
      <c r="AX81" s="21">
        <f>(1+'CC70 - %'!AX49/100)*Tendencial!BK166</f>
        <v>0.92103653734875734</v>
      </c>
      <c r="AY81" s="21">
        <f>(1+'CC70 - %'!AY49/100)*Tendencial!BL166</f>
        <v>0.93662301294722106</v>
      </c>
      <c r="AZ81" s="21">
        <f>(1+'CC70 - %'!AZ49/100)*Tendencial!BM166</f>
        <v>0.95227788316867679</v>
      </c>
      <c r="BA81" s="21">
        <f>(1+'CC70 - %'!BA49/100)*Tendencial!BN166</f>
        <v>0.96799183479701367</v>
      </c>
      <c r="BB81" s="21">
        <f>(1+'CC70 - %'!BB49/100)*Tendencial!BO166</f>
        <v>0.98375462662297664</v>
      </c>
      <c r="BC81" s="21"/>
    </row>
    <row r="82" spans="1:55" ht="14.4" x14ac:dyDescent="0.3">
      <c r="B82" s="384"/>
      <c r="C82" s="9" t="s">
        <v>243</v>
      </c>
      <c r="D82" s="365"/>
      <c r="E82" s="382"/>
      <c r="F82" s="382"/>
      <c r="G82" s="21">
        <f>(1+'CC70 - %'!G50/100)*Tendencial!T167</f>
        <v>5.023883884192315E-2</v>
      </c>
      <c r="H82" s="21">
        <f>(1+'CC70 - %'!H50/100)*Tendencial!U167</f>
        <v>5.9511985847272457E-2</v>
      </c>
      <c r="I82" s="21">
        <f>(1+'CC70 - %'!I50/100)*Tendencial!V167</f>
        <v>5.8325117802875671E-2</v>
      </c>
      <c r="J82" s="21">
        <f>(1+'CC70 - %'!J50/100)*Tendencial!W167</f>
        <v>6.8984362557931778E-2</v>
      </c>
      <c r="K82" s="21">
        <f>(1+'CC70 - %'!K50/100)*Tendencial!X167</f>
        <v>7.3233838460218678E-2</v>
      </c>
      <c r="L82" s="21">
        <f>(1+'CC70 - %'!L50/100)*Tendencial!Y167</f>
        <v>7.7919106507521013E-2</v>
      </c>
      <c r="M82" s="21">
        <f>(1+'CC70 - %'!M50/100)*Tendencial!Z167</f>
        <v>8.2054787330569909E-2</v>
      </c>
      <c r="N82" s="21">
        <f>(1+'CC70 - %'!N50/100)*Tendencial!AA167</f>
        <v>8.7367105379277568E-2</v>
      </c>
      <c r="O82" s="21">
        <f>(1+'CC70 - %'!O50/100)*Tendencial!AB167</f>
        <v>8.1698272082169079E-2</v>
      </c>
      <c r="P82" s="21">
        <f>(1+'CC70 - %'!P50/100)*Tendencial!AC167</f>
        <v>8.5231333196261611E-2</v>
      </c>
      <c r="Q82" s="21">
        <f>(1+'CC70 - %'!Q50/100)*Tendencial!AD167</f>
        <v>9.0001662084843559E-2</v>
      </c>
      <c r="R82" s="21">
        <f>(1+'CC70 - %'!R50/100)*Tendencial!AE167</f>
        <v>9.3130943720478407E-2</v>
      </c>
      <c r="S82" s="21">
        <f>(1+'CC70 - %'!S50/100)*Tendencial!AF167</f>
        <v>9.6133709287939323E-2</v>
      </c>
      <c r="T82" s="21">
        <f>(1+'CC70 - %'!T50/100)*Tendencial!AG167</f>
        <v>9.9059418464022192E-2</v>
      </c>
      <c r="U82" s="21">
        <f>(1+'CC70 - %'!U50/100)*Tendencial!AH167</f>
        <v>0.1014194675001356</v>
      </c>
      <c r="V82" s="21">
        <f>(1+'CC70 - %'!V50/100)*Tendencial!AI167</f>
        <v>0.10331778228705131</v>
      </c>
      <c r="W82" s="21">
        <f>(1+'CC70 - %'!W50/100)*Tendencial!AJ167</f>
        <v>0.10688261957943453</v>
      </c>
      <c r="X82" s="21">
        <f>(1+'CC70 - %'!X50/100)*Tendencial!AK167</f>
        <v>0.11016460428622778</v>
      </c>
      <c r="Y82" s="21">
        <f>(1+'CC70 - %'!Y50/100)*Tendencial!AL167</f>
        <v>0.11326972939071947</v>
      </c>
      <c r="Z82" s="21">
        <f>(1+'CC70 - %'!Z50/100)*Tendencial!AM167</f>
        <v>0.11630815662791545</v>
      </c>
      <c r="AA82" s="21">
        <f>(1+'CC70 - %'!AA50/100)*Tendencial!AN167</f>
        <v>0.11880187972238579</v>
      </c>
      <c r="AB82" s="21">
        <f>(1+'CC70 - %'!AB50/100)*Tendencial!AO167</f>
        <v>0.1218611608636446</v>
      </c>
      <c r="AC82" s="21">
        <f>(1+'CC70 - %'!AC50/100)*Tendencial!AP167</f>
        <v>0.12463972958928717</v>
      </c>
      <c r="AD82" s="21">
        <f>(1+'CC70 - %'!AD50/100)*Tendencial!AQ167</f>
        <v>0.12817586229362984</v>
      </c>
      <c r="AE82" s="21">
        <f>(1+'CC70 - %'!AE50/100)*Tendencial!AR167</f>
        <v>0.13117327953985181</v>
      </c>
      <c r="AF82" s="21">
        <f>(1+'CC70 - %'!AF50/100)*Tendencial!AS167</f>
        <v>0.13411751118921103</v>
      </c>
      <c r="AG82" s="21">
        <f>(1+'CC70 - %'!AG50/100)*Tendencial!AT167</f>
        <v>0.13715731258679459</v>
      </c>
      <c r="AH82" s="21">
        <f>(1+'CC70 - %'!AH50/100)*Tendencial!AU167</f>
        <v>0.14023726705486972</v>
      </c>
      <c r="AI82" s="21">
        <f>(1+'CC70 - %'!AI50/100)*Tendencial!AV167</f>
        <v>0.14368832433821535</v>
      </c>
      <c r="AJ82" s="21">
        <f>(1+'CC70 - %'!AJ50/100)*Tendencial!AW167</f>
        <v>0.14692654310375422</v>
      </c>
      <c r="AK82" s="21">
        <f>(1+'CC70 - %'!AK50/100)*Tendencial!AX167</f>
        <v>0.15019952195204869</v>
      </c>
      <c r="AL82" s="21">
        <f>(1+'CC70 - %'!AL50/100)*Tendencial!AY167</f>
        <v>0.15356454139742856</v>
      </c>
      <c r="AM82" s="21">
        <f>(1+'CC70 - %'!AM50/100)*Tendencial!AZ167</f>
        <v>0.15697123757418269</v>
      </c>
      <c r="AN82" s="21">
        <f>(1+'CC70 - %'!AN50/100)*Tendencial!BA167</f>
        <v>0.16047804215485578</v>
      </c>
      <c r="AO82" s="21">
        <f>(1+'CC70 - %'!AO50/100)*Tendencial!BB167</f>
        <v>0.16392281596020913</v>
      </c>
      <c r="AP82" s="21">
        <f>(1+'CC70 - %'!AP50/100)*Tendencial!BC167</f>
        <v>0.16742092803005201</v>
      </c>
      <c r="AQ82" s="21">
        <f>(1+'CC70 - %'!AQ50/100)*Tendencial!BD167</f>
        <v>0.17097025588748577</v>
      </c>
      <c r="AR82" s="21">
        <f>(1+'CC70 - %'!AR50/100)*Tendencial!BE167</f>
        <v>0.17455578503844096</v>
      </c>
      <c r="AS82" s="21">
        <f>(1+'CC70 - %'!AS50/100)*Tendencial!BF167</f>
        <v>0.17816368070104699</v>
      </c>
      <c r="AT82" s="21">
        <f>(1+'CC70 - %'!AT50/100)*Tendencial!BG167</f>
        <v>0.18180358462060892</v>
      </c>
      <c r="AU82" s="21">
        <f>(1+'CC70 - %'!AU50/100)*Tendencial!BH167</f>
        <v>0.18547965346195275</v>
      </c>
      <c r="AV82" s="21">
        <f>(1+'CC70 - %'!AV50/100)*Tendencial!BI167</f>
        <v>0.18919252230750375</v>
      </c>
      <c r="AW82" s="21">
        <f>(1+'CC70 - %'!AW50/100)*Tendencial!BJ167</f>
        <v>0.19293356816796123</v>
      </c>
      <c r="AX82" s="21">
        <f>(1+'CC70 - %'!AX50/100)*Tendencial!BK167</f>
        <v>0.19670162176069853</v>
      </c>
      <c r="AY82" s="21">
        <f>(1+'CC70 - %'!AY50/100)*Tendencial!BL167</f>
        <v>0.20049221092720582</v>
      </c>
      <c r="AZ82" s="21">
        <f>(1+'CC70 - %'!AZ50/100)*Tendencial!BM167</f>
        <v>0.20431112898101036</v>
      </c>
      <c r="BA82" s="21">
        <f>(1+'CC70 - %'!BA50/100)*Tendencial!BN167</f>
        <v>0.20815639890070831</v>
      </c>
      <c r="BB82" s="21">
        <f>(1+'CC70 - %'!BB50/100)*Tendencial!BO167</f>
        <v>0.2120258253007562</v>
      </c>
      <c r="BC82" s="21"/>
    </row>
    <row r="83" spans="1:55" ht="14.4" x14ac:dyDescent="0.3">
      <c r="B83" s="384"/>
      <c r="C83" s="9" t="s">
        <v>244</v>
      </c>
      <c r="D83" s="365"/>
      <c r="E83" s="382"/>
      <c r="F83" s="382"/>
      <c r="G83" s="21">
        <f>(1+'CC70 - %'!G51/100)*Tendencial!T168</f>
        <v>0.15561064846342254</v>
      </c>
      <c r="H83" s="21">
        <f>(1+'CC70 - %'!H51/100)*Tendencial!U168</f>
        <v>0.18359056201307522</v>
      </c>
      <c r="I83" s="21">
        <f>(1+'CC70 - %'!I51/100)*Tendencial!V168</f>
        <v>0.17920835343995031</v>
      </c>
      <c r="J83" s="21">
        <f>(1+'CC70 - %'!J51/100)*Tendencial!W168</f>
        <v>0.21111564317844012</v>
      </c>
      <c r="K83" s="21">
        <f>(1+'CC70 - %'!K51/100)*Tendencial!X168</f>
        <v>0.22323331183433412</v>
      </c>
      <c r="L83" s="21">
        <f>(1+'CC70 - %'!L51/100)*Tendencial!Y168</f>
        <v>0.23658043186745378</v>
      </c>
      <c r="M83" s="21">
        <f>(1+'CC70 - %'!M51/100)*Tendencial!Z168</f>
        <v>0.24816271670144791</v>
      </c>
      <c r="N83" s="21">
        <f>(1+'CC70 - %'!N51/100)*Tendencial!AA168</f>
        <v>0.26320147110205305</v>
      </c>
      <c r="O83" s="21">
        <f>(1+'CC70 - %'!O51/100)*Tendencial!AB168</f>
        <v>0.24517201201017216</v>
      </c>
      <c r="P83" s="21">
        <f>(1+'CC70 - %'!P51/100)*Tendencial!AC168</f>
        <v>0.25479139511468263</v>
      </c>
      <c r="Q83" s="21">
        <f>(1+'CC70 - %'!Q51/100)*Tendencial!AD168</f>
        <v>0.26802367826140455</v>
      </c>
      <c r="R83" s="21">
        <f>(1+'CC70 - %'!R51/100)*Tendencial!AE168</f>
        <v>0.27628887752458881</v>
      </c>
      <c r="S83" s="21">
        <f>(1+'CC70 - %'!S51/100)*Tendencial!AF168</f>
        <v>0.28411971788281293</v>
      </c>
      <c r="T83" s="21">
        <f>(1+'CC70 - %'!T51/100)*Tendencial!AG168</f>
        <v>0.29166689899639042</v>
      </c>
      <c r="U83" s="21">
        <f>(1+'CC70 - %'!U51/100)*Tendencial!AH168</f>
        <v>0.2975005119240301</v>
      </c>
      <c r="V83" s="21">
        <f>(1+'CC70 - %'!V51/100)*Tendencial!AI168</f>
        <v>0.30194352677231207</v>
      </c>
      <c r="W83" s="21">
        <f>(1+'CC70 - %'!W51/100)*Tendencial!AJ168</f>
        <v>0.31120827724008593</v>
      </c>
      <c r="X83" s="21">
        <f>(1+'CC70 - %'!X51/100)*Tendencial!AK168</f>
        <v>0.31958661983934067</v>
      </c>
      <c r="Y83" s="21">
        <f>(1+'CC70 - %'!Y51/100)*Tendencial!AL168</f>
        <v>0.32739481885446475</v>
      </c>
      <c r="Z83" s="21">
        <f>(1+'CC70 - %'!Z51/100)*Tendencial!AM168</f>
        <v>0.334956512416764</v>
      </c>
      <c r="AA83" s="21">
        <f>(1+'CC70 - %'!AA51/100)*Tendencial!AN168</f>
        <v>0.34090288717119704</v>
      </c>
      <c r="AB83" s="21">
        <f>(1+'CC70 - %'!AB51/100)*Tendencial!AO168</f>
        <v>0.3484259621254045</v>
      </c>
      <c r="AC83" s="21">
        <f>(1+'CC70 - %'!AC51/100)*Tendencial!AP168</f>
        <v>0.35509794483809154</v>
      </c>
      <c r="AD83" s="21">
        <f>(1+'CC70 - %'!AD51/100)*Tendencial!AQ168</f>
        <v>0.36387559174313322</v>
      </c>
      <c r="AE83" s="21">
        <f>(1+'CC70 - %'!AE51/100)*Tendencial!AR168</f>
        <v>0.37106974199401282</v>
      </c>
      <c r="AF83" s="21">
        <f>(1+'CC70 - %'!AF51/100)*Tendencial!AS168</f>
        <v>0.37806592235875053</v>
      </c>
      <c r="AG83" s="21">
        <f>(1+'CC70 - %'!AG51/100)*Tendencial!AT168</f>
        <v>0.38528421116636369</v>
      </c>
      <c r="AH83" s="21">
        <f>(1+'CC70 - %'!AH51/100)*Tendencial!AU168</f>
        <v>0.39256729962353737</v>
      </c>
      <c r="AI83" s="21">
        <f>(1+'CC70 - %'!AI51/100)*Tendencial!AV168</f>
        <v>0.40083788287665811</v>
      </c>
      <c r="AJ83" s="21">
        <f>(1+'CC70 - %'!AJ51/100)*Tendencial!AW168</f>
        <v>0.40846253312193631</v>
      </c>
      <c r="AK83" s="21">
        <f>(1+'CC70 - %'!AK51/100)*Tendencial!AX168</f>
        <v>0.41613401458278088</v>
      </c>
      <c r="AL83" s="21">
        <f>(1+'CC70 - %'!AL51/100)*Tendencial!AY168</f>
        <v>0.4240101510748816</v>
      </c>
      <c r="AM83" s="21">
        <f>(1+'CC70 - %'!AM51/100)*Tendencial!AZ168</f>
        <v>0.4319504186241912</v>
      </c>
      <c r="AN83" s="21">
        <f>(1+'CC70 - %'!AN51/100)*Tendencial!BA168</f>
        <v>0.44011456609425997</v>
      </c>
      <c r="AO83" s="21">
        <f>(1+'CC70 - %'!AO51/100)*Tendencial!BB168</f>
        <v>0.44805730981259267</v>
      </c>
      <c r="AP83" s="21">
        <f>(1+'CC70 - %'!AP51/100)*Tendencial!BC168</f>
        <v>0.45609530394743231</v>
      </c>
      <c r="AQ83" s="21">
        <f>(1+'CC70 - %'!AQ51/100)*Tendencial!BD168</f>
        <v>0.46422198332531289</v>
      </c>
      <c r="AR83" s="21">
        <f>(1+'CC70 - %'!AR51/100)*Tendencial!BE168</f>
        <v>0.47239598302384306</v>
      </c>
      <c r="AS83" s="21">
        <f>(1+'CC70 - %'!AS51/100)*Tendencial!BF168</f>
        <v>0.48057966538017355</v>
      </c>
      <c r="AT83" s="21">
        <f>(1+'CC70 - %'!AT51/100)*Tendencial!BG168</f>
        <v>0.48879900406527349</v>
      </c>
      <c r="AU83" s="21">
        <f>(1+'CC70 - %'!AU51/100)*Tendencial!BH168</f>
        <v>0.49706493614251529</v>
      </c>
      <c r="AV83" s="21">
        <f>(1+'CC70 - %'!AV51/100)*Tendencial!BI168</f>
        <v>0.5053788512751638</v>
      </c>
      <c r="AW83" s="21">
        <f>(1+'CC70 - %'!AW51/100)*Tendencial!BJ168</f>
        <v>0.51371747130783907</v>
      </c>
      <c r="AX83" s="21">
        <f>(1+'CC70 - %'!AX51/100)*Tendencial!BK168</f>
        <v>0.52207760004493731</v>
      </c>
      <c r="AY83" s="21">
        <f>(1+'CC70 - %'!AY51/100)*Tendencial!BL168</f>
        <v>0.53044734377044234</v>
      </c>
      <c r="AZ83" s="21">
        <f>(1+'CC70 - %'!AZ51/100)*Tendencial!BM168</f>
        <v>0.53884203317263424</v>
      </c>
      <c r="BA83" s="21">
        <f>(1+'CC70 - %'!BA51/100)*Tendencial!BN168</f>
        <v>0.54725637712789366</v>
      </c>
      <c r="BB83" s="21">
        <f>(1+'CC70 - %'!BB51/100)*Tendencial!BO168</f>
        <v>0.55568457881673816</v>
      </c>
      <c r="BC83" s="21"/>
    </row>
    <row r="84" spans="1:55" ht="14.4" x14ac:dyDescent="0.3">
      <c r="B84" s="384"/>
      <c r="C84" s="9" t="s">
        <v>245</v>
      </c>
      <c r="D84" s="365"/>
      <c r="E84" s="382"/>
      <c r="F84" s="382"/>
      <c r="G84" s="21">
        <f>(1+'CC70 - %'!G52/100)*Tendencial!T241</f>
        <v>1.8121352426337722E-2</v>
      </c>
      <c r="H84" s="21">
        <f>(1+'CC70 - %'!H52/100)*Tendencial!U241</f>
        <v>2.1369054668464789E-2</v>
      </c>
      <c r="I84" s="21">
        <f>(1+'CC70 - %'!I52/100)*Tendencial!V241</f>
        <v>2.0848614373760715E-2</v>
      </c>
      <c r="J84" s="21">
        <f>(1+'CC70 - %'!J52/100)*Tendencial!W241</f>
        <v>2.4548427201578585E-2</v>
      </c>
      <c r="K84" s="21">
        <f>(1+'CC70 - %'!K52/100)*Tendencial!X241</f>
        <v>2.5944594834104173E-2</v>
      </c>
      <c r="L84" s="21">
        <f>(1+'CC70 - %'!L52/100)*Tendencial!Y241</f>
        <v>2.7482210686102279E-2</v>
      </c>
      <c r="M84" s="21">
        <f>(1+'CC70 - %'!M52/100)*Tendencial!Z241</f>
        <v>2.8813409645929947E-2</v>
      </c>
      <c r="N84" s="21">
        <f>(1+'CC70 - %'!N52/100)*Tendencial!AA241</f>
        <v>3.0544430024786212E-2</v>
      </c>
      <c r="O84" s="21">
        <f>(1+'CC70 - %'!O52/100)*Tendencial!AB241</f>
        <v>2.8438096087408323E-2</v>
      </c>
      <c r="P84" s="21">
        <f>(1+'CC70 - %'!P52/100)*Tendencial!AC241</f>
        <v>2.9539328214806575E-2</v>
      </c>
      <c r="Q84" s="21">
        <f>(1+'CC70 - %'!Q52/100)*Tendencial!AD241</f>
        <v>3.1058149020110205E-2</v>
      </c>
      <c r="R84" s="21">
        <f>(1+'CC70 - %'!R52/100)*Tendencial!AE241</f>
        <v>3.20001986309775E-2</v>
      </c>
      <c r="S84" s="21">
        <f>(1+'CC70 - %'!S52/100)*Tendencial!AF241</f>
        <v>3.2891056860214547E-2</v>
      </c>
      <c r="T84" s="21">
        <f>(1+'CC70 - %'!T52/100)*Tendencial!AG241</f>
        <v>3.3748237364236863E-2</v>
      </c>
      <c r="U84" s="21">
        <f>(1+'CC70 - %'!U52/100)*Tendencial!AH241</f>
        <v>3.44064194657819E-2</v>
      </c>
      <c r="V84" s="21">
        <f>(1+'CC70 - %'!V52/100)*Tendencial!AI241</f>
        <v>3.4903229366130405E-2</v>
      </c>
      <c r="W84" s="21">
        <f>(1+'CC70 - %'!W52/100)*Tendencial!AJ241</f>
        <v>3.5956670133115889E-2</v>
      </c>
      <c r="X84" s="21">
        <f>(1+'CC70 - %'!X52/100)*Tendencial!AK241</f>
        <v>3.6906738344192551E-2</v>
      </c>
      <c r="Y84" s="21">
        <f>(1+'CC70 - %'!Y52/100)*Tendencial!AL241</f>
        <v>3.7790091414130901E-2</v>
      </c>
      <c r="Z84" s="21">
        <f>(1+'CC70 - %'!Z52/100)*Tendencial!AM241</f>
        <v>3.8644166086768447E-2</v>
      </c>
      <c r="AA84" s="21">
        <f>(1+'CC70 - %'!AA52/100)*Tendencial!AN241</f>
        <v>3.9311161639813283E-2</v>
      </c>
      <c r="AB84" s="21">
        <f>(1+'CC70 - %'!AB52/100)*Tendencial!AO241</f>
        <v>4.01592598076995E-2</v>
      </c>
      <c r="AC84" s="21">
        <f>(1+'CC70 - %'!AC52/100)*Tendencial!AP241</f>
        <v>4.0908509176658073E-2</v>
      </c>
      <c r="AD84" s="21">
        <f>(1+'CC70 - %'!AD52/100)*Tendencial!AQ241</f>
        <v>4.1899518231861853E-2</v>
      </c>
      <c r="AE84" s="21">
        <f>(1+'CC70 - %'!AE52/100)*Tendencial!AR241</f>
        <v>4.2707344184004105E-2</v>
      </c>
      <c r="AF84" s="21">
        <f>(1+'CC70 - %'!AF52/100)*Tendencial!AS241</f>
        <v>4.3491639632574387E-2</v>
      </c>
      <c r="AG84" s="21">
        <f>(1+'CC70 - %'!AG52/100)*Tendencial!AT241</f>
        <v>4.4300741010858874E-2</v>
      </c>
      <c r="AH84" s="21">
        <f>(1+'CC70 - %'!AH52/100)*Tendencial!AU241</f>
        <v>4.511653473171745E-2</v>
      </c>
      <c r="AI84" s="21">
        <f>(1+'CC70 - %'!AI52/100)*Tendencial!AV241</f>
        <v>4.604500403607386E-2</v>
      </c>
      <c r="AJ84" s="21">
        <f>(1+'CC70 - %'!AJ52/100)*Tendencial!AW241</f>
        <v>4.6898443254338437E-2</v>
      </c>
      <c r="AK84" s="21">
        <f>(1+'CC70 - %'!AK52/100)*Tendencial!AX241</f>
        <v>4.7756464216927176E-2</v>
      </c>
      <c r="AL84" s="21">
        <f>(1+'CC70 - %'!AL52/100)*Tendencial!AY241</f>
        <v>4.8637165127805949E-2</v>
      </c>
      <c r="AM84" s="21">
        <f>(1+'CC70 - %'!AM52/100)*Tendencial!AZ241</f>
        <v>4.9524403299964229E-2</v>
      </c>
      <c r="AN84" s="21">
        <f>(1+'CC70 - %'!AN52/100)*Tendencial!BA241</f>
        <v>5.0436477602427948E-2</v>
      </c>
      <c r="AO84" s="21">
        <f>(1+'CC70 - %'!AO52/100)*Tendencial!BB241</f>
        <v>5.1322349256665435E-2</v>
      </c>
      <c r="AP84" s="21">
        <f>(1+'CC70 - %'!AP52/100)*Tendencial!BC241</f>
        <v>5.2218310441123357E-2</v>
      </c>
      <c r="AQ84" s="21">
        <f>(1+'CC70 - %'!AQ52/100)*Tendencial!BD241</f>
        <v>5.3123596749898409E-2</v>
      </c>
      <c r="AR84" s="21">
        <f>(1+'CC70 - %'!AR52/100)*Tendencial!BE241</f>
        <v>5.403346479167645E-2</v>
      </c>
      <c r="AS84" s="21">
        <f>(1+'CC70 - %'!AS52/100)*Tendencial!BF241</f>
        <v>5.4943606275402838E-2</v>
      </c>
      <c r="AT84" s="21">
        <f>(1+'CC70 - %'!AT52/100)*Tendencial!BG241</f>
        <v>5.5856990153262065E-2</v>
      </c>
      <c r="AU84" s="21">
        <f>(1+'CC70 - %'!AU52/100)*Tendencial!BH241</f>
        <v>5.677486230720119E-2</v>
      </c>
      <c r="AV84" s="21">
        <f>(1+'CC70 - %'!AV52/100)*Tendencial!BI241</f>
        <v>5.7697376291787603E-2</v>
      </c>
      <c r="AW84" s="21">
        <f>(1+'CC70 - %'!AW52/100)*Tendencial!BJ241</f>
        <v>5.8621870463421856E-2</v>
      </c>
      <c r="AX84" s="21">
        <f>(1+'CC70 - %'!AX52/100)*Tendencial!BK241</f>
        <v>5.954797871420206E-2</v>
      </c>
      <c r="AY84" s="21">
        <f>(1+'CC70 - %'!AY52/100)*Tendencial!BL241</f>
        <v>6.0474344051664353E-2</v>
      </c>
      <c r="AZ84" s="21">
        <f>(1+'CC70 - %'!AZ52/100)*Tendencial!BM241</f>
        <v>6.1402714324212626E-2</v>
      </c>
      <c r="BA84" s="21">
        <f>(1+'CC70 - %'!BA52/100)*Tendencial!BN241</f>
        <v>6.233248529578176E-2</v>
      </c>
      <c r="BB84" s="21">
        <f>(1+'CC70 - %'!BB52/100)*Tendencial!BO241</f>
        <v>6.3262996286473458E-2</v>
      </c>
      <c r="BC84" s="21"/>
    </row>
    <row r="85" spans="1:55" ht="14.4" customHeight="1" x14ac:dyDescent="0.3">
      <c r="A85" s="16" t="s">
        <v>50</v>
      </c>
      <c r="B85" s="16"/>
      <c r="C85" s="31" t="s">
        <v>688</v>
      </c>
      <c r="D85" s="351"/>
      <c r="E85" s="351"/>
      <c r="F85" s="35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row>
    <row r="86" spans="1:55" ht="14.4" x14ac:dyDescent="0.3">
      <c r="A86" s="16"/>
      <c r="B86" s="16"/>
      <c r="C86" s="363" t="s">
        <v>687</v>
      </c>
      <c r="D86" s="351"/>
      <c r="E86" s="351"/>
      <c r="F86" s="35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row>
    <row r="87" spans="1:55" ht="15" customHeight="1" x14ac:dyDescent="0.3">
      <c r="A87" s="385"/>
      <c r="B87" s="364" t="s">
        <v>246</v>
      </c>
      <c r="C87" s="9" t="s">
        <v>247</v>
      </c>
      <c r="E87" s="382" t="s">
        <v>248</v>
      </c>
      <c r="F87" s="382" t="s">
        <v>20</v>
      </c>
      <c r="G87" s="11">
        <f t="shared" ref="G87:BB87" si="19">G37/G3</f>
        <v>0.16671406675775141</v>
      </c>
      <c r="H87" s="11">
        <f t="shared" si="19"/>
        <v>0.17589786440909769</v>
      </c>
      <c r="I87" s="11">
        <f t="shared" si="19"/>
        <v>0.17523566701048318</v>
      </c>
      <c r="J87" s="11">
        <f t="shared" si="19"/>
        <v>0.17515173675821874</v>
      </c>
      <c r="K87" s="11">
        <f t="shared" si="19"/>
        <v>0.17507305005286689</v>
      </c>
      <c r="L87" s="11">
        <f t="shared" si="19"/>
        <v>0.17499954361077416</v>
      </c>
      <c r="M87" s="11">
        <f t="shared" si="19"/>
        <v>0.17493115561326614</v>
      </c>
      <c r="N87" s="11">
        <f t="shared" si="19"/>
        <v>0.17486782566809911</v>
      </c>
      <c r="O87" s="11">
        <f t="shared" si="19"/>
        <v>0.17480949477214261</v>
      </c>
      <c r="P87" s="11">
        <f t="shared" si="19"/>
        <v>0.17475610527524621</v>
      </c>
      <c r="Q87" s="11">
        <f t="shared" si="19"/>
        <v>0.17470760084524742</v>
      </c>
      <c r="R87" s="11">
        <f t="shared" si="19"/>
        <v>0.1746639264340793</v>
      </c>
      <c r="S87" s="11">
        <f t="shared" si="19"/>
        <v>0.17462502824493711</v>
      </c>
      <c r="T87" s="11">
        <f t="shared" si="19"/>
        <v>0.1745908537004664</v>
      </c>
      <c r="U87" s="11">
        <f t="shared" si="19"/>
        <v>0.17456135141193521</v>
      </c>
      <c r="V87" s="11">
        <f t="shared" si="19"/>
        <v>0.17453647114935564</v>
      </c>
      <c r="W87" s="11">
        <f t="shared" si="19"/>
        <v>0.17540915350510239</v>
      </c>
      <c r="X87" s="11">
        <f t="shared" si="19"/>
        <v>0.17628619927262787</v>
      </c>
      <c r="Y87" s="11">
        <f t="shared" si="19"/>
        <v>0.17716763026899096</v>
      </c>
      <c r="Z87" s="11">
        <f t="shared" si="19"/>
        <v>0.1780534684203359</v>
      </c>
      <c r="AA87" s="11">
        <f t="shared" si="19"/>
        <v>0.17894373576243755</v>
      </c>
      <c r="AB87" s="11">
        <f t="shared" si="19"/>
        <v>0.17983845444124974</v>
      </c>
      <c r="AC87" s="11">
        <f t="shared" si="19"/>
        <v>0.18073764671345599</v>
      </c>
      <c r="AD87" s="11">
        <f t="shared" si="19"/>
        <v>0.18164133494702325</v>
      </c>
      <c r="AE87" s="11">
        <f t="shared" si="19"/>
        <v>0.18254954162175835</v>
      </c>
      <c r="AF87" s="11">
        <f t="shared" si="19"/>
        <v>0.18346228932986711</v>
      </c>
      <c r="AG87" s="11">
        <f t="shared" si="19"/>
        <v>0.18437960077651644</v>
      </c>
      <c r="AH87" s="11">
        <f t="shared" si="19"/>
        <v>0.185301498780399</v>
      </c>
      <c r="AI87" s="11">
        <f t="shared" si="19"/>
        <v>0.18622800627430097</v>
      </c>
      <c r="AJ87" s="11">
        <f t="shared" si="19"/>
        <v>0.18715914630567246</v>
      </c>
      <c r="AK87" s="11">
        <f t="shared" si="19"/>
        <v>0.18809494203720081</v>
      </c>
      <c r="AL87" s="11">
        <f t="shared" si="19"/>
        <v>0.1890354167473868</v>
      </c>
      <c r="AM87" s="11">
        <f t="shared" si="19"/>
        <v>0.18998059383112373</v>
      </c>
      <c r="AN87" s="11">
        <f t="shared" si="19"/>
        <v>0.19093049680027929</v>
      </c>
      <c r="AO87" s="11">
        <f t="shared" si="19"/>
        <v>0.19188514928428063</v>
      </c>
      <c r="AP87" s="11">
        <f t="shared" si="19"/>
        <v>0.19284457503070207</v>
      </c>
      <c r="AQ87" s="11">
        <f t="shared" si="19"/>
        <v>0.19380879790585556</v>
      </c>
      <c r="AR87" s="11">
        <f t="shared" si="19"/>
        <v>0.19477784189538483</v>
      </c>
      <c r="AS87" s="11">
        <f t="shared" si="19"/>
        <v>0.19575173110486174</v>
      </c>
      <c r="AT87" s="11">
        <f t="shared" si="19"/>
        <v>0.19673048976038598</v>
      </c>
      <c r="AU87" s="11">
        <f t="shared" si="19"/>
        <v>0.1977141422091879</v>
      </c>
      <c r="AV87" s="11">
        <f t="shared" si="19"/>
        <v>0.19870271292023384</v>
      </c>
      <c r="AW87" s="11">
        <f t="shared" si="19"/>
        <v>0.19969622648483498</v>
      </c>
      <c r="AX87" s="11">
        <f t="shared" si="19"/>
        <v>0.20069470761725913</v>
      </c>
      <c r="AY87" s="11">
        <f t="shared" si="19"/>
        <v>0.20169818115534535</v>
      </c>
      <c r="AZ87" s="11">
        <f t="shared" si="19"/>
        <v>0.20270667206112211</v>
      </c>
      <c r="BA87" s="11">
        <f t="shared" si="19"/>
        <v>0.20372020542142769</v>
      </c>
      <c r="BB87" s="11">
        <f t="shared" si="19"/>
        <v>0.20473880644853479</v>
      </c>
    </row>
    <row r="88" spans="1:55" ht="15" customHeight="1" x14ac:dyDescent="0.3">
      <c r="A88" s="385"/>
      <c r="B88" s="364"/>
      <c r="C88" s="9" t="s">
        <v>249</v>
      </c>
      <c r="E88" s="382"/>
      <c r="F88" s="382"/>
      <c r="G88" s="11">
        <f t="shared" ref="G88:BB88" si="20">G38/G4</f>
        <v>0.50986762731448776</v>
      </c>
      <c r="H88" s="11">
        <f t="shared" si="20"/>
        <v>0.53340688303416794</v>
      </c>
      <c r="I88" s="11">
        <f t="shared" si="20"/>
        <v>0.52652732171072592</v>
      </c>
      <c r="J88" s="11">
        <f t="shared" si="20"/>
        <v>0.56071965029620707</v>
      </c>
      <c r="K88" s="11">
        <f t="shared" si="20"/>
        <v>0.57767794272044193</v>
      </c>
      <c r="L88" s="11">
        <f t="shared" si="20"/>
        <v>0.59552173999852276</v>
      </c>
      <c r="M88" s="11">
        <f t="shared" si="20"/>
        <v>0.61205812588152497</v>
      </c>
      <c r="N88" s="11">
        <f t="shared" si="20"/>
        <v>0.63106327540309448</v>
      </c>
      <c r="O88" s="11">
        <f t="shared" si="20"/>
        <v>0.62750687568334862</v>
      </c>
      <c r="P88" s="11">
        <f t="shared" si="20"/>
        <v>0.64318446029169762</v>
      </c>
      <c r="Q88" s="11">
        <f t="shared" si="20"/>
        <v>0.66154631531577535</v>
      </c>
      <c r="R88" s="11">
        <f t="shared" si="20"/>
        <v>0.67646676306661246</v>
      </c>
      <c r="S88" s="11">
        <f t="shared" si="20"/>
        <v>0.69123300638069707</v>
      </c>
      <c r="T88" s="11">
        <f t="shared" si="20"/>
        <v>0.70633611923381989</v>
      </c>
      <c r="U88" s="11">
        <f t="shared" si="20"/>
        <v>0.70670939628426688</v>
      </c>
      <c r="V88" s="11">
        <f t="shared" si="20"/>
        <v>0.70601895985948016</v>
      </c>
      <c r="W88" s="11">
        <f t="shared" si="20"/>
        <v>0.70888663625380077</v>
      </c>
      <c r="X88" s="11">
        <f t="shared" si="20"/>
        <v>0.71100026064801203</v>
      </c>
      <c r="Y88" s="11">
        <f t="shared" si="20"/>
        <v>0.71262462997101961</v>
      </c>
      <c r="Z88" s="11">
        <f t="shared" si="20"/>
        <v>0.71400837291870689</v>
      </c>
      <c r="AA88" s="11">
        <f t="shared" si="20"/>
        <v>0.71421482410690584</v>
      </c>
      <c r="AB88" s="11">
        <f t="shared" si="20"/>
        <v>0.72585684447427079</v>
      </c>
      <c r="AC88" s="11">
        <f t="shared" si="20"/>
        <v>0.73688340251900963</v>
      </c>
      <c r="AD88" s="11">
        <f t="shared" si="20"/>
        <v>0.749340798198185</v>
      </c>
      <c r="AE88" s="11">
        <f t="shared" si="20"/>
        <v>0.76067327445939315</v>
      </c>
      <c r="AF88" s="11">
        <f t="shared" si="20"/>
        <v>0.77183667640422104</v>
      </c>
      <c r="AG88" s="11">
        <f t="shared" si="20"/>
        <v>0.78312183239507793</v>
      </c>
      <c r="AH88" s="11">
        <f t="shared" si="20"/>
        <v>0.79442017496428219</v>
      </c>
      <c r="AI88" s="11">
        <f t="shared" si="20"/>
        <v>0.80637069115623961</v>
      </c>
      <c r="AJ88" s="11">
        <f t="shared" si="20"/>
        <v>0.81783506075123835</v>
      </c>
      <c r="AK88" s="11">
        <f t="shared" si="20"/>
        <v>0.82929185810979889</v>
      </c>
      <c r="AL88" s="11">
        <f t="shared" si="20"/>
        <v>0.84084819990983872</v>
      </c>
      <c r="AM88" s="11">
        <f t="shared" si="20"/>
        <v>0.85240348026063228</v>
      </c>
      <c r="AN88" s="11">
        <f t="shared" si="20"/>
        <v>0.86406640703519855</v>
      </c>
      <c r="AO88" s="11">
        <f t="shared" si="20"/>
        <v>0.87552330448613391</v>
      </c>
      <c r="AP88" s="11">
        <f t="shared" si="20"/>
        <v>0.88699229668539958</v>
      </c>
      <c r="AQ88" s="11">
        <f t="shared" si="20"/>
        <v>0.89846607184522531</v>
      </c>
      <c r="AR88" s="11">
        <f t="shared" si="20"/>
        <v>0.90991293344926627</v>
      </c>
      <c r="AS88" s="11">
        <f t="shared" si="20"/>
        <v>0.92130371081310725</v>
      </c>
      <c r="AT88" s="11">
        <f t="shared" si="20"/>
        <v>0.93265382089322357</v>
      </c>
      <c r="AU88" s="11">
        <f t="shared" si="20"/>
        <v>0.94396821494729988</v>
      </c>
      <c r="AV88" s="11">
        <f t="shared" si="20"/>
        <v>0.95524519155724863</v>
      </c>
      <c r="AW88" s="11">
        <f t="shared" si="20"/>
        <v>0.96646571104814871</v>
      </c>
      <c r="AX88" s="11">
        <f t="shared" si="20"/>
        <v>0.97762486476684229</v>
      </c>
      <c r="AY88" s="11">
        <f t="shared" si="20"/>
        <v>0.98871163331782341</v>
      </c>
      <c r="AZ88" s="11">
        <f t="shared" si="20"/>
        <v>0.99973424830690227</v>
      </c>
      <c r="BA88" s="11">
        <f t="shared" si="20"/>
        <v>1.0106864429085449</v>
      </c>
      <c r="BB88" s="11">
        <f t="shared" si="20"/>
        <v>1.0215616242190306</v>
      </c>
    </row>
    <row r="89" spans="1:55" ht="15" customHeight="1" x14ac:dyDescent="0.3">
      <c r="B89" s="364"/>
      <c r="C89" s="9" t="s">
        <v>250</v>
      </c>
      <c r="E89" s="382"/>
      <c r="F89" s="382"/>
      <c r="G89" s="11">
        <f t="shared" ref="G89:BB89" si="21">G39/G5</f>
        <v>2.9783620618820152E-2</v>
      </c>
      <c r="H89" s="11">
        <f t="shared" si="21"/>
        <v>3.1287601629307153E-2</v>
      </c>
      <c r="I89" s="11">
        <f t="shared" si="21"/>
        <v>3.103271121189588E-2</v>
      </c>
      <c r="J89" s="11">
        <f t="shared" si="21"/>
        <v>3.2587269885604432E-2</v>
      </c>
      <c r="K89" s="11">
        <f t="shared" si="21"/>
        <v>3.3085388510097846E-2</v>
      </c>
      <c r="L89" s="11">
        <f t="shared" si="21"/>
        <v>3.3613674702730412E-2</v>
      </c>
      <c r="M89" s="11">
        <f t="shared" si="21"/>
        <v>3.4044337813807363E-2</v>
      </c>
      <c r="N89" s="11">
        <f t="shared" si="21"/>
        <v>3.4595175600779314E-2</v>
      </c>
      <c r="O89" s="11">
        <f t="shared" si="21"/>
        <v>3.38508600554389E-2</v>
      </c>
      <c r="P89" s="11">
        <f t="shared" si="21"/>
        <v>3.418380081821968E-2</v>
      </c>
      <c r="Q89" s="11">
        <f t="shared" si="21"/>
        <v>3.4645654518872679E-2</v>
      </c>
      <c r="R89" s="11">
        <f t="shared" si="21"/>
        <v>3.489847797117758E-2</v>
      </c>
      <c r="S89" s="11">
        <f t="shared" si="21"/>
        <v>3.5125746702301917E-2</v>
      </c>
      <c r="T89" s="11">
        <f t="shared" si="21"/>
        <v>3.5334163891805499E-2</v>
      </c>
      <c r="U89" s="11">
        <f t="shared" si="21"/>
        <v>3.547329737819583E-2</v>
      </c>
      <c r="V89" s="11">
        <f t="shared" si="21"/>
        <v>3.5557503443618611E-2</v>
      </c>
      <c r="W89" s="11">
        <f t="shared" si="21"/>
        <v>3.5805133395891878E-2</v>
      </c>
      <c r="X89" s="11">
        <f t="shared" si="21"/>
        <v>3.6012517315377537E-2</v>
      </c>
      <c r="Y89" s="11">
        <f t="shared" si="21"/>
        <v>3.6192332809979959E-2</v>
      </c>
      <c r="Z89" s="11">
        <f t="shared" si="21"/>
        <v>3.6356436009109157E-2</v>
      </c>
      <c r="AA89" s="11">
        <f t="shared" si="21"/>
        <v>3.646096479486613E-2</v>
      </c>
      <c r="AB89" s="11">
        <f t="shared" si="21"/>
        <v>3.6610371967528331E-2</v>
      </c>
      <c r="AC89" s="11">
        <f t="shared" si="21"/>
        <v>3.6725993799594597E-2</v>
      </c>
      <c r="AD89" s="11">
        <f t="shared" si="21"/>
        <v>3.6900966341630224E-2</v>
      </c>
      <c r="AE89" s="11">
        <f t="shared" si="21"/>
        <v>3.7019698730137253E-2</v>
      </c>
      <c r="AF89" s="11">
        <f t="shared" si="21"/>
        <v>3.7126150541074043E-2</v>
      </c>
      <c r="AG89" s="11">
        <f t="shared" si="21"/>
        <v>3.7233219297498982E-2</v>
      </c>
      <c r="AH89" s="11">
        <f t="shared" si="21"/>
        <v>3.7336210768888142E-2</v>
      </c>
      <c r="AI89" s="11">
        <f t="shared" si="21"/>
        <v>3.7461706250276609E-2</v>
      </c>
      <c r="AJ89" s="11">
        <f t="shared" si="21"/>
        <v>3.7562049538831729E-2</v>
      </c>
      <c r="AK89" s="11">
        <f t="shared" si="21"/>
        <v>3.7657503090893635E-2</v>
      </c>
      <c r="AL89" s="11">
        <f t="shared" si="21"/>
        <v>3.7752409508432616E-2</v>
      </c>
      <c r="AM89" s="11">
        <f t="shared" si="21"/>
        <v>3.7842737853306649E-2</v>
      </c>
      <c r="AN89" s="11">
        <f t="shared" si="21"/>
        <v>3.793274863715463E-2</v>
      </c>
      <c r="AO89" s="11">
        <f t="shared" si="21"/>
        <v>3.8010428849575201E-2</v>
      </c>
      <c r="AP89" s="11">
        <f t="shared" si="21"/>
        <v>3.8084341518316189E-2</v>
      </c>
      <c r="AQ89" s="11">
        <f t="shared" si="21"/>
        <v>3.8154254057490261E-2</v>
      </c>
      <c r="AR89" s="11">
        <f t="shared" si="21"/>
        <v>3.821906074124734E-2</v>
      </c>
      <c r="AS89" s="11">
        <f t="shared" si="21"/>
        <v>3.827780886465524E-2</v>
      </c>
      <c r="AT89" s="11">
        <f t="shared" si="21"/>
        <v>3.8331173258936438E-2</v>
      </c>
      <c r="AU89" s="11">
        <f t="shared" si="21"/>
        <v>3.8379427396341502E-2</v>
      </c>
      <c r="AV89" s="11">
        <f t="shared" si="21"/>
        <v>3.8422601674201202E-2</v>
      </c>
      <c r="AW89" s="11">
        <f t="shared" si="21"/>
        <v>3.8460139027048305E-2</v>
      </c>
      <c r="AX89" s="11">
        <f t="shared" si="21"/>
        <v>3.8491984978397197E-2</v>
      </c>
      <c r="AY89" s="11">
        <f t="shared" si="21"/>
        <v>3.8517888165616784E-2</v>
      </c>
      <c r="AZ89" s="11">
        <f t="shared" si="21"/>
        <v>3.8538236087984901E-2</v>
      </c>
      <c r="BA89" s="11">
        <f t="shared" si="21"/>
        <v>3.8552932744414785E-2</v>
      </c>
      <c r="BB89" s="11">
        <f t="shared" si="21"/>
        <v>3.8561878216620743E-2</v>
      </c>
    </row>
    <row r="90" spans="1:55" ht="14.4" x14ac:dyDescent="0.3">
      <c r="B90" s="364"/>
      <c r="C90" s="9" t="s">
        <v>251</v>
      </c>
      <c r="D90" s="28"/>
      <c r="E90" s="382"/>
      <c r="F90" s="382"/>
      <c r="G90" s="11">
        <f t="shared" ref="G90:BB90" si="22">G40/G6</f>
        <v>0.13486877156515797</v>
      </c>
      <c r="H90" s="11">
        <f t="shared" si="22"/>
        <v>0.14293159913582162</v>
      </c>
      <c r="I90" s="11">
        <f t="shared" si="22"/>
        <v>0.14302471470372383</v>
      </c>
      <c r="J90" s="11">
        <f t="shared" si="22"/>
        <v>0.15144836623766161</v>
      </c>
      <c r="K90" s="11">
        <f t="shared" si="22"/>
        <v>0.1512898870909076</v>
      </c>
      <c r="L90" s="11">
        <f t="shared" si="22"/>
        <v>0.1511335442237659</v>
      </c>
      <c r="M90" s="11">
        <f t="shared" si="22"/>
        <v>0.15097931690014033</v>
      </c>
      <c r="N90" s="11">
        <f t="shared" si="22"/>
        <v>0.15082718468864387</v>
      </c>
      <c r="O90" s="11">
        <f t="shared" si="22"/>
        <v>0.15067712745713904</v>
      </c>
      <c r="P90" s="11">
        <f t="shared" si="22"/>
        <v>0.15052912536739463</v>
      </c>
      <c r="Q90" s="11">
        <f t="shared" si="22"/>
        <v>0.15038315886985731</v>
      </c>
      <c r="R90" s="11">
        <f t="shared" si="22"/>
        <v>0.15023920869853474</v>
      </c>
      <c r="S90" s="11">
        <f t="shared" si="22"/>
        <v>0.15009725586598702</v>
      </c>
      <c r="T90" s="11">
        <f t="shared" si="22"/>
        <v>0.14995738088444227</v>
      </c>
      <c r="U90" s="11">
        <f t="shared" si="22"/>
        <v>0.14981947856342664</v>
      </c>
      <c r="V90" s="11">
        <f t="shared" si="22"/>
        <v>0.14968353058997361</v>
      </c>
      <c r="W90" s="11">
        <f t="shared" si="22"/>
        <v>0.14954951891251819</v>
      </c>
      <c r="X90" s="11">
        <f t="shared" si="22"/>
        <v>0.1494174257363613</v>
      </c>
      <c r="Y90" s="11">
        <f t="shared" si="22"/>
        <v>0.14928723351922876</v>
      </c>
      <c r="Z90" s="11">
        <f t="shared" si="22"/>
        <v>0.14915892496692201</v>
      </c>
      <c r="AA90" s="11">
        <f t="shared" si="22"/>
        <v>0.14903248302905914</v>
      </c>
      <c r="AB90" s="11">
        <f t="shared" si="22"/>
        <v>0.148907890894903</v>
      </c>
      <c r="AC90" s="11">
        <f t="shared" si="22"/>
        <v>0.14878513198927582</v>
      </c>
      <c r="AD90" s="11">
        <f t="shared" si="22"/>
        <v>0.14866418996855657</v>
      </c>
      <c r="AE90" s="11">
        <f t="shared" si="22"/>
        <v>0.14854504871676033</v>
      </c>
      <c r="AF90" s="11">
        <f t="shared" si="22"/>
        <v>0.1484276923416972</v>
      </c>
      <c r="AG90" s="11">
        <f t="shared" si="22"/>
        <v>0.14831210517120924</v>
      </c>
      <c r="AH90" s="11">
        <f t="shared" si="22"/>
        <v>0.14819827174948286</v>
      </c>
      <c r="AI90" s="11">
        <f t="shared" si="22"/>
        <v>0.14808617683343567</v>
      </c>
      <c r="AJ90" s="11">
        <f t="shared" si="22"/>
        <v>0.14797580538917587</v>
      </c>
      <c r="AK90" s="11">
        <f t="shared" si="22"/>
        <v>0.14786714258853226</v>
      </c>
      <c r="AL90" s="11">
        <f t="shared" si="22"/>
        <v>0.14776017380565304</v>
      </c>
      <c r="AM90" s="11">
        <f t="shared" si="22"/>
        <v>0.14765488461367274</v>
      </c>
      <c r="AN90" s="11">
        <f t="shared" si="22"/>
        <v>0.14755126078144448</v>
      </c>
      <c r="AO90" s="11">
        <f t="shared" si="22"/>
        <v>0.14744928827033718</v>
      </c>
      <c r="AP90" s="11">
        <f t="shared" si="22"/>
        <v>0.14734895323109512</v>
      </c>
      <c r="AQ90" s="11">
        <f t="shared" si="22"/>
        <v>0.1472502420007597</v>
      </c>
      <c r="AR90" s="11">
        <f t="shared" si="22"/>
        <v>0.14715314109965064</v>
      </c>
      <c r="AS90" s="11">
        <f t="shared" si="22"/>
        <v>0.14705763722840656</v>
      </c>
      <c r="AT90" s="11">
        <f t="shared" si="22"/>
        <v>0.14696371726508226</v>
      </c>
      <c r="AU90" s="11">
        <f t="shared" si="22"/>
        <v>0.1468713682623029</v>
      </c>
      <c r="AV90" s="11">
        <f t="shared" si="22"/>
        <v>0.1467805774444724</v>
      </c>
      <c r="AW90" s="11">
        <f t="shared" si="22"/>
        <v>0.14669133220503588</v>
      </c>
      <c r="AX90" s="11">
        <f t="shared" si="22"/>
        <v>0.1466036201037943</v>
      </c>
      <c r="AY90" s="11">
        <f t="shared" si="22"/>
        <v>0.14651742886427035</v>
      </c>
      <c r="AZ90" s="11">
        <f t="shared" si="22"/>
        <v>0.14643274637112472</v>
      </c>
      <c r="BA90" s="11">
        <f t="shared" si="22"/>
        <v>0.14634956066762114</v>
      </c>
      <c r="BB90" s="11">
        <f t="shared" si="22"/>
        <v>0.14626785995313957</v>
      </c>
    </row>
    <row r="91" spans="1:55" ht="15" customHeight="1" x14ac:dyDescent="0.3">
      <c r="B91" s="364"/>
      <c r="C91" s="9" t="s">
        <v>252</v>
      </c>
      <c r="E91" s="382"/>
      <c r="F91" s="382"/>
      <c r="G91" s="11">
        <f t="shared" ref="G91:BB91" si="23">G41/G7</f>
        <v>0.41402988320261863</v>
      </c>
      <c r="H91" s="11">
        <f t="shared" si="23"/>
        <v>0.43695071100057897</v>
      </c>
      <c r="I91" s="11">
        <f t="shared" si="23"/>
        <v>0.43544821869510519</v>
      </c>
      <c r="J91" s="11">
        <f t="shared" si="23"/>
        <v>0.45924775164435461</v>
      </c>
      <c r="K91" s="11">
        <f t="shared" si="23"/>
        <v>0.4683293865205147</v>
      </c>
      <c r="L91" s="11">
        <f t="shared" si="23"/>
        <v>0.47786386336631037</v>
      </c>
      <c r="M91" s="11">
        <f t="shared" si="23"/>
        <v>0.48605057933407497</v>
      </c>
      <c r="N91" s="11">
        <f t="shared" si="23"/>
        <v>0.49595662827418152</v>
      </c>
      <c r="O91" s="11">
        <f t="shared" si="23"/>
        <v>0.48754628052125215</v>
      </c>
      <c r="P91" s="11">
        <f t="shared" si="23"/>
        <v>0.49437207527439914</v>
      </c>
      <c r="Q91" s="11">
        <f t="shared" si="23"/>
        <v>0.50304830319398441</v>
      </c>
      <c r="R91" s="11">
        <f t="shared" si="23"/>
        <v>0.50875935021308905</v>
      </c>
      <c r="S91" s="11">
        <f t="shared" si="23"/>
        <v>0.51411117457510291</v>
      </c>
      <c r="T91" s="11">
        <f t="shared" si="23"/>
        <v>0.51919707227414624</v>
      </c>
      <c r="U91" s="11">
        <f t="shared" si="23"/>
        <v>0.5232901893367119</v>
      </c>
      <c r="V91" s="11">
        <f t="shared" si="23"/>
        <v>0.52659059386937701</v>
      </c>
      <c r="W91" s="11">
        <f t="shared" si="23"/>
        <v>0.53224415190269225</v>
      </c>
      <c r="X91" s="11">
        <f t="shared" si="23"/>
        <v>0.53731943330666732</v>
      </c>
      <c r="Y91" s="11">
        <f t="shared" si="23"/>
        <v>0.54199644315962814</v>
      </c>
      <c r="Z91" s="11">
        <f t="shared" si="23"/>
        <v>0.54644460739452949</v>
      </c>
      <c r="AA91" s="11">
        <f t="shared" si="23"/>
        <v>0.55002488647536651</v>
      </c>
      <c r="AB91" s="11">
        <f t="shared" si="23"/>
        <v>0.55425295289680854</v>
      </c>
      <c r="AC91" s="11">
        <f t="shared" si="23"/>
        <v>0.55798467913888794</v>
      </c>
      <c r="AD91" s="11">
        <f t="shared" si="23"/>
        <v>0.56257754255331938</v>
      </c>
      <c r="AE91" s="11">
        <f t="shared" si="23"/>
        <v>0.56634445893785779</v>
      </c>
      <c r="AF91" s="11">
        <f t="shared" si="23"/>
        <v>0.56992515335736516</v>
      </c>
      <c r="AG91" s="11">
        <f t="shared" si="23"/>
        <v>0.57350770568780307</v>
      </c>
      <c r="AH91" s="11">
        <f t="shared" si="23"/>
        <v>0.57702292492710716</v>
      </c>
      <c r="AI91" s="11">
        <f t="shared" si="23"/>
        <v>0.58086103390941257</v>
      </c>
      <c r="AJ91" s="11">
        <f t="shared" si="23"/>
        <v>0.58432102776340544</v>
      </c>
      <c r="AK91" s="11">
        <f t="shared" si="23"/>
        <v>0.58769973866279868</v>
      </c>
      <c r="AL91" s="11">
        <f t="shared" si="23"/>
        <v>0.59106046661266887</v>
      </c>
      <c r="AM91" s="11">
        <f t="shared" si="23"/>
        <v>0.59434307348644411</v>
      </c>
      <c r="AN91" s="11">
        <f t="shared" si="23"/>
        <v>0.59760977073387112</v>
      </c>
      <c r="AO91" s="11">
        <f t="shared" si="23"/>
        <v>0.600682123419361</v>
      </c>
      <c r="AP91" s="11">
        <f t="shared" si="23"/>
        <v>0.60368587128104878</v>
      </c>
      <c r="AQ91" s="11">
        <f t="shared" si="23"/>
        <v>0.60661679473574592</v>
      </c>
      <c r="AR91" s="11">
        <f t="shared" si="23"/>
        <v>0.60945769775443048</v>
      </c>
      <c r="AS91" s="11">
        <f t="shared" si="23"/>
        <v>0.61219360135587619</v>
      </c>
      <c r="AT91" s="11">
        <f t="shared" si="23"/>
        <v>0.61483367135194333</v>
      </c>
      <c r="AU91" s="11">
        <f t="shared" si="23"/>
        <v>0.61738113391159277</v>
      </c>
      <c r="AV91" s="11">
        <f t="shared" si="23"/>
        <v>0.61983560859174858</v>
      </c>
      <c r="AW91" s="11">
        <f t="shared" si="23"/>
        <v>0.62218797088122824</v>
      </c>
      <c r="AX91" s="11">
        <f t="shared" si="23"/>
        <v>0.62443656560114058</v>
      </c>
      <c r="AY91" s="11">
        <f t="shared" si="23"/>
        <v>0.62657680610299116</v>
      </c>
      <c r="AZ91" s="11">
        <f t="shared" si="23"/>
        <v>0.6286136260202726</v>
      </c>
      <c r="BA91" s="11">
        <f t="shared" si="23"/>
        <v>0.63054476371788759</v>
      </c>
      <c r="BB91" s="11">
        <f t="shared" si="23"/>
        <v>0.63236790240170604</v>
      </c>
    </row>
    <row r="92" spans="1:55" ht="15" customHeight="1" x14ac:dyDescent="0.3">
      <c r="B92" s="364"/>
      <c r="C92" s="9" t="s">
        <v>253</v>
      </c>
      <c r="E92" s="382"/>
      <c r="F92" s="382"/>
      <c r="G92" s="11">
        <f t="shared" ref="G92:BB92" si="24">G42/G8</f>
        <v>0.1407049658246185</v>
      </c>
      <c r="H92" s="11">
        <f t="shared" si="24"/>
        <v>0.14863832600442536</v>
      </c>
      <c r="I92" s="11">
        <f t="shared" si="24"/>
        <v>0.14825938555912702</v>
      </c>
      <c r="J92" s="11">
        <f t="shared" si="24"/>
        <v>0.15650395295791278</v>
      </c>
      <c r="K92" s="11">
        <f t="shared" si="24"/>
        <v>0.15973243497588849</v>
      </c>
      <c r="L92" s="11">
        <f t="shared" si="24"/>
        <v>0.16311493696571941</v>
      </c>
      <c r="M92" s="11">
        <f t="shared" si="24"/>
        <v>0.16603542083639788</v>
      </c>
      <c r="N92" s="11">
        <f t="shared" si="24"/>
        <v>0.16954328961455928</v>
      </c>
      <c r="O92" s="11">
        <f t="shared" si="24"/>
        <v>0.16676739351401157</v>
      </c>
      <c r="P92" s="11">
        <f t="shared" si="24"/>
        <v>0.16920992621994338</v>
      </c>
      <c r="Q92" s="11">
        <f t="shared" si="24"/>
        <v>0.17228530962468283</v>
      </c>
      <c r="R92" s="11">
        <f t="shared" si="24"/>
        <v>0.17433920949106524</v>
      </c>
      <c r="S92" s="11">
        <f t="shared" si="24"/>
        <v>0.17626577796377271</v>
      </c>
      <c r="T92" s="11">
        <f t="shared" si="24"/>
        <v>0.17809681851444506</v>
      </c>
      <c r="U92" s="11">
        <f t="shared" si="24"/>
        <v>0.17958154565471318</v>
      </c>
      <c r="V92" s="11">
        <f t="shared" si="24"/>
        <v>0.18078822209461667</v>
      </c>
      <c r="W92" s="11">
        <f t="shared" si="24"/>
        <v>0.18280223582807334</v>
      </c>
      <c r="X92" s="11">
        <f t="shared" si="24"/>
        <v>0.18461268902626682</v>
      </c>
      <c r="Y92" s="11">
        <f t="shared" si="24"/>
        <v>0.18628138298471006</v>
      </c>
      <c r="Z92" s="11">
        <f t="shared" si="24"/>
        <v>0.18786665845883752</v>
      </c>
      <c r="AA92" s="11">
        <f t="shared" si="24"/>
        <v>0.18914722190398822</v>
      </c>
      <c r="AB92" s="11">
        <f t="shared" si="24"/>
        <v>0.19064743904780945</v>
      </c>
      <c r="AC92" s="11">
        <f t="shared" si="24"/>
        <v>0.19197131339303319</v>
      </c>
      <c r="AD92" s="11">
        <f t="shared" si="24"/>
        <v>0.19358917557010852</v>
      </c>
      <c r="AE92" s="11">
        <f t="shared" si="24"/>
        <v>0.19491639099186048</v>
      </c>
      <c r="AF92" s="11">
        <f t="shared" si="24"/>
        <v>0.19617455668811373</v>
      </c>
      <c r="AG92" s="11">
        <f t="shared" si="24"/>
        <v>0.19742891702428134</v>
      </c>
      <c r="AH92" s="11">
        <f t="shared" si="24"/>
        <v>0.19865548548142237</v>
      </c>
      <c r="AI92" s="11">
        <f t="shared" si="24"/>
        <v>0.19998986731178087</v>
      </c>
      <c r="AJ92" s="11">
        <f t="shared" si="24"/>
        <v>0.20118859735399222</v>
      </c>
      <c r="AK92" s="11">
        <f t="shared" si="24"/>
        <v>0.20235479185510746</v>
      </c>
      <c r="AL92" s="11">
        <f t="shared" si="24"/>
        <v>0.20351050064634682</v>
      </c>
      <c r="AM92" s="11">
        <f t="shared" si="24"/>
        <v>0.20463485692443464</v>
      </c>
      <c r="AN92" s="11">
        <f t="shared" si="24"/>
        <v>0.20574955550287</v>
      </c>
      <c r="AO92" s="11">
        <f t="shared" si="24"/>
        <v>0.20679253403183659</v>
      </c>
      <c r="AP92" s="11">
        <f t="shared" si="24"/>
        <v>0.20780759818322184</v>
      </c>
      <c r="AQ92" s="11">
        <f t="shared" si="24"/>
        <v>0.20879333496962801</v>
      </c>
      <c r="AR92" s="11">
        <f t="shared" si="24"/>
        <v>0.20974381162922356</v>
      </c>
      <c r="AS92" s="11">
        <f t="shared" si="24"/>
        <v>0.21065386591021421</v>
      </c>
      <c r="AT92" s="11">
        <f t="shared" si="24"/>
        <v>0.21152675255097797</v>
      </c>
      <c r="AU92" s="11">
        <f t="shared" si="24"/>
        <v>0.21236366222602593</v>
      </c>
      <c r="AV92" s="11">
        <f t="shared" si="24"/>
        <v>0.21316453256381807</v>
      </c>
      <c r="AW92" s="11">
        <f t="shared" si="24"/>
        <v>0.21392625442745239</v>
      </c>
      <c r="AX92" s="11">
        <f t="shared" si="24"/>
        <v>0.21464832616370616</v>
      </c>
      <c r="AY92" s="11">
        <f t="shared" si="24"/>
        <v>0.21532922642600338</v>
      </c>
      <c r="AZ92" s="11">
        <f t="shared" si="24"/>
        <v>0.21597075935134363</v>
      </c>
      <c r="BA92" s="11">
        <f t="shared" si="24"/>
        <v>0.21657222191774222</v>
      </c>
      <c r="BB92" s="11">
        <f t="shared" si="24"/>
        <v>0.21713289473299166</v>
      </c>
    </row>
    <row r="93" spans="1:55" ht="14.4" x14ac:dyDescent="0.3">
      <c r="A93" s="28"/>
      <c r="B93" s="364"/>
      <c r="C93" s="9" t="s">
        <v>254</v>
      </c>
      <c r="E93" s="382"/>
      <c r="F93" s="382"/>
      <c r="G93" s="11">
        <f t="shared" ref="G93:BB93" si="25">G43/G9</f>
        <v>2.200348772439735E-2</v>
      </c>
      <c r="H93" s="11">
        <f t="shared" si="25"/>
        <v>2.3288398274357115E-2</v>
      </c>
      <c r="I93" s="11">
        <f t="shared" si="25"/>
        <v>2.3272815860787579E-2</v>
      </c>
      <c r="J93" s="11">
        <f t="shared" si="25"/>
        <v>2.4610670759199215E-2</v>
      </c>
      <c r="K93" s="11">
        <f t="shared" si="25"/>
        <v>2.5162360612154086E-2</v>
      </c>
      <c r="L93" s="11">
        <f t="shared" si="25"/>
        <v>2.5738787073828689E-2</v>
      </c>
      <c r="M93" s="11">
        <f t="shared" si="25"/>
        <v>2.6242813132842727E-2</v>
      </c>
      <c r="N93" s="11">
        <f t="shared" si="25"/>
        <v>2.6839815337003546E-2</v>
      </c>
      <c r="O93" s="11">
        <f t="shared" si="25"/>
        <v>2.6443635649168042E-2</v>
      </c>
      <c r="P93" s="11">
        <f t="shared" si="25"/>
        <v>2.6871507794578683E-2</v>
      </c>
      <c r="Q93" s="11">
        <f t="shared" si="25"/>
        <v>2.7399621271201623E-2</v>
      </c>
      <c r="R93" s="11">
        <f t="shared" si="25"/>
        <v>2.7765703923994581E-2</v>
      </c>
      <c r="S93" s="11">
        <f t="shared" si="25"/>
        <v>2.8111242068094337E-2</v>
      </c>
      <c r="T93" s="11">
        <f t="shared" si="25"/>
        <v>2.8441196160996204E-2</v>
      </c>
      <c r="U93" s="11">
        <f t="shared" si="25"/>
        <v>2.8715566327686917E-2</v>
      </c>
      <c r="V93" s="11">
        <f t="shared" si="25"/>
        <v>2.8945042882569286E-2</v>
      </c>
      <c r="W93" s="11">
        <f t="shared" si="25"/>
        <v>2.9302591022641468E-2</v>
      </c>
      <c r="X93" s="11">
        <f t="shared" si="25"/>
        <v>2.9627157384443818E-2</v>
      </c>
      <c r="Y93" s="11">
        <f t="shared" si="25"/>
        <v>2.9928504928326303E-2</v>
      </c>
      <c r="Z93" s="11">
        <f t="shared" si="25"/>
        <v>3.0215880636690343E-2</v>
      </c>
      <c r="AA93" s="11">
        <f t="shared" si="25"/>
        <v>3.0453827203886161E-2</v>
      </c>
      <c r="AB93" s="11">
        <f t="shared" si="25"/>
        <v>3.0726167609380628E-2</v>
      </c>
      <c r="AC93" s="11">
        <f t="shared" si="25"/>
        <v>3.096951519286522E-2</v>
      </c>
      <c r="AD93" s="11">
        <f t="shared" si="25"/>
        <v>3.1259186777528897E-2</v>
      </c>
      <c r="AE93" s="11">
        <f t="shared" si="25"/>
        <v>3.1501480460676412E-2</v>
      </c>
      <c r="AF93" s="11">
        <f t="shared" si="25"/>
        <v>3.1731857510598163E-2</v>
      </c>
      <c r="AG93" s="11">
        <f t="shared" si="25"/>
        <v>3.1960758605366943E-2</v>
      </c>
      <c r="AH93" s="11">
        <f t="shared" si="25"/>
        <v>3.2184315017312753E-2</v>
      </c>
      <c r="AI93" s="11">
        <f t="shared" si="25"/>
        <v>3.24242909887721E-2</v>
      </c>
      <c r="AJ93" s="11">
        <f t="shared" si="25"/>
        <v>3.2641558341510758E-2</v>
      </c>
      <c r="AK93" s="11">
        <f t="shared" si="25"/>
        <v>3.2852655783229816E-2</v>
      </c>
      <c r="AL93" s="11">
        <f t="shared" si="25"/>
        <v>3.3061108374565044E-2</v>
      </c>
      <c r="AM93" s="11">
        <f t="shared" si="25"/>
        <v>3.3263542611533595E-2</v>
      </c>
      <c r="AN93" s="11">
        <f t="shared" si="25"/>
        <v>3.3463429784600131E-2</v>
      </c>
      <c r="AO93" s="11">
        <f t="shared" si="25"/>
        <v>3.3650768028107583E-2</v>
      </c>
      <c r="AP93" s="11">
        <f t="shared" si="25"/>
        <v>3.3832587000212785E-2</v>
      </c>
      <c r="AQ93" s="11">
        <f t="shared" si="25"/>
        <v>3.4008644013204505E-2</v>
      </c>
      <c r="AR93" s="11">
        <f t="shared" si="25"/>
        <v>3.4177969837199229E-2</v>
      </c>
      <c r="AS93" s="11">
        <f t="shared" si="25"/>
        <v>3.4339720155167307E-2</v>
      </c>
      <c r="AT93" s="11">
        <f t="shared" si="25"/>
        <v>3.4494406366879997E-2</v>
      </c>
      <c r="AU93" s="11">
        <f t="shared" si="25"/>
        <v>3.4642208841744682E-2</v>
      </c>
      <c r="AV93" s="11">
        <f t="shared" si="25"/>
        <v>3.4783107387641198E-2</v>
      </c>
      <c r="AW93" s="11">
        <f t="shared" si="25"/>
        <v>3.4916592769028247E-2</v>
      </c>
      <c r="AX93" s="11">
        <f t="shared" si="25"/>
        <v>3.5042576567342353E-2</v>
      </c>
      <c r="AY93" s="11">
        <f t="shared" si="25"/>
        <v>3.5160807625044796E-2</v>
      </c>
      <c r="AZ93" s="11">
        <f t="shared" si="25"/>
        <v>3.527157079872776E-2</v>
      </c>
      <c r="BA93" s="11">
        <f t="shared" si="25"/>
        <v>3.537474887140226E-2</v>
      </c>
      <c r="BB93" s="11">
        <f t="shared" si="25"/>
        <v>3.5470223267857329E-2</v>
      </c>
    </row>
    <row r="94" spans="1:55" ht="14.4" x14ac:dyDescent="0.3">
      <c r="A94" s="28"/>
      <c r="B94" s="364"/>
      <c r="C94" s="9" t="s">
        <v>255</v>
      </c>
      <c r="E94" s="382"/>
      <c r="F94" s="382"/>
      <c r="G94" s="11">
        <f t="shared" ref="G94:BB94" si="26">G44/G10</f>
        <v>3.9235585260457926E-3</v>
      </c>
      <c r="H94" s="11">
        <f t="shared" si="26"/>
        <v>4.1889075387032395E-3</v>
      </c>
      <c r="I94" s="11">
        <f t="shared" si="26"/>
        <v>4.2158034958889616E-3</v>
      </c>
      <c r="J94" s="11">
        <f t="shared" si="26"/>
        <v>4.5040507050575114E-3</v>
      </c>
      <c r="K94" s="11">
        <f t="shared" si="26"/>
        <v>4.6467194837151466E-3</v>
      </c>
      <c r="L94" s="11">
        <f t="shared" si="26"/>
        <v>4.7982125030713828E-3</v>
      </c>
      <c r="M94" s="11">
        <f t="shared" si="26"/>
        <v>4.9387442100093685E-3</v>
      </c>
      <c r="N94" s="11">
        <f t="shared" si="26"/>
        <v>5.1028933100309253E-3</v>
      </c>
      <c r="O94" s="11">
        <f t="shared" si="26"/>
        <v>5.052958129102815E-3</v>
      </c>
      <c r="P94" s="11">
        <f t="shared" si="26"/>
        <v>5.1833529685238015E-3</v>
      </c>
      <c r="Q94" s="11">
        <f t="shared" si="26"/>
        <v>5.3397292544755124E-3</v>
      </c>
      <c r="R94" s="11">
        <f t="shared" si="26"/>
        <v>5.4626639689749719E-3</v>
      </c>
      <c r="S94" s="11">
        <f t="shared" si="26"/>
        <v>5.5834498303172038E-3</v>
      </c>
      <c r="T94" s="11">
        <f t="shared" si="26"/>
        <v>5.7030791857402971E-3</v>
      </c>
      <c r="U94" s="11">
        <f t="shared" si="26"/>
        <v>5.8114004172249659E-3</v>
      </c>
      <c r="V94" s="11">
        <f t="shared" si="26"/>
        <v>5.9103404946430514E-3</v>
      </c>
      <c r="W94" s="11">
        <f t="shared" si="26"/>
        <v>6.0444080211808655E-3</v>
      </c>
      <c r="X94" s="11">
        <f t="shared" si="26"/>
        <v>6.1729491611440309E-3</v>
      </c>
      <c r="Y94" s="11">
        <f t="shared" si="26"/>
        <v>6.298158675338646E-3</v>
      </c>
      <c r="Z94" s="11">
        <f t="shared" si="26"/>
        <v>6.4223222202690472E-3</v>
      </c>
      <c r="AA94" s="11">
        <f t="shared" si="26"/>
        <v>6.535176850315085E-3</v>
      </c>
      <c r="AB94" s="11">
        <f t="shared" si="26"/>
        <v>6.6603958591838954E-3</v>
      </c>
      <c r="AC94" s="11">
        <f t="shared" si="26"/>
        <v>6.7798468434469208E-3</v>
      </c>
      <c r="AD94" s="11">
        <f t="shared" si="26"/>
        <v>6.916051156270444E-3</v>
      </c>
      <c r="AE94" s="11">
        <f t="shared" si="26"/>
        <v>7.0408675507670762E-3</v>
      </c>
      <c r="AF94" s="11">
        <f t="shared" si="26"/>
        <v>7.1647744512062491E-3</v>
      </c>
      <c r="AG94" s="11">
        <f t="shared" si="26"/>
        <v>7.2910503513483969E-3</v>
      </c>
      <c r="AH94" s="11">
        <f t="shared" si="26"/>
        <v>7.4185013991798733E-3</v>
      </c>
      <c r="AI94" s="11">
        <f t="shared" si="26"/>
        <v>7.5545543074587778E-3</v>
      </c>
      <c r="AJ94" s="11">
        <f t="shared" si="26"/>
        <v>7.6861435029953106E-3</v>
      </c>
      <c r="AK94" s="11">
        <f t="shared" si="26"/>
        <v>7.8187890254893099E-3</v>
      </c>
      <c r="AL94" s="11">
        <f t="shared" si="26"/>
        <v>7.953791918608271E-3</v>
      </c>
      <c r="AM94" s="11">
        <f t="shared" si="26"/>
        <v>8.0900104290358796E-3</v>
      </c>
      <c r="AN94" s="11">
        <f t="shared" si="26"/>
        <v>8.2287906746459777E-3</v>
      </c>
      <c r="AO94" s="11">
        <f t="shared" si="26"/>
        <v>8.3663834097188611E-3</v>
      </c>
      <c r="AP94" s="11">
        <f t="shared" si="26"/>
        <v>8.5054403328272427E-3</v>
      </c>
      <c r="AQ94" s="11">
        <f t="shared" si="26"/>
        <v>8.6459128975213771E-3</v>
      </c>
      <c r="AR94" s="11">
        <f t="shared" si="26"/>
        <v>8.7874469456968671E-3</v>
      </c>
      <c r="AS94" s="11">
        <f t="shared" si="26"/>
        <v>8.9297086940625867E-3</v>
      </c>
      <c r="AT94" s="11">
        <f t="shared" si="26"/>
        <v>9.07291867429523E-3</v>
      </c>
      <c r="AU94" s="11">
        <f t="shared" si="26"/>
        <v>9.2171711139581794E-3</v>
      </c>
      <c r="AV94" s="11">
        <f t="shared" si="26"/>
        <v>9.3624777565843049E-3</v>
      </c>
      <c r="AW94" s="11">
        <f t="shared" si="26"/>
        <v>9.508625996305772E-3</v>
      </c>
      <c r="AX94" s="11">
        <f t="shared" si="26"/>
        <v>9.6555812987979273E-3</v>
      </c>
      <c r="AY94" s="11">
        <f t="shared" si="26"/>
        <v>9.8032277559118343E-3</v>
      </c>
      <c r="AZ94" s="11">
        <f t="shared" si="26"/>
        <v>9.9517013582611519E-3</v>
      </c>
      <c r="BA94" s="11">
        <f t="shared" si="26"/>
        <v>1.0100948578027456E-2</v>
      </c>
      <c r="BB94" s="11">
        <f t="shared" si="26"/>
        <v>1.0250909888748836E-2</v>
      </c>
    </row>
    <row r="95" spans="1:55" ht="14.4" x14ac:dyDescent="0.3">
      <c r="A95" s="28"/>
      <c r="B95" s="364"/>
      <c r="C95" s="9" t="s">
        <v>256</v>
      </c>
      <c r="E95" s="382"/>
      <c r="F95" s="382"/>
      <c r="G95" s="11">
        <f t="shared" ref="G95:BB95" si="27">G45/G11</f>
        <v>4.4557793603859398E-2</v>
      </c>
      <c r="H95" s="11">
        <f t="shared" si="27"/>
        <v>4.7230826358345933E-2</v>
      </c>
      <c r="I95" s="11">
        <f t="shared" si="27"/>
        <v>4.726742712341786E-2</v>
      </c>
      <c r="J95" s="11">
        <f t="shared" si="27"/>
        <v>5.0063402987943616E-2</v>
      </c>
      <c r="K95" s="11">
        <f t="shared" si="27"/>
        <v>5.1263982756287033E-2</v>
      </c>
      <c r="L95" s="11">
        <f t="shared" si="27"/>
        <v>5.2519669545230907E-2</v>
      </c>
      <c r="M95" s="11">
        <f t="shared" si="27"/>
        <v>5.3631456719670408E-2</v>
      </c>
      <c r="N95" s="11">
        <f t="shared" si="27"/>
        <v>5.4938729124067352E-2</v>
      </c>
      <c r="O95" s="11">
        <f t="shared" si="27"/>
        <v>5.4202514347745964E-2</v>
      </c>
      <c r="P95" s="11">
        <f t="shared" si="27"/>
        <v>5.5165712848991515E-2</v>
      </c>
      <c r="Q95" s="11">
        <f t="shared" si="27"/>
        <v>5.6340056922194487E-2</v>
      </c>
      <c r="R95" s="11">
        <f t="shared" si="27"/>
        <v>5.7182704240860742E-2</v>
      </c>
      <c r="S95" s="11">
        <f t="shared" si="27"/>
        <v>5.7985731108936671E-2</v>
      </c>
      <c r="T95" s="11">
        <f t="shared" si="27"/>
        <v>5.8759238065201384E-2</v>
      </c>
      <c r="U95" s="11">
        <f t="shared" si="27"/>
        <v>5.9419454682164627E-2</v>
      </c>
      <c r="V95" s="11">
        <f t="shared" si="27"/>
        <v>5.9988027439823635E-2</v>
      </c>
      <c r="W95" s="11">
        <f t="shared" si="27"/>
        <v>6.0827477887844456E-2</v>
      </c>
      <c r="X95" s="11">
        <f t="shared" si="27"/>
        <v>6.1600824103536206E-2</v>
      </c>
      <c r="Y95" s="11">
        <f t="shared" si="27"/>
        <v>6.2328219034447692E-2</v>
      </c>
      <c r="Z95" s="11">
        <f t="shared" si="27"/>
        <v>6.3028919075908879E-2</v>
      </c>
      <c r="AA95" s="11">
        <f t="shared" si="27"/>
        <v>6.3627613997549487E-2</v>
      </c>
      <c r="AB95" s="11">
        <f t="shared" si="27"/>
        <v>6.4301693261680559E-2</v>
      </c>
      <c r="AC95" s="11">
        <f t="shared" si="27"/>
        <v>6.4916741058391306E-2</v>
      </c>
      <c r="AD95" s="11">
        <f t="shared" si="27"/>
        <v>6.5633147143792286E-2</v>
      </c>
      <c r="AE95" s="11">
        <f t="shared" si="27"/>
        <v>6.6251161671731784E-2</v>
      </c>
      <c r="AF95" s="11">
        <f t="shared" si="27"/>
        <v>6.6846173498339961E-2</v>
      </c>
      <c r="AG95" s="11">
        <f t="shared" si="27"/>
        <v>6.7440497815231357E-2</v>
      </c>
      <c r="AH95" s="11">
        <f t="shared" si="27"/>
        <v>6.8025818314987899E-2</v>
      </c>
      <c r="AI95" s="11">
        <f t="shared" si="27"/>
        <v>6.8649147678298425E-2</v>
      </c>
      <c r="AJ95" s="11">
        <f t="shared" si="27"/>
        <v>6.9226028685391697E-2</v>
      </c>
      <c r="AK95" s="11">
        <f t="shared" si="27"/>
        <v>6.9792078172181929E-2</v>
      </c>
      <c r="AL95" s="11">
        <f t="shared" si="27"/>
        <v>7.0354933888513188E-2</v>
      </c>
      <c r="AM95" s="11">
        <f t="shared" si="27"/>
        <v>7.0907248978267778E-2</v>
      </c>
      <c r="AN95" s="11">
        <f t="shared" si="27"/>
        <v>7.1456587429190477E-2</v>
      </c>
      <c r="AO95" s="11">
        <f t="shared" si="27"/>
        <v>7.1981017127107069E-2</v>
      </c>
      <c r="AP95" s="11">
        <f t="shared" si="27"/>
        <v>7.2495861741871559E-2</v>
      </c>
      <c r="AQ95" s="11">
        <f t="shared" si="27"/>
        <v>7.3000558868626678E-2</v>
      </c>
      <c r="AR95" s="11">
        <f t="shared" si="27"/>
        <v>7.3492933120044138E-2</v>
      </c>
      <c r="AS95" s="11">
        <f t="shared" si="27"/>
        <v>7.3971063420300714E-2</v>
      </c>
      <c r="AT95" s="11">
        <f t="shared" si="27"/>
        <v>7.4436024715870061E-2</v>
      </c>
      <c r="AU95" s="11">
        <f t="shared" si="27"/>
        <v>7.4888165666683271E-2</v>
      </c>
      <c r="AV95" s="11">
        <f t="shared" si="27"/>
        <v>7.5327390578222811E-2</v>
      </c>
      <c r="AW95" s="11">
        <f t="shared" si="27"/>
        <v>7.5752505967867936E-2</v>
      </c>
      <c r="AX95" s="11">
        <f t="shared" si="27"/>
        <v>7.6163252153125596E-2</v>
      </c>
      <c r="AY95" s="11">
        <f t="shared" si="27"/>
        <v>7.6558999646648571E-2</v>
      </c>
      <c r="AZ95" s="11">
        <f t="shared" si="27"/>
        <v>7.6940324927387657E-2</v>
      </c>
      <c r="BA95" s="11">
        <f t="shared" si="27"/>
        <v>7.7306898901878585E-2</v>
      </c>
      <c r="BB95" s="11">
        <f t="shared" si="27"/>
        <v>7.7658385773350491E-2</v>
      </c>
    </row>
    <row r="96" spans="1:55" ht="14.4" x14ac:dyDescent="0.3">
      <c r="A96" s="28"/>
      <c r="B96" s="364"/>
      <c r="C96" s="9" t="s">
        <v>257</v>
      </c>
      <c r="E96" s="382"/>
      <c r="F96" s="382"/>
      <c r="G96" s="362">
        <f>Tendencial!T67</f>
        <v>1.2804467290434315E-2</v>
      </c>
      <c r="H96" s="362">
        <f>((H$1-$G$1)*($N96-$G96))/(2030-2023)+$G96</f>
        <v>1.7403829106086555E-2</v>
      </c>
      <c r="I96" s="362">
        <f t="shared" ref="I96:M96" si="28">((I$1-$G$1)*($N96-$G96))/(2030-2023)+$G96</f>
        <v>2.2003190921738795E-2</v>
      </c>
      <c r="J96" s="362">
        <f t="shared" si="28"/>
        <v>2.6602552737391039E-2</v>
      </c>
      <c r="K96" s="362">
        <f t="shared" si="28"/>
        <v>3.1201914553043279E-2</v>
      </c>
      <c r="L96" s="362">
        <f t="shared" si="28"/>
        <v>3.5801276368695518E-2</v>
      </c>
      <c r="M96" s="362">
        <f t="shared" si="28"/>
        <v>4.0400638184347762E-2</v>
      </c>
      <c r="N96" s="362">
        <f>45000/1000000</f>
        <v>4.4999999999999998E-2</v>
      </c>
      <c r="O96" s="362">
        <f>((O$1-$N$1)*($BB96-$N96))/(2070-2030)+$N96</f>
        <v>4.5124999999999998E-2</v>
      </c>
      <c r="P96" s="362">
        <f t="shared" ref="P96:BA96" si="29">((P$1-$N$1)*($BB96-$N96))/(2070-2030)+$N96</f>
        <v>4.5249999999999999E-2</v>
      </c>
      <c r="Q96" s="362">
        <f t="shared" si="29"/>
        <v>4.5374999999999999E-2</v>
      </c>
      <c r="R96" s="362">
        <f t="shared" si="29"/>
        <v>4.5499999999999999E-2</v>
      </c>
      <c r="S96" s="362">
        <f t="shared" si="29"/>
        <v>4.5624999999999999E-2</v>
      </c>
      <c r="T96" s="362">
        <f t="shared" si="29"/>
        <v>4.5749999999999999E-2</v>
      </c>
      <c r="U96" s="362">
        <f t="shared" si="29"/>
        <v>4.5874999999999999E-2</v>
      </c>
      <c r="V96" s="362">
        <f t="shared" si="29"/>
        <v>4.5999999999999999E-2</v>
      </c>
      <c r="W96" s="362">
        <f t="shared" si="29"/>
        <v>4.6124999999999999E-2</v>
      </c>
      <c r="X96" s="362">
        <f t="shared" si="29"/>
        <v>4.6249999999999999E-2</v>
      </c>
      <c r="Y96" s="362">
        <f t="shared" si="29"/>
        <v>4.6375E-2</v>
      </c>
      <c r="Z96" s="362">
        <f t="shared" si="29"/>
        <v>4.65E-2</v>
      </c>
      <c r="AA96" s="362">
        <f t="shared" si="29"/>
        <v>4.6625E-2</v>
      </c>
      <c r="AB96" s="362">
        <f t="shared" si="29"/>
        <v>4.675E-2</v>
      </c>
      <c r="AC96" s="362">
        <f t="shared" si="29"/>
        <v>4.6875E-2</v>
      </c>
      <c r="AD96" s="362">
        <f t="shared" si="29"/>
        <v>4.7E-2</v>
      </c>
      <c r="AE96" s="362">
        <f t="shared" si="29"/>
        <v>4.7125E-2</v>
      </c>
      <c r="AF96" s="362">
        <f t="shared" si="29"/>
        <v>4.725E-2</v>
      </c>
      <c r="AG96" s="362">
        <f t="shared" si="29"/>
        <v>4.7375E-2</v>
      </c>
      <c r="AH96" s="362">
        <f t="shared" si="29"/>
        <v>4.7500000000000001E-2</v>
      </c>
      <c r="AI96" s="362">
        <f t="shared" si="29"/>
        <v>4.7625000000000001E-2</v>
      </c>
      <c r="AJ96" s="362">
        <f t="shared" si="29"/>
        <v>4.7750000000000001E-2</v>
      </c>
      <c r="AK96" s="362">
        <f t="shared" si="29"/>
        <v>4.7875000000000001E-2</v>
      </c>
      <c r="AL96" s="362">
        <f t="shared" si="29"/>
        <v>4.8000000000000001E-2</v>
      </c>
      <c r="AM96" s="362">
        <f t="shared" si="29"/>
        <v>4.8125000000000001E-2</v>
      </c>
      <c r="AN96" s="362">
        <f t="shared" si="29"/>
        <v>4.8250000000000001E-2</v>
      </c>
      <c r="AO96" s="362">
        <f t="shared" si="29"/>
        <v>4.8375000000000001E-2</v>
      </c>
      <c r="AP96" s="362">
        <f t="shared" si="29"/>
        <v>4.8500000000000001E-2</v>
      </c>
      <c r="AQ96" s="362">
        <f t="shared" si="29"/>
        <v>4.8625000000000002E-2</v>
      </c>
      <c r="AR96" s="362">
        <f t="shared" si="29"/>
        <v>4.8750000000000002E-2</v>
      </c>
      <c r="AS96" s="362">
        <f t="shared" si="29"/>
        <v>4.8875000000000002E-2</v>
      </c>
      <c r="AT96" s="362">
        <f t="shared" si="29"/>
        <v>4.9000000000000002E-2</v>
      </c>
      <c r="AU96" s="362">
        <f t="shared" si="29"/>
        <v>4.9125000000000002E-2</v>
      </c>
      <c r="AV96" s="362">
        <f t="shared" si="29"/>
        <v>4.9250000000000002E-2</v>
      </c>
      <c r="AW96" s="362">
        <f t="shared" si="29"/>
        <v>4.9375000000000002E-2</v>
      </c>
      <c r="AX96" s="362">
        <f t="shared" si="29"/>
        <v>4.9500000000000002E-2</v>
      </c>
      <c r="AY96" s="362">
        <f t="shared" si="29"/>
        <v>4.9625000000000002E-2</v>
      </c>
      <c r="AZ96" s="362">
        <f t="shared" si="29"/>
        <v>4.9750000000000003E-2</v>
      </c>
      <c r="BA96" s="362">
        <f t="shared" si="29"/>
        <v>4.9875000000000003E-2</v>
      </c>
      <c r="BB96" s="362">
        <f>0.05</f>
        <v>0.05</v>
      </c>
    </row>
    <row r="97" spans="1:55" ht="14.4" x14ac:dyDescent="0.3">
      <c r="A97" s="28"/>
      <c r="B97" s="364"/>
      <c r="C97" s="9" t="s">
        <v>258</v>
      </c>
      <c r="E97" s="382"/>
      <c r="F97" s="382"/>
      <c r="G97" s="11">
        <f t="shared" ref="G97:BB97" si="30">G47/G13</f>
        <v>3.5446846750857929E-2</v>
      </c>
      <c r="H97" s="11">
        <f t="shared" si="30"/>
        <v>3.7503847369052837E-2</v>
      </c>
      <c r="I97" s="11">
        <f t="shared" si="30"/>
        <v>3.7466211684397975E-2</v>
      </c>
      <c r="J97" s="11">
        <f t="shared" si="30"/>
        <v>3.9607378916014964E-2</v>
      </c>
      <c r="K97" s="11">
        <f t="shared" si="30"/>
        <v>4.0482795524804487E-2</v>
      </c>
      <c r="L97" s="11">
        <f t="shared" si="30"/>
        <v>4.139798329673685E-2</v>
      </c>
      <c r="M97" s="11">
        <f t="shared" si="30"/>
        <v>4.2196727656404913E-2</v>
      </c>
      <c r="N97" s="11">
        <f t="shared" si="30"/>
        <v>4.3145034225998941E-2</v>
      </c>
      <c r="O97" s="11">
        <f t="shared" si="30"/>
        <v>4.2496932053726726E-2</v>
      </c>
      <c r="P97" s="11">
        <f t="shared" si="30"/>
        <v>4.3173892949011056E-2</v>
      </c>
      <c r="Q97" s="11">
        <f t="shared" si="30"/>
        <v>4.4012097646490229E-2</v>
      </c>
      <c r="R97" s="11">
        <f t="shared" si="30"/>
        <v>4.4590170817776074E-2</v>
      </c>
      <c r="S97" s="11">
        <f t="shared" si="30"/>
        <v>4.5135518976950673E-2</v>
      </c>
      <c r="T97" s="11">
        <f t="shared" si="30"/>
        <v>4.565614177766357E-2</v>
      </c>
      <c r="U97" s="11">
        <f t="shared" si="30"/>
        <v>4.6087847620310443E-2</v>
      </c>
      <c r="V97" s="11">
        <f t="shared" si="30"/>
        <v>4.6447853127519895E-2</v>
      </c>
      <c r="W97" s="11">
        <f t="shared" si="30"/>
        <v>4.7013811784894936E-2</v>
      </c>
      <c r="X97" s="11">
        <f t="shared" si="30"/>
        <v>4.752719277743845E-2</v>
      </c>
      <c r="Y97" s="11">
        <f t="shared" si="30"/>
        <v>4.8003696428711294E-2</v>
      </c>
      <c r="Z97" s="11">
        <f t="shared" si="30"/>
        <v>4.845818484656618E-2</v>
      </c>
      <c r="AA97" s="11">
        <f t="shared" si="30"/>
        <v>4.8833793523253941E-2</v>
      </c>
      <c r="AB97" s="11">
        <f t="shared" si="30"/>
        <v>4.9265018757481745E-2</v>
      </c>
      <c r="AC97" s="11">
        <f t="shared" si="30"/>
        <v>4.9650183446416279E-2</v>
      </c>
      <c r="AD97" s="11">
        <f t="shared" si="30"/>
        <v>5.0110109258907271E-2</v>
      </c>
      <c r="AE97" s="11">
        <f t="shared" si="30"/>
        <v>5.049451124262648E-2</v>
      </c>
      <c r="AF97" s="11">
        <f t="shared" si="30"/>
        <v>5.086028219623303E-2</v>
      </c>
      <c r="AG97" s="11">
        <f t="shared" si="30"/>
        <v>5.1224176731378038E-2</v>
      </c>
      <c r="AH97" s="11">
        <f t="shared" si="30"/>
        <v>5.1579999011932331E-2</v>
      </c>
      <c r="AI97" s="11">
        <f t="shared" si="30"/>
        <v>5.1962660178793321E-2</v>
      </c>
      <c r="AJ97" s="11">
        <f t="shared" si="30"/>
        <v>5.2309419790977578E-2</v>
      </c>
      <c r="AK97" s="11">
        <f t="shared" si="30"/>
        <v>5.2646808368298569E-2</v>
      </c>
      <c r="AL97" s="11">
        <f t="shared" si="30"/>
        <v>5.2980486204926625E-2</v>
      </c>
      <c r="AM97" s="11">
        <f t="shared" si="30"/>
        <v>5.3305049980655647E-2</v>
      </c>
      <c r="AN97" s="11">
        <f t="shared" si="30"/>
        <v>5.3626073160088328E-2</v>
      </c>
      <c r="AO97" s="11">
        <f t="shared" si="30"/>
        <v>5.3927519849847928E-2</v>
      </c>
      <c r="AP97" s="11">
        <f t="shared" si="30"/>
        <v>5.422066890231627E-2</v>
      </c>
      <c r="AQ97" s="11">
        <f t="shared" si="30"/>
        <v>5.4505135365580736E-2</v>
      </c>
      <c r="AR97" s="11">
        <f t="shared" si="30"/>
        <v>5.4779368065683474E-2</v>
      </c>
      <c r="AS97" s="11">
        <f t="shared" si="30"/>
        <v>5.5042015127723873E-2</v>
      </c>
      <c r="AT97" s="11">
        <f t="shared" si="30"/>
        <v>5.5293898875898952E-2</v>
      </c>
      <c r="AU97" s="11">
        <f t="shared" si="30"/>
        <v>5.5535310084038635E-2</v>
      </c>
      <c r="AV97" s="11">
        <f t="shared" si="30"/>
        <v>5.5766217135794625E-2</v>
      </c>
      <c r="AW97" s="11">
        <f t="shared" si="30"/>
        <v>5.5985802775975584E-2</v>
      </c>
      <c r="AX97" s="11">
        <f t="shared" si="30"/>
        <v>5.6193924262459435E-2</v>
      </c>
      <c r="AY97" s="11">
        <f t="shared" si="30"/>
        <v>5.6390176812018987E-2</v>
      </c>
      <c r="AZ97" s="11">
        <f t="shared" si="30"/>
        <v>5.6575015529470044E-2</v>
      </c>
      <c r="BA97" s="11">
        <f t="shared" si="30"/>
        <v>5.6748249353532433E-2</v>
      </c>
      <c r="BB97" s="11">
        <f t="shared" si="30"/>
        <v>5.6909684268669977E-2</v>
      </c>
    </row>
    <row r="98" spans="1:55" ht="14.4" x14ac:dyDescent="0.3">
      <c r="A98" s="28"/>
      <c r="B98" s="364"/>
      <c r="C98" s="9" t="s">
        <v>259</v>
      </c>
      <c r="E98" s="382"/>
      <c r="F98" s="382"/>
      <c r="G98" s="11">
        <f t="shared" ref="G98:BB98" si="31">G48/G14</f>
        <v>0.14541205997338172</v>
      </c>
      <c r="H98" s="11">
        <f t="shared" si="31"/>
        <v>0.15395453274484105</v>
      </c>
      <c r="I98" s="11">
        <f t="shared" si="31"/>
        <v>0.15388230683150206</v>
      </c>
      <c r="J98" s="11">
        <f t="shared" si="31"/>
        <v>0.16281740440943268</v>
      </c>
      <c r="K98" s="11">
        <f t="shared" si="31"/>
        <v>0.16654283840487227</v>
      </c>
      <c r="L98" s="11">
        <f t="shared" si="31"/>
        <v>0.1704475569512745</v>
      </c>
      <c r="M98" s="11">
        <f t="shared" si="31"/>
        <v>0.17388243137901144</v>
      </c>
      <c r="N98" s="11">
        <f t="shared" si="31"/>
        <v>0.1779556938355428</v>
      </c>
      <c r="O98" s="11">
        <f t="shared" si="31"/>
        <v>0.17535823819238733</v>
      </c>
      <c r="P98" s="11">
        <f t="shared" si="31"/>
        <v>0.1783094073660203</v>
      </c>
      <c r="Q98" s="11">
        <f t="shared" si="31"/>
        <v>0.18195027752135387</v>
      </c>
      <c r="R98" s="11">
        <f t="shared" si="31"/>
        <v>0.18451039676099074</v>
      </c>
      <c r="S98" s="11">
        <f t="shared" si="31"/>
        <v>0.18694271570145096</v>
      </c>
      <c r="T98" s="11">
        <f t="shared" si="31"/>
        <v>0.1892803930892778</v>
      </c>
      <c r="U98" s="11">
        <f t="shared" si="31"/>
        <v>0.19125020787977379</v>
      </c>
      <c r="V98" s="11">
        <f t="shared" si="31"/>
        <v>0.19292291137968343</v>
      </c>
      <c r="W98" s="11">
        <f t="shared" si="31"/>
        <v>0.19548201592199632</v>
      </c>
      <c r="X98" s="11">
        <f t="shared" si="31"/>
        <v>0.1978279370309694</v>
      </c>
      <c r="Y98" s="11">
        <f t="shared" si="31"/>
        <v>0.20002654934125369</v>
      </c>
      <c r="Z98" s="11">
        <f t="shared" si="31"/>
        <v>0.20214086127196437</v>
      </c>
      <c r="AA98" s="11">
        <f t="shared" si="31"/>
        <v>0.20392488554308533</v>
      </c>
      <c r="AB98" s="11">
        <f t="shared" si="31"/>
        <v>0.20595843293712535</v>
      </c>
      <c r="AC98" s="11">
        <f t="shared" si="31"/>
        <v>0.20780237350212657</v>
      </c>
      <c r="AD98" s="11">
        <f t="shared" si="31"/>
        <v>0.20998137274649487</v>
      </c>
      <c r="AE98" s="11">
        <f t="shared" si="31"/>
        <v>0.21184230536488802</v>
      </c>
      <c r="AF98" s="11">
        <f t="shared" si="31"/>
        <v>0.21363181466561235</v>
      </c>
      <c r="AG98" s="11">
        <f t="shared" si="31"/>
        <v>0.21542306968672237</v>
      </c>
      <c r="AH98" s="11">
        <f t="shared" si="31"/>
        <v>0.21718897774364315</v>
      </c>
      <c r="AI98" s="11">
        <f t="shared" si="31"/>
        <v>0.21908382719111813</v>
      </c>
      <c r="AJ98" s="11">
        <f t="shared" si="31"/>
        <v>0.2208309717086889</v>
      </c>
      <c r="AK98" s="11">
        <f t="shared" si="31"/>
        <v>0.22254727141164046</v>
      </c>
      <c r="AL98" s="11">
        <f t="shared" si="31"/>
        <v>0.22425795429955178</v>
      </c>
      <c r="AM98" s="11">
        <f t="shared" si="31"/>
        <v>0.22593906668473038</v>
      </c>
      <c r="AN98" s="11">
        <f t="shared" si="31"/>
        <v>0.22761562582846076</v>
      </c>
      <c r="AO98" s="11">
        <f t="shared" si="31"/>
        <v>0.22921565978441297</v>
      </c>
      <c r="AP98" s="11">
        <f t="shared" si="31"/>
        <v>0.23078967104324269</v>
      </c>
      <c r="AQ98" s="11">
        <f t="shared" si="31"/>
        <v>0.23233595235801638</v>
      </c>
      <c r="AR98" s="11">
        <f t="shared" si="31"/>
        <v>0.23384747141837051</v>
      </c>
      <c r="AS98" s="11">
        <f t="shared" si="31"/>
        <v>0.23531801200031385</v>
      </c>
      <c r="AT98" s="11">
        <f t="shared" si="31"/>
        <v>0.23675123011277877</v>
      </c>
      <c r="AU98" s="11">
        <f t="shared" si="31"/>
        <v>0.23814838942269168</v>
      </c>
      <c r="AV98" s="11">
        <f t="shared" si="31"/>
        <v>0.23950928472073985</v>
      </c>
      <c r="AW98" s="11">
        <f t="shared" si="31"/>
        <v>0.24083007244747248</v>
      </c>
      <c r="AX98" s="11">
        <f t="shared" si="31"/>
        <v>0.24210998671966091</v>
      </c>
      <c r="AY98" s="11">
        <f t="shared" si="31"/>
        <v>0.24334702859539853</v>
      </c>
      <c r="AZ98" s="11">
        <f t="shared" si="31"/>
        <v>0.24454319145319472</v>
      </c>
      <c r="BA98" s="11">
        <f t="shared" si="31"/>
        <v>0.24569746281473037</v>
      </c>
      <c r="BB98" s="11">
        <f t="shared" si="31"/>
        <v>0.24680879993116997</v>
      </c>
    </row>
    <row r="99" spans="1:55" ht="14.4" x14ac:dyDescent="0.3">
      <c r="A99" s="28"/>
      <c r="B99" s="364"/>
      <c r="C99" s="9" t="s">
        <v>260</v>
      </c>
      <c r="E99" s="382"/>
      <c r="F99" s="382"/>
      <c r="G99" s="11">
        <f t="shared" ref="G99:BB99" si="32">G49/G15</f>
        <v>1.530548786697831E-2</v>
      </c>
      <c r="H99" s="11">
        <f t="shared" si="32"/>
        <v>1.6223030380731057E-2</v>
      </c>
      <c r="I99" s="11">
        <f t="shared" si="32"/>
        <v>1.6227869423244199E-2</v>
      </c>
      <c r="J99" s="11">
        <f t="shared" si="32"/>
        <v>1.7196034821123741E-2</v>
      </c>
      <c r="K99" s="11">
        <f t="shared" si="32"/>
        <v>1.7611140107276716E-2</v>
      </c>
      <c r="L99" s="11">
        <f t="shared" si="32"/>
        <v>1.8048056184248613E-2</v>
      </c>
      <c r="M99" s="11">
        <f t="shared" si="32"/>
        <v>1.8436563833689391E-2</v>
      </c>
      <c r="N99" s="11">
        <f t="shared" si="32"/>
        <v>1.88971119841445E-2</v>
      </c>
      <c r="O99" s="11">
        <f t="shared" si="32"/>
        <v>1.8627628734595562E-2</v>
      </c>
      <c r="P99" s="11">
        <f t="shared" si="32"/>
        <v>1.8966725475932821E-2</v>
      </c>
      <c r="Q99" s="11">
        <f t="shared" si="32"/>
        <v>1.938393160695185E-2</v>
      </c>
      <c r="R99" s="11">
        <f t="shared" si="32"/>
        <v>1.9683687703529917E-2</v>
      </c>
      <c r="S99" s="11">
        <f t="shared" si="32"/>
        <v>1.9970718766427423E-2</v>
      </c>
      <c r="T99" s="11">
        <f t="shared" si="32"/>
        <v>2.0248588464316066E-2</v>
      </c>
      <c r="U99" s="11">
        <f t="shared" si="32"/>
        <v>2.0486396020889322E-2</v>
      </c>
      <c r="V99" s="11">
        <f t="shared" si="32"/>
        <v>2.06916389288298E-2</v>
      </c>
      <c r="W99" s="11">
        <f t="shared" si="32"/>
        <v>2.099847467823477E-2</v>
      </c>
      <c r="X99" s="11">
        <f t="shared" si="32"/>
        <v>2.1282733129784074E-2</v>
      </c>
      <c r="Y99" s="11">
        <f t="shared" si="32"/>
        <v>2.1551670692685165E-2</v>
      </c>
      <c r="Z99" s="11">
        <f t="shared" si="32"/>
        <v>2.1812361190021272E-2</v>
      </c>
      <c r="AA99" s="11">
        <f t="shared" si="32"/>
        <v>2.2036217636458442E-2</v>
      </c>
      <c r="AB99" s="11">
        <f t="shared" si="32"/>
        <v>2.229023946844607E-2</v>
      </c>
      <c r="AC99" s="11">
        <f t="shared" si="32"/>
        <v>2.2523533660742921E-2</v>
      </c>
      <c r="AD99" s="11">
        <f t="shared" si="32"/>
        <v>2.279744833311435E-2</v>
      </c>
      <c r="AE99" s="11">
        <f t="shared" si="32"/>
        <v>2.3035520569163821E-2</v>
      </c>
      <c r="AF99" s="11">
        <f t="shared" si="32"/>
        <v>2.3266516322063377E-2</v>
      </c>
      <c r="AG99" s="11">
        <f t="shared" si="32"/>
        <v>2.3499070594222966E-2</v>
      </c>
      <c r="AH99" s="11">
        <f t="shared" si="32"/>
        <v>2.3729982748448383E-2</v>
      </c>
      <c r="AI99" s="11">
        <f t="shared" si="32"/>
        <v>2.3977796984923763E-2</v>
      </c>
      <c r="AJ99" s="11">
        <f t="shared" si="32"/>
        <v>2.4209391786480062E-2</v>
      </c>
      <c r="AK99" s="11">
        <f t="shared" si="32"/>
        <v>2.4438744461951611E-2</v>
      </c>
      <c r="AL99" s="11">
        <f t="shared" si="32"/>
        <v>2.4668931483209561E-2</v>
      </c>
      <c r="AM99" s="11">
        <f t="shared" si="32"/>
        <v>2.4897068506988689E-2</v>
      </c>
      <c r="AN99" s="11">
        <f t="shared" si="32"/>
        <v>2.5126238706796877E-2</v>
      </c>
      <c r="AO99" s="11">
        <f t="shared" si="32"/>
        <v>2.5347604420465474E-2</v>
      </c>
      <c r="AP99" s="11">
        <f t="shared" si="32"/>
        <v>2.5567361002376138E-2</v>
      </c>
      <c r="AQ99" s="11">
        <f t="shared" si="32"/>
        <v>2.578531174716445E-2</v>
      </c>
      <c r="AR99" s="11">
        <f t="shared" si="32"/>
        <v>2.6000590043041741E-2</v>
      </c>
      <c r="AS99" s="11">
        <f t="shared" si="32"/>
        <v>2.6212416420001161E-2</v>
      </c>
      <c r="AT99" s="11">
        <f t="shared" si="32"/>
        <v>2.6421245309565897E-2</v>
      </c>
      <c r="AU99" s="11">
        <f t="shared" si="32"/>
        <v>2.662723642177374E-2</v>
      </c>
      <c r="AV99" s="11">
        <f t="shared" si="32"/>
        <v>2.683036557284401E-2</v>
      </c>
      <c r="AW99" s="11">
        <f t="shared" si="32"/>
        <v>2.703014229975903E-2</v>
      </c>
      <c r="AX99" s="11">
        <f t="shared" si="32"/>
        <v>2.7226463695277141E-2</v>
      </c>
      <c r="AY99" s="11">
        <f t="shared" si="32"/>
        <v>2.7419065852493495E-2</v>
      </c>
      <c r="AZ99" s="11">
        <f t="shared" si="32"/>
        <v>2.7608199143800152E-2</v>
      </c>
      <c r="BA99" s="11">
        <f t="shared" si="32"/>
        <v>2.779372650789266E-2</v>
      </c>
      <c r="BB99" s="11">
        <f t="shared" si="32"/>
        <v>2.7975504627212235E-2</v>
      </c>
    </row>
    <row r="100" spans="1:55" ht="13.95" customHeight="1" x14ac:dyDescent="0.3">
      <c r="A100" s="28"/>
      <c r="B100" s="364"/>
      <c r="C100" s="9" t="s">
        <v>261</v>
      </c>
      <c r="E100" s="382"/>
      <c r="F100" s="382"/>
      <c r="G100" s="11">
        <f t="shared" ref="G100:BB100" si="33">G50/G16</f>
        <v>7.0811578637346448E-3</v>
      </c>
      <c r="H100" s="11">
        <f t="shared" si="33"/>
        <v>7.5014828555120244E-3</v>
      </c>
      <c r="I100" s="11">
        <f t="shared" si="33"/>
        <v>7.5026419548749213E-3</v>
      </c>
      <c r="J100" s="11">
        <f t="shared" si="33"/>
        <v>7.9428518279694368E-3</v>
      </c>
      <c r="K100" s="11">
        <f t="shared" si="33"/>
        <v>8.1295812134799007E-3</v>
      </c>
      <c r="L100" s="11">
        <f t="shared" si="33"/>
        <v>8.3253371300083603E-3</v>
      </c>
      <c r="M100" s="11">
        <f t="shared" si="33"/>
        <v>8.4984736968030522E-3</v>
      </c>
      <c r="N100" s="11">
        <f t="shared" si="33"/>
        <v>8.703028412641289E-3</v>
      </c>
      <c r="O100" s="11">
        <f t="shared" si="33"/>
        <v>8.5824207691675234E-3</v>
      </c>
      <c r="P100" s="11">
        <f t="shared" si="33"/>
        <v>8.7327143978991363E-3</v>
      </c>
      <c r="Q100" s="11">
        <f t="shared" si="33"/>
        <v>8.9169584892997856E-3</v>
      </c>
      <c r="R100" s="11">
        <f t="shared" si="33"/>
        <v>9.0486966871702965E-3</v>
      </c>
      <c r="S100" s="11">
        <f t="shared" si="33"/>
        <v>9.1744456267759608E-3</v>
      </c>
      <c r="T100" s="11">
        <f t="shared" si="33"/>
        <v>9.2958197430164612E-3</v>
      </c>
      <c r="U100" s="11">
        <f t="shared" si="33"/>
        <v>9.3994534627189971E-3</v>
      </c>
      <c r="V100" s="11">
        <f t="shared" si="33"/>
        <v>9.4887873892130926E-3</v>
      </c>
      <c r="W100" s="11">
        <f t="shared" si="33"/>
        <v>9.621722226031847E-3</v>
      </c>
      <c r="X100" s="11">
        <f t="shared" si="33"/>
        <v>9.7444740528004597E-3</v>
      </c>
      <c r="Y100" s="11">
        <f t="shared" si="33"/>
        <v>9.8602572934595491E-3</v>
      </c>
      <c r="Z100" s="11">
        <f t="shared" si="33"/>
        <v>9.9721498887088596E-3</v>
      </c>
      <c r="AA100" s="11">
        <f t="shared" si="33"/>
        <v>1.0068091008782689E-2</v>
      </c>
      <c r="AB100" s="11">
        <f t="shared" si="33"/>
        <v>1.0176486375500719E-2</v>
      </c>
      <c r="AC100" s="11">
        <f t="shared" si="33"/>
        <v>1.0275811446297689E-2</v>
      </c>
      <c r="AD100" s="11">
        <f t="shared" si="33"/>
        <v>1.0391795738810838E-2</v>
      </c>
      <c r="AE100" s="11">
        <f t="shared" si="33"/>
        <v>1.0492399910843421E-2</v>
      </c>
      <c r="AF100" s="11">
        <f t="shared" si="33"/>
        <v>1.0589714253522703E-2</v>
      </c>
      <c r="AG100" s="11">
        <f t="shared" si="33"/>
        <v>1.0687326883739022E-2</v>
      </c>
      <c r="AH100" s="11">
        <f t="shared" si="33"/>
        <v>1.078390489531772E-2</v>
      </c>
      <c r="AI100" s="11">
        <f t="shared" si="33"/>
        <v>1.0887028418900902E-2</v>
      </c>
      <c r="AJ100" s="11">
        <f t="shared" si="33"/>
        <v>1.0983098097119568E-2</v>
      </c>
      <c r="AK100" s="11">
        <f t="shared" si="33"/>
        <v>1.1077851426073699E-2</v>
      </c>
      <c r="AL100" s="11">
        <f t="shared" si="33"/>
        <v>1.1172525045154171E-2</v>
      </c>
      <c r="AM100" s="11">
        <f t="shared" si="33"/>
        <v>1.1265936139172601E-2</v>
      </c>
      <c r="AN100" s="11">
        <f t="shared" si="33"/>
        <v>1.1359311586201655E-2</v>
      </c>
      <c r="AO100" s="11">
        <f t="shared" si="33"/>
        <v>1.1449101834548255E-2</v>
      </c>
      <c r="AP100" s="11">
        <f t="shared" si="33"/>
        <v>1.1537787729835176E-2</v>
      </c>
      <c r="AQ100" s="11">
        <f t="shared" si="33"/>
        <v>1.1625279656059388E-2</v>
      </c>
      <c r="AR100" s="11">
        <f t="shared" si="33"/>
        <v>1.1711225086033143E-2</v>
      </c>
      <c r="AS100" s="11">
        <f t="shared" si="33"/>
        <v>1.179531109081482E-2</v>
      </c>
      <c r="AT100" s="11">
        <f t="shared" si="33"/>
        <v>1.1877711353058061E-2</v>
      </c>
      <c r="AU100" s="11">
        <f t="shared" si="33"/>
        <v>1.1958481541975702E-2</v>
      </c>
      <c r="AV100" s="11">
        <f t="shared" si="33"/>
        <v>1.2037604713446372E-2</v>
      </c>
      <c r="AW100" s="11">
        <f t="shared" si="33"/>
        <v>1.2114884012109426E-2</v>
      </c>
      <c r="AX100" s="11">
        <f t="shared" si="33"/>
        <v>1.2190274268929385E-2</v>
      </c>
      <c r="AY100" s="11">
        <f t="shared" si="33"/>
        <v>1.2263669163742389E-2</v>
      </c>
      <c r="AZ100" s="11">
        <f t="shared" si="33"/>
        <v>1.2335159528986997E-2</v>
      </c>
      <c r="BA100" s="11">
        <f t="shared" si="33"/>
        <v>1.2404687500114153E-2</v>
      </c>
      <c r="BB100" s="11">
        <f t="shared" si="33"/>
        <v>1.2472193518443159E-2</v>
      </c>
    </row>
    <row r="101" spans="1:55" ht="14.4" x14ac:dyDescent="0.3">
      <c r="A101" s="28"/>
      <c r="B101" s="364"/>
      <c r="C101" s="9" t="s">
        <v>262</v>
      </c>
      <c r="E101" s="382"/>
      <c r="F101" s="382"/>
      <c r="G101" s="11">
        <f t="shared" ref="G101:BB101" si="34">G51/G17</f>
        <v>0.33859962296013391</v>
      </c>
      <c r="H101" s="11">
        <f t="shared" si="34"/>
        <v>0.35768621504711873</v>
      </c>
      <c r="I101" s="11">
        <f t="shared" si="34"/>
        <v>0.35680837087661565</v>
      </c>
      <c r="J101" s="11">
        <f t="shared" si="34"/>
        <v>0.3766954493683583</v>
      </c>
      <c r="K101" s="11">
        <f t="shared" si="34"/>
        <v>0.38454986776844197</v>
      </c>
      <c r="L101" s="11">
        <f t="shared" si="34"/>
        <v>0.39280497478963922</v>
      </c>
      <c r="M101" s="11">
        <f t="shared" si="34"/>
        <v>0.39998045975233593</v>
      </c>
      <c r="N101" s="11">
        <f t="shared" si="34"/>
        <v>0.40860014079927559</v>
      </c>
      <c r="O101" s="11">
        <f t="shared" si="34"/>
        <v>0.40214015542983844</v>
      </c>
      <c r="P101" s="11">
        <f t="shared" si="34"/>
        <v>0.4082597977190936</v>
      </c>
      <c r="Q101" s="11">
        <f t="shared" si="34"/>
        <v>0.41593494890595967</v>
      </c>
      <c r="R101" s="11">
        <f t="shared" si="34"/>
        <v>0.42118401791223087</v>
      </c>
      <c r="S101" s="11">
        <f t="shared" si="34"/>
        <v>0.42615845556826876</v>
      </c>
      <c r="T101" s="11">
        <f t="shared" si="34"/>
        <v>0.43093465363352157</v>
      </c>
      <c r="U101" s="11">
        <f t="shared" si="34"/>
        <v>0.43490753951152145</v>
      </c>
      <c r="V101" s="11">
        <f t="shared" si="34"/>
        <v>0.43824035729123079</v>
      </c>
      <c r="W101" s="11">
        <f t="shared" si="34"/>
        <v>0.44355291672792868</v>
      </c>
      <c r="X101" s="11">
        <f t="shared" si="34"/>
        <v>0.44840627031562474</v>
      </c>
      <c r="Y101" s="11">
        <f t="shared" si="34"/>
        <v>0.4529489400775053</v>
      </c>
      <c r="Z101" s="11">
        <f t="shared" si="34"/>
        <v>0.45732140171830576</v>
      </c>
      <c r="AA101" s="11">
        <f t="shared" si="34"/>
        <v>0.46098704557768355</v>
      </c>
      <c r="AB101" s="11">
        <f t="shared" si="34"/>
        <v>0.46521540982668019</v>
      </c>
      <c r="AC101" s="11">
        <f t="shared" si="34"/>
        <v>0.46904675484204283</v>
      </c>
      <c r="AD101" s="11">
        <f t="shared" si="34"/>
        <v>0.47362258472652313</v>
      </c>
      <c r="AE101" s="11">
        <f t="shared" si="34"/>
        <v>0.47752307458046639</v>
      </c>
      <c r="AF101" s="11">
        <f t="shared" si="34"/>
        <v>0.4812855210335002</v>
      </c>
      <c r="AG101" s="11">
        <f t="shared" si="34"/>
        <v>0.48506835815848359</v>
      </c>
      <c r="AH101" s="11">
        <f t="shared" si="34"/>
        <v>0.48881295795728841</v>
      </c>
      <c r="AI101" s="11">
        <f t="shared" si="34"/>
        <v>0.49285034950986684</v>
      </c>
      <c r="AJ101" s="11">
        <f t="shared" si="34"/>
        <v>0.49658578012069915</v>
      </c>
      <c r="AK101" s="11">
        <f t="shared" si="34"/>
        <v>0.50027052258009419</v>
      </c>
      <c r="AL101" s="11">
        <f t="shared" si="34"/>
        <v>0.50395825382630666</v>
      </c>
      <c r="AM101" s="11">
        <f t="shared" si="34"/>
        <v>0.50759751579597223</v>
      </c>
      <c r="AN101" s="11">
        <f t="shared" si="34"/>
        <v>0.51124124208522126</v>
      </c>
      <c r="AO101" s="11">
        <f t="shared" si="34"/>
        <v>0.51473636427407143</v>
      </c>
      <c r="AP101" s="11">
        <f t="shared" si="34"/>
        <v>0.51819004833880145</v>
      </c>
      <c r="AQ101" s="11">
        <f t="shared" si="34"/>
        <v>0.52159836606869536</v>
      </c>
      <c r="AR101" s="11">
        <f t="shared" si="34"/>
        <v>0.52494617453186376</v>
      </c>
      <c r="AS101" s="11">
        <f t="shared" si="34"/>
        <v>0.52822013690657199</v>
      </c>
      <c r="AT101" s="11">
        <f t="shared" si="34"/>
        <v>0.53142770578672061</v>
      </c>
      <c r="AU101" s="11">
        <f t="shared" si="34"/>
        <v>0.53457123679363971</v>
      </c>
      <c r="AV101" s="11">
        <f t="shared" si="34"/>
        <v>0.5376499690512716</v>
      </c>
      <c r="AW101" s="11">
        <f t="shared" si="34"/>
        <v>0.5406555291951749</v>
      </c>
      <c r="AX101" s="11">
        <f t="shared" si="34"/>
        <v>0.54358598901885069</v>
      </c>
      <c r="AY101" s="11">
        <f t="shared" si="34"/>
        <v>0.54643684511688251</v>
      </c>
      <c r="AZ101" s="11">
        <f t="shared" si="34"/>
        <v>0.54921188441782531</v>
      </c>
      <c r="BA101" s="11">
        <f t="shared" si="34"/>
        <v>0.55190861579600614</v>
      </c>
      <c r="BB101" s="11">
        <f t="shared" si="34"/>
        <v>0.55452447935442195</v>
      </c>
    </row>
    <row r="102" spans="1:55" ht="14.4" x14ac:dyDescent="0.3">
      <c r="A102" s="28"/>
      <c r="B102" s="352"/>
      <c r="C102" s="13" t="s">
        <v>263</v>
      </c>
      <c r="E102" s="382"/>
      <c r="F102" s="382"/>
      <c r="G102" s="87">
        <f t="shared" ref="G102:BB102" si="35">SUM(G87:G101)</f>
        <v>2.0211034178432778</v>
      </c>
      <c r="H102" s="87">
        <f t="shared" si="35"/>
        <v>2.1340940548881466</v>
      </c>
      <c r="I102" s="87">
        <f t="shared" si="35"/>
        <v>2.1281746570635294</v>
      </c>
      <c r="J102" s="87">
        <f t="shared" si="35"/>
        <v>2.2456985243124494</v>
      </c>
      <c r="K102" s="87">
        <f t="shared" si="35"/>
        <v>2.2947792902947923</v>
      </c>
      <c r="L102" s="87">
        <f t="shared" si="35"/>
        <v>2.3461291567105573</v>
      </c>
      <c r="M102" s="87">
        <f t="shared" si="35"/>
        <v>2.3923072449443263</v>
      </c>
      <c r="N102" s="87">
        <f t="shared" si="35"/>
        <v>2.4460358262780622</v>
      </c>
      <c r="O102" s="87">
        <f t="shared" si="35"/>
        <v>2.4191875153090652</v>
      </c>
      <c r="P102" s="87">
        <f t="shared" si="35"/>
        <v>2.4561486047669523</v>
      </c>
      <c r="Q102" s="87">
        <f t="shared" si="35"/>
        <v>2.5012689639863468</v>
      </c>
      <c r="R102" s="87">
        <f t="shared" si="35"/>
        <v>2.5342949778900867</v>
      </c>
      <c r="S102" s="87">
        <f t="shared" si="35"/>
        <v>2.5661452673800209</v>
      </c>
      <c r="T102" s="87">
        <f t="shared" si="35"/>
        <v>2.5975815186188589</v>
      </c>
      <c r="U102" s="87">
        <f t="shared" si="35"/>
        <v>2.6113881245515409</v>
      </c>
      <c r="V102" s="87">
        <f t="shared" si="35"/>
        <v>2.6218102399399346</v>
      </c>
      <c r="W102" s="87">
        <f t="shared" si="35"/>
        <v>2.6436652480688316</v>
      </c>
      <c r="X102" s="87">
        <f t="shared" si="35"/>
        <v>2.6630880632610543</v>
      </c>
      <c r="Y102" s="87">
        <f t="shared" si="35"/>
        <v>2.6808706491852852</v>
      </c>
      <c r="Z102" s="87">
        <f t="shared" si="35"/>
        <v>2.6977605490168757</v>
      </c>
      <c r="AA102" s="87">
        <f t="shared" si="35"/>
        <v>2.7109157674136384</v>
      </c>
      <c r="AB102" s="87">
        <f t="shared" si="35"/>
        <v>2.737457797818049</v>
      </c>
      <c r="AC102" s="87">
        <f t="shared" si="35"/>
        <v>2.761927927545587</v>
      </c>
      <c r="AD102" s="87">
        <f t="shared" si="35"/>
        <v>2.7904257034602646</v>
      </c>
      <c r="AE102" s="87">
        <f t="shared" si="35"/>
        <v>2.8153547348089307</v>
      </c>
      <c r="AF102" s="87">
        <f t="shared" si="35"/>
        <v>2.8395791725934139</v>
      </c>
      <c r="AG102" s="87">
        <f t="shared" si="35"/>
        <v>2.8639526891788796</v>
      </c>
      <c r="AH102" s="87">
        <f t="shared" si="35"/>
        <v>2.8881590237596919</v>
      </c>
      <c r="AI102" s="87">
        <f t="shared" si="35"/>
        <v>2.9140121369935787</v>
      </c>
      <c r="AJ102" s="87">
        <f t="shared" si="35"/>
        <v>2.93826407913618</v>
      </c>
      <c r="AK102" s="87">
        <f t="shared" si="35"/>
        <v>2.9622856975732916</v>
      </c>
      <c r="AL102" s="87">
        <f t="shared" si="35"/>
        <v>2.9863751522711621</v>
      </c>
      <c r="AM102" s="87">
        <f t="shared" si="35"/>
        <v>3.0102500660959715</v>
      </c>
      <c r="AN102" s="87">
        <f t="shared" si="35"/>
        <v>3.0342075387460232</v>
      </c>
      <c r="AO102" s="87">
        <f t="shared" si="35"/>
        <v>3.0573922470698038</v>
      </c>
      <c r="AP102" s="87">
        <f t="shared" si="35"/>
        <v>3.0804030620212677</v>
      </c>
      <c r="AQ102" s="87">
        <f t="shared" si="35"/>
        <v>3.103219656489574</v>
      </c>
      <c r="AR102" s="87">
        <f t="shared" si="35"/>
        <v>3.1257576656171357</v>
      </c>
      <c r="AS102" s="87">
        <f t="shared" si="35"/>
        <v>3.1479417390920772</v>
      </c>
      <c r="AT102" s="87">
        <f t="shared" si="35"/>
        <v>3.1698147662756169</v>
      </c>
      <c r="AU102" s="87">
        <f t="shared" si="35"/>
        <v>3.1913911488392559</v>
      </c>
      <c r="AV102" s="87">
        <f t="shared" si="35"/>
        <v>3.2126676416682667</v>
      </c>
      <c r="AW102" s="87">
        <f t="shared" si="35"/>
        <v>3.2335967895374411</v>
      </c>
      <c r="AX102" s="87">
        <f t="shared" si="35"/>
        <v>3.254168117215583</v>
      </c>
      <c r="AY102" s="87">
        <f t="shared" si="35"/>
        <v>3.2743559846001915</v>
      </c>
      <c r="AZ102" s="87">
        <f t="shared" si="35"/>
        <v>3.2941833353564043</v>
      </c>
      <c r="BA102" s="87">
        <f t="shared" si="35"/>
        <v>3.3136364657012223</v>
      </c>
      <c r="BB102" s="87">
        <f t="shared" si="35"/>
        <v>3.332701146601897</v>
      </c>
    </row>
    <row r="103" spans="1:55" ht="14.4" customHeight="1" x14ac:dyDescent="0.3">
      <c r="A103" s="16" t="s">
        <v>50</v>
      </c>
      <c r="B103" s="16"/>
      <c r="C103" s="31" t="s">
        <v>689</v>
      </c>
      <c r="D103" s="351"/>
      <c r="E103" s="351"/>
      <c r="F103" s="35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row>
    <row r="104" spans="1:55" ht="15" customHeight="1" x14ac:dyDescent="0.3">
      <c r="A104" s="385"/>
      <c r="B104" s="364" t="s">
        <v>246</v>
      </c>
      <c r="C104" s="9" t="s">
        <v>264</v>
      </c>
      <c r="E104" s="382" t="s">
        <v>208</v>
      </c>
      <c r="F104" s="382" t="s">
        <v>265</v>
      </c>
      <c r="G104" s="11">
        <f>(1+'CC70 - %'!G6/100)*Tendencial!T387</f>
        <v>1086.5654359263742</v>
      </c>
      <c r="H104" s="11">
        <f>(1+'CC70 - %'!H6/100)*Tendencial!U387</f>
        <v>1123.1965940927525</v>
      </c>
      <c r="I104" s="11">
        <f>(1+'CC70 - %'!I6/100)*Tendencial!V387</f>
        <v>1152.5836487349907</v>
      </c>
      <c r="J104" s="11">
        <f>(1+'CC70 - %'!J6/100)*Tendencial!W387</f>
        <v>1177.9668105109472</v>
      </c>
      <c r="K104" s="11">
        <f>(1+'CC70 - %'!K6/100)*Tendencial!X387</f>
        <v>1210.8804162237723</v>
      </c>
      <c r="L104" s="11">
        <f>(1+'CC70 - %'!L6/100)*Tendencial!Y387</f>
        <v>1240.0011268687228</v>
      </c>
      <c r="M104" s="11">
        <f>(1+'CC70 - %'!M6/100)*Tendencial!Z387</f>
        <v>1258.5848759044504</v>
      </c>
      <c r="N104" s="11">
        <f>(1+'CC70 - %'!N6/100)*Tendencial!AA387</f>
        <v>1279.9936767422328</v>
      </c>
      <c r="O104" s="11">
        <f>(1+'CC70 - %'!O6/100)*Tendencial!AB387</f>
        <v>1309.950994487572</v>
      </c>
      <c r="P104" s="11">
        <f>(1+'CC70 - %'!P6/100)*Tendencial!AC387</f>
        <v>1330.8586545471171</v>
      </c>
      <c r="Q104" s="11">
        <f>(1+'CC70 - %'!Q6/100)*Tendencial!AD387</f>
        <v>1357.0397176336576</v>
      </c>
      <c r="R104" s="11">
        <f>(1+'CC70 - %'!R6/100)*Tendencial!AE387</f>
        <v>1376.6172873273399</v>
      </c>
      <c r="S104" s="11">
        <f>(1+'CC70 - %'!S6/100)*Tendencial!AF387</f>
        <v>1397.0909314326955</v>
      </c>
      <c r="T104" s="11">
        <f>(1+'CC70 - %'!T6/100)*Tendencial!AG387</f>
        <v>1421.2638509699773</v>
      </c>
      <c r="U104" s="11">
        <f>(1+'CC70 - %'!U6/100)*Tendencial!AH387</f>
        <v>1443.533966543258</v>
      </c>
      <c r="V104" s="11">
        <f>(1+'CC70 - %'!V6/100)*Tendencial!AI387</f>
        <v>1468.7055118284311</v>
      </c>
      <c r="W104" s="11">
        <f>(1+'CC70 - %'!W6/100)*Tendencial!AJ387</f>
        <v>1499.3201992397544</v>
      </c>
      <c r="X104" s="11">
        <f>(1+'CC70 - %'!X6/100)*Tendencial!AK387</f>
        <v>1528.7606817219651</v>
      </c>
      <c r="Y104" s="11">
        <f>(1+'CC70 - %'!Y6/100)*Tendencial!AL387</f>
        <v>1561.6747985088018</v>
      </c>
      <c r="Z104" s="11">
        <f>(1+'CC70 - %'!Z6/100)*Tendencial!AM387</f>
        <v>1596.4228477139816</v>
      </c>
      <c r="AA104" s="11">
        <f>(1+'CC70 - %'!AA6/100)*Tendencial!AN387</f>
        <v>1626.910822456055</v>
      </c>
      <c r="AB104" s="11">
        <f>(1+'CC70 - %'!AB6/100)*Tendencial!AO387</f>
        <v>1666.8915333584353</v>
      </c>
      <c r="AC104" s="11">
        <f>(1+'CC70 - %'!AC6/100)*Tendencial!AP387</f>
        <v>1704.4753085456659</v>
      </c>
      <c r="AD104" s="11">
        <f>(1+'CC70 - %'!AD6/100)*Tendencial!AQ387</f>
        <v>1751.4092101634417</v>
      </c>
      <c r="AE104" s="11">
        <f>(1+'CC70 - %'!AE6/100)*Tendencial!AR387</f>
        <v>1793.3773647874048</v>
      </c>
      <c r="AF104" s="11">
        <f>(1+'CC70 - %'!AF6/100)*Tendencial!AS387</f>
        <v>1835.9734995408896</v>
      </c>
      <c r="AG104" s="11">
        <f>(1+'CC70 - %'!AG6/100)*Tendencial!AT387</f>
        <v>1880.9926200366822</v>
      </c>
      <c r="AH104" s="11">
        <f>(1+'CC70 - %'!AH6/100)*Tendencial!AU387</f>
        <v>1926.6089306106755</v>
      </c>
      <c r="AI104" s="11">
        <f>(1+'CC70 - %'!AI6/100)*Tendencial!AV387</f>
        <v>1967.4304450735447</v>
      </c>
      <c r="AJ104" s="11">
        <f>(1+'CC70 - %'!AJ6/100)*Tendencial!AW387</f>
        <v>2009.8938926980375</v>
      </c>
      <c r="AK104" s="11">
        <f>(1+'CC70 - %'!AK6/100)*Tendencial!AX387</f>
        <v>2053.811996019253</v>
      </c>
      <c r="AL104" s="11">
        <f>(1+'CC70 - %'!AL6/100)*Tendencial!AY387</f>
        <v>2099.4836423520869</v>
      </c>
      <c r="AM104" s="11">
        <f>(1+'CC70 - %'!AM6/100)*Tendencial!AZ387</f>
        <v>2146.8011716645183</v>
      </c>
      <c r="AN104" s="11">
        <f>(1+'CC70 - %'!AN6/100)*Tendencial!BA387</f>
        <v>2195.4127435849123</v>
      </c>
      <c r="AO104" s="11">
        <f>(1+'CC70 - %'!AO6/100)*Tendencial!BB387</f>
        <v>2245.538220493409</v>
      </c>
      <c r="AP104" s="11">
        <f>(1+'CC70 - %'!AP6/100)*Tendencial!BC387</f>
        <v>2296.9913580802645</v>
      </c>
      <c r="AQ104" s="11">
        <f>(1+'CC70 - %'!AQ6/100)*Tendencial!BD387</f>
        <v>2349.7191361553309</v>
      </c>
      <c r="AR104" s="11">
        <f>(1+'CC70 - %'!AR6/100)*Tendencial!BE387</f>
        <v>2404.2242386487815</v>
      </c>
      <c r="AS104" s="11">
        <f>(1+'CC70 - %'!AS6/100)*Tendencial!BF387</f>
        <v>2459.7871055412338</v>
      </c>
      <c r="AT104" s="11">
        <f>(1+'CC70 - %'!AT6/100)*Tendencial!BG387</f>
        <v>2516.7211714181617</v>
      </c>
      <c r="AU104" s="11">
        <f>(1+'CC70 - %'!AU6/100)*Tendencial!BH387</f>
        <v>2574.2831345071713</v>
      </c>
      <c r="AV104" s="11">
        <f>(1+'CC70 - %'!AV6/100)*Tendencial!BI387</f>
        <v>2632.9867120167987</v>
      </c>
      <c r="AW104" s="11">
        <f>(1+'CC70 - %'!AW6/100)*Tendencial!BJ387</f>
        <v>2692.8735043513811</v>
      </c>
      <c r="AX104" s="11">
        <f>(1+'CC70 - %'!AX6/100)*Tendencial!BK387</f>
        <v>2753.8241239853032</v>
      </c>
      <c r="AY104" s="11">
        <f>(1+'CC70 - %'!AY6/100)*Tendencial!BL387</f>
        <v>2815.876557565301</v>
      </c>
      <c r="AZ104" s="11">
        <f>(1+'CC70 - %'!AZ6/100)*Tendencial!BM387</f>
        <v>2879.5644761194931</v>
      </c>
      <c r="BA104" s="11">
        <f>(1+'CC70 - %'!BA6/100)*Tendencial!BN387</f>
        <v>2944.8795519623804</v>
      </c>
      <c r="BB104" s="11">
        <f>(1+'CC70 - %'!BB6/100)*Tendencial!BO387</f>
        <v>3011.8297079586482</v>
      </c>
    </row>
    <row r="105" spans="1:55" ht="15" customHeight="1" x14ac:dyDescent="0.3">
      <c r="A105" s="385"/>
      <c r="B105" s="364"/>
      <c r="C105" s="9" t="s">
        <v>266</v>
      </c>
      <c r="E105" s="382"/>
      <c r="F105" s="382"/>
      <c r="G105" s="11">
        <f>(1+'CC70 - %'!G7/100)*Tendencial!T388</f>
        <v>140.41597484489904</v>
      </c>
      <c r="H105" s="11">
        <f>(1+'CC70 - %'!H7/100)*Tendencial!U388</f>
        <v>145.0780422229106</v>
      </c>
      <c r="I105" s="11">
        <f>(1+'CC70 - %'!I7/100)*Tendencial!V388</f>
        <v>148.80057004767613</v>
      </c>
      <c r="J105" s="11">
        <f>(1+'CC70 - %'!J7/100)*Tendencial!W388</f>
        <v>152.00307673320765</v>
      </c>
      <c r="K105" s="11">
        <f>(1+'CC70 - %'!K7/100)*Tendencial!X388</f>
        <v>156.17399076742331</v>
      </c>
      <c r="L105" s="11">
        <f>(1+'CC70 - %'!L7/100)*Tendencial!Y388</f>
        <v>159.85219328000994</v>
      </c>
      <c r="M105" s="11">
        <f>(1+'CC70 - %'!M7/100)*Tendencial!Z388</f>
        <v>162.16944385907834</v>
      </c>
      <c r="N105" s="11">
        <f>(1+'CC70 - %'!N7/100)*Tendencial!AA388</f>
        <v>164.84860184863041</v>
      </c>
      <c r="O105" s="11">
        <f>(1+'CC70 - %'!O7/100)*Tendencial!AB388</f>
        <v>168.62592220627127</v>
      </c>
      <c r="P105" s="11">
        <f>(1+'CC70 - %'!P7/100)*Tendencial!AC388</f>
        <v>171.23556888305424</v>
      </c>
      <c r="Q105" s="11">
        <f>(1+'CC70 - %'!Q7/100)*Tendencial!AD388</f>
        <v>174.52123321670385</v>
      </c>
      <c r="R105" s="11">
        <f>(1+'CC70 - %'!R7/100)*Tendencial!AE388</f>
        <v>176.95527036705045</v>
      </c>
      <c r="S105" s="11">
        <f>(1+'CC70 - %'!S7/100)*Tendencial!AF388</f>
        <v>179.50246672496201</v>
      </c>
      <c r="T105" s="11">
        <f>(1+'CC70 - %'!T7/100)*Tendencial!AG388</f>
        <v>182.52266951673087</v>
      </c>
      <c r="U105" s="11">
        <f>(1+'CC70 - %'!U7/100)*Tendencial!AH388</f>
        <v>185.29612953154506</v>
      </c>
      <c r="V105" s="11">
        <f>(1+'CC70 - %'!V7/100)*Tendencial!AI388</f>
        <v>188.43960375920625</v>
      </c>
      <c r="W105" s="11">
        <f>(1+'CC70 - %'!W7/100)*Tendencial!AJ388</f>
        <v>192.27855046976254</v>
      </c>
      <c r="X105" s="11">
        <f>(1+'CC70 - %'!X7/100)*Tendencial!AK388</f>
        <v>195.96378038689511</v>
      </c>
      <c r="Y105" s="11">
        <f>(1+'CC70 - %'!Y7/100)*Tendencial!AL388</f>
        <v>200.0910322428347</v>
      </c>
      <c r="Z105" s="11">
        <f>(1+'CC70 - %'!Z7/100)*Tendencial!AM388</f>
        <v>204.44972544806635</v>
      </c>
      <c r="AA105" s="11">
        <f>(1+'CC70 - %'!AA7/100)*Tendencial!AN388</f>
        <v>208.25947522620032</v>
      </c>
      <c r="AB105" s="11">
        <f>(1+'CC70 - %'!AB7/100)*Tendencial!AO388</f>
        <v>213.28073645994462</v>
      </c>
      <c r="AC105" s="11">
        <f>(1+'CC70 - %'!AC7/100)*Tendencial!AP388</f>
        <v>217.99127635873518</v>
      </c>
      <c r="AD105" s="11">
        <f>(1+'CC70 - %'!AD7/100)*Tendencial!AQ388</f>
        <v>223.89323533157625</v>
      </c>
      <c r="AE105" s="11">
        <f>(1+'CC70 - %'!AE7/100)*Tendencial!AR388</f>
        <v>229.15577082990939</v>
      </c>
      <c r="AF105" s="11">
        <f>(1+'CC70 - %'!AF7/100)*Tendencial!AS388</f>
        <v>234.49420685790145</v>
      </c>
      <c r="AG105" s="11">
        <f>(1+'CC70 - %'!AG7/100)*Tendencial!AT388</f>
        <v>240.13762698486309</v>
      </c>
      <c r="AH105" s="11">
        <f>(1+'CC70 - %'!AH7/100)*Tendencial!AU388</f>
        <v>245.85266394012856</v>
      </c>
      <c r="AI105" s="11">
        <f>(1+'CC70 - %'!AI7/100)*Tendencial!AV388</f>
        <v>250.95148569236272</v>
      </c>
      <c r="AJ105" s="11">
        <f>(1+'CC70 - %'!AJ7/100)*Tendencial!AW388</f>
        <v>256.25559179617863</v>
      </c>
      <c r="AK105" s="11">
        <f>(1+'CC70 - %'!AK7/100)*Tendencial!AX388</f>
        <v>261.74086972937727</v>
      </c>
      <c r="AL105" s="11">
        <f>(1+'CC70 - %'!AL7/100)*Tendencial!AY388</f>
        <v>267.44518135170136</v>
      </c>
      <c r="AM105" s="11">
        <f>(1+'CC70 - %'!AM7/100)*Tendencial!AZ388</f>
        <v>273.35455852008499</v>
      </c>
      <c r="AN105" s="11">
        <f>(1+'CC70 - %'!AN7/100)*Tendencial!BA388</f>
        <v>279.4239807182492</v>
      </c>
      <c r="AO105" s="11">
        <f>(1+'CC70 - %'!AO7/100)*Tendencial!BB388</f>
        <v>285.68123942795785</v>
      </c>
      <c r="AP105" s="11">
        <f>(1+'CC70 - %'!AP7/100)*Tendencial!BC388</f>
        <v>292.10243647486499</v>
      </c>
      <c r="AQ105" s="11">
        <f>(1+'CC70 - %'!AQ7/100)*Tendencial!BD388</f>
        <v>298.68065047988932</v>
      </c>
      <c r="AR105" s="11">
        <f>(1+'CC70 - %'!AR7/100)*Tendencial!BE388</f>
        <v>305.47958063415575</v>
      </c>
      <c r="AS105" s="11">
        <f>(1+'CC70 - %'!AS7/100)*Tendencial!BF388</f>
        <v>312.40758771385981</v>
      </c>
      <c r="AT105" s="11">
        <f>(1+'CC70 - %'!AT7/100)*Tendencial!BG388</f>
        <v>319.50432963849346</v>
      </c>
      <c r="AU105" s="11">
        <f>(1+'CC70 - %'!AU7/100)*Tendencial!BH388</f>
        <v>326.6752996337184</v>
      </c>
      <c r="AV105" s="11">
        <f>(1+'CC70 - %'!AV7/100)*Tendencial!BI388</f>
        <v>333.98559838080291</v>
      </c>
      <c r="AW105" s="11">
        <f>(1+'CC70 - %'!AW7/100)*Tendencial!BJ388</f>
        <v>341.44035740657159</v>
      </c>
      <c r="AX105" s="11">
        <f>(1+'CC70 - %'!AX7/100)*Tendencial!BK388</f>
        <v>349.02429692828844</v>
      </c>
      <c r="AY105" s="11">
        <f>(1+'CC70 - %'!AY7/100)*Tendencial!BL388</f>
        <v>356.74210105590333</v>
      </c>
      <c r="AZ105" s="11">
        <f>(1+'CC70 - %'!AZ7/100)*Tendencial!BM388</f>
        <v>364.66121945608347</v>
      </c>
      <c r="BA105" s="11">
        <f>(1+'CC70 - %'!BA7/100)*Tendencial!BN388</f>
        <v>372.78038324693625</v>
      </c>
      <c r="BB105" s="11">
        <f>(1+'CC70 - %'!BB7/100)*Tendencial!BO388</f>
        <v>381.10038342845507</v>
      </c>
    </row>
    <row r="106" spans="1:55" ht="15" customHeight="1" x14ac:dyDescent="0.3">
      <c r="B106" s="364"/>
      <c r="C106" s="9" t="s">
        <v>267</v>
      </c>
      <c r="E106" s="382"/>
      <c r="F106" s="382"/>
      <c r="G106" s="11">
        <f>(1+'CC70 - %'!G8/100)*Tendencial!T389</f>
        <v>181.75152858176722</v>
      </c>
      <c r="H106" s="11">
        <f>(1+'CC70 - %'!H8/100)*Tendencial!U389</f>
        <v>187.78601200319238</v>
      </c>
      <c r="I106" s="11">
        <f>(1+'CC70 - %'!I8/100)*Tendencial!V389</f>
        <v>192.60437489307461</v>
      </c>
      <c r="J106" s="11">
        <f>(1+'CC70 - %'!J8/100)*Tendencial!W389</f>
        <v>196.74963319457208</v>
      </c>
      <c r="K106" s="11">
        <f>(1+'CC70 - %'!K8/100)*Tendencial!X389</f>
        <v>202.14837790392011</v>
      </c>
      <c r="L106" s="11">
        <f>(1+'CC70 - %'!L8/100)*Tendencial!Y389</f>
        <v>206.90936702808744</v>
      </c>
      <c r="M106" s="11">
        <f>(1+'CC70 - %'!M8/100)*Tendencial!Z389</f>
        <v>209.90876816686722</v>
      </c>
      <c r="N106" s="11">
        <f>(1+'CC70 - %'!N8/100)*Tendencial!AA389</f>
        <v>213.37661475947186</v>
      </c>
      <c r="O106" s="11">
        <f>(1+'CC70 - %'!O8/100)*Tendencial!AB389</f>
        <v>218.26589996866966</v>
      </c>
      <c r="P106" s="11">
        <f>(1+'CC70 - %'!P8/100)*Tendencial!AC389</f>
        <v>221.64377255822043</v>
      </c>
      <c r="Q106" s="11">
        <f>(1+'CC70 - %'!Q8/100)*Tendencial!AD389</f>
        <v>225.89666839651119</v>
      </c>
      <c r="R106" s="11">
        <f>(1+'CC70 - %'!R8/100)*Tendencial!AE389</f>
        <v>229.04723565347007</v>
      </c>
      <c r="S106" s="11">
        <f>(1+'CC70 - %'!S8/100)*Tendencial!AF389</f>
        <v>232.34427384417248</v>
      </c>
      <c r="T106" s="11">
        <f>(1+'CC70 - %'!T8/100)*Tendencial!AG389</f>
        <v>236.25356176271055</v>
      </c>
      <c r="U106" s="11">
        <f>(1+'CC70 - %'!U8/100)*Tendencial!AH389</f>
        <v>239.84347094298499</v>
      </c>
      <c r="V106" s="11">
        <f>(1+'CC70 - %'!V8/100)*Tendencial!AI389</f>
        <v>243.91231885409977</v>
      </c>
      <c r="W106" s="11">
        <f>(1+'CC70 - %'!W8/100)*Tendencial!AJ389</f>
        <v>248.88137193768415</v>
      </c>
      <c r="X106" s="11">
        <f>(1+'CC70 - %'!X8/100)*Tendencial!AK389</f>
        <v>253.65145718869599</v>
      </c>
      <c r="Y106" s="11">
        <f>(1+'CC70 - %'!Y8/100)*Tendencial!AL389</f>
        <v>258.99368647911353</v>
      </c>
      <c r="Z106" s="11">
        <f>(1+'CC70 - %'!Z8/100)*Tendencial!AM389</f>
        <v>264.6354886568563</v>
      </c>
      <c r="AA106" s="11">
        <f>(1+'CC70 - %'!AA8/100)*Tendencial!AN389</f>
        <v>269.56674983604006</v>
      </c>
      <c r="AB106" s="11">
        <f>(1+'CC70 - %'!AB8/100)*Tendencial!AO389</f>
        <v>276.06616634224218</v>
      </c>
      <c r="AC106" s="11">
        <f>(1+'CC70 - %'!AC8/100)*Tendencial!AP389</f>
        <v>282.16339159026876</v>
      </c>
      <c r="AD106" s="11">
        <f>(1+'CC70 - %'!AD8/100)*Tendencial!AQ389</f>
        <v>289.8027650029137</v>
      </c>
      <c r="AE106" s="11">
        <f>(1+'CC70 - %'!AE8/100)*Tendencial!AR389</f>
        <v>296.61448191827435</v>
      </c>
      <c r="AF106" s="11">
        <f>(1+'CC70 - %'!AF8/100)*Tendencial!AS389</f>
        <v>303.52444290665386</v>
      </c>
      <c r="AG106" s="11">
        <f>(1+'CC70 - %'!AG8/100)*Tendencial!AT389</f>
        <v>310.82916899381996</v>
      </c>
      <c r="AH106" s="11">
        <f>(1+'CC70 - %'!AH8/100)*Tendencial!AU389</f>
        <v>318.22659441972422</v>
      </c>
      <c r="AI106" s="11">
        <f>(1+'CC70 - %'!AI8/100)*Tendencial!AV389</f>
        <v>324.82640365409486</v>
      </c>
      <c r="AJ106" s="11">
        <f>(1+'CC70 - %'!AJ8/100)*Tendencial!AW389</f>
        <v>331.69192869989735</v>
      </c>
      <c r="AK106" s="11">
        <f>(1+'CC70 - %'!AK8/100)*Tendencial!AX389</f>
        <v>338.79195880798085</v>
      </c>
      <c r="AL106" s="11">
        <f>(1+'CC70 - %'!AL8/100)*Tendencial!AY389</f>
        <v>346.17550158514234</v>
      </c>
      <c r="AM106" s="11">
        <f>(1+'CC70 - %'!AM8/100)*Tendencial!AZ389</f>
        <v>353.82447695640104</v>
      </c>
      <c r="AN106" s="11">
        <f>(1+'CC70 - %'!AN8/100)*Tendencial!BA389</f>
        <v>361.6806112982589</v>
      </c>
      <c r="AO106" s="11">
        <f>(1+'CC70 - %'!AO8/100)*Tendencial!BB389</f>
        <v>369.7798773289033</v>
      </c>
      <c r="AP106" s="11">
        <f>(1+'CC70 - %'!AP8/100)*Tendencial!BC389</f>
        <v>378.0913417466038</v>
      </c>
      <c r="AQ106" s="11">
        <f>(1+'CC70 - %'!AQ8/100)*Tendencial!BD389</f>
        <v>386.60604566168047</v>
      </c>
      <c r="AR106" s="11">
        <f>(1+'CC70 - %'!AR8/100)*Tendencial!BE389</f>
        <v>395.40643998735129</v>
      </c>
      <c r="AS106" s="11">
        <f>(1+'CC70 - %'!AS8/100)*Tendencial!BF389</f>
        <v>404.37390881098327</v>
      </c>
      <c r="AT106" s="11">
        <f>(1+'CC70 - %'!AT8/100)*Tendencial!BG389</f>
        <v>413.55978452190021</v>
      </c>
      <c r="AU106" s="11">
        <f>(1+'CC70 - %'!AU8/100)*Tendencial!BH389</f>
        <v>422.84173950947019</v>
      </c>
      <c r="AV106" s="11">
        <f>(1+'CC70 - %'!AV8/100)*Tendencial!BI389</f>
        <v>432.30403874671583</v>
      </c>
      <c r="AW106" s="11">
        <f>(1+'CC70 - %'!AW8/100)*Tendencial!BJ389</f>
        <v>441.9533243756394</v>
      </c>
      <c r="AX106" s="11">
        <f>(1+'CC70 - %'!AX8/100)*Tendencial!BK389</f>
        <v>451.76981856204696</v>
      </c>
      <c r="AY106" s="11">
        <f>(1+'CC70 - %'!AY8/100)*Tendencial!BL389</f>
        <v>461.75958432080847</v>
      </c>
      <c r="AZ106" s="11">
        <f>(1+'CC70 - %'!AZ8/100)*Tendencial!BM389</f>
        <v>472.00992710297822</v>
      </c>
      <c r="BA106" s="11">
        <f>(1+'CC70 - %'!BA8/100)*Tendencial!BN389</f>
        <v>482.51920449412421</v>
      </c>
      <c r="BB106" s="11">
        <f>(1+'CC70 - %'!BB8/100)*Tendencial!BO389</f>
        <v>493.28844034824942</v>
      </c>
    </row>
    <row r="107" spans="1:55" ht="14.4" x14ac:dyDescent="0.3">
      <c r="B107" s="364"/>
      <c r="C107" s="9" t="s">
        <v>268</v>
      </c>
      <c r="D107" s="28"/>
      <c r="E107" s="382"/>
      <c r="F107" s="382"/>
      <c r="G107" s="11">
        <f>(1+'CC70 - %'!G9/100)*Tendencial!T390</f>
        <v>450.52996555503944</v>
      </c>
      <c r="H107" s="11">
        <f>(1+'CC70 - %'!H9/100)*Tendencial!U390</f>
        <v>465.48838504791331</v>
      </c>
      <c r="I107" s="11">
        <f>(1+'CC70 - %'!I9/100)*Tendencial!V390</f>
        <v>477.43225635259785</v>
      </c>
      <c r="J107" s="11">
        <f>(1+'CC70 - %'!J9/100)*Tendencial!W390</f>
        <v>487.70762016583927</v>
      </c>
      <c r="K107" s="11">
        <f>(1+'CC70 - %'!K9/100)*Tendencial!X390</f>
        <v>501.0901555806584</v>
      </c>
      <c r="L107" s="11">
        <f>(1+'CC70 - %'!L9/100)*Tendencial!Y390</f>
        <v>512.89180744491784</v>
      </c>
      <c r="M107" s="11">
        <f>(1+'CC70 - %'!M9/100)*Tendencial!Z390</f>
        <v>520.32679356186964</v>
      </c>
      <c r="N107" s="11">
        <f>(1+'CC70 - %'!N9/100)*Tendencial!AA390</f>
        <v>528.92297329200835</v>
      </c>
      <c r="O107" s="11">
        <f>(1+'CC70 - %'!O9/100)*Tendencial!AB390</f>
        <v>541.04264851057269</v>
      </c>
      <c r="P107" s="11">
        <f>(1+'CC70 - %'!P9/100)*Tendencial!AC390</f>
        <v>549.41579856490625</v>
      </c>
      <c r="Q107" s="11">
        <f>(1+'CC70 - %'!Q9/100)*Tendencial!AD390</f>
        <v>559.95797683699868</v>
      </c>
      <c r="R107" s="11">
        <f>(1+'CC70 - %'!R9/100)*Tendencial!AE390</f>
        <v>567.7676770845427</v>
      </c>
      <c r="S107" s="11">
        <f>(1+'CC70 - %'!S9/100)*Tendencial!AF390</f>
        <v>575.9404529290249</v>
      </c>
      <c r="T107" s="11">
        <f>(1+'CC70 - %'!T9/100)*Tendencial!AG390</f>
        <v>585.63088780474231</v>
      </c>
      <c r="U107" s="11">
        <f>(1+'CC70 - %'!U9/100)*Tendencial!AH390</f>
        <v>594.52963914925795</v>
      </c>
      <c r="V107" s="11">
        <f>(1+'CC70 - %'!V9/100)*Tendencial!AI390</f>
        <v>604.61559508892708</v>
      </c>
      <c r="W107" s="11">
        <f>(1+'CC70 - %'!W9/100)*Tendencial!AJ390</f>
        <v>616.93300079141204</v>
      </c>
      <c r="X107" s="11">
        <f>(1+'CC70 - %'!X9/100)*Tendencial!AK390</f>
        <v>628.75720034892026</v>
      </c>
      <c r="Y107" s="11">
        <f>(1+'CC70 - %'!Y9/100)*Tendencial!AL390</f>
        <v>641.99964401352008</v>
      </c>
      <c r="Z107" s="11">
        <f>(1+'CC70 - %'!Z9/100)*Tendencial!AM390</f>
        <v>655.98467599999526</v>
      </c>
      <c r="AA107" s="11">
        <f>(1+'CC70 - %'!AA9/100)*Tendencial!AN390</f>
        <v>668.2084022406309</v>
      </c>
      <c r="AB107" s="11">
        <f>(1+'CC70 - %'!AB9/100)*Tendencial!AO390</f>
        <v>684.31930880365189</v>
      </c>
      <c r="AC107" s="11">
        <f>(1+'CC70 - %'!AC9/100)*Tendencial!AP390</f>
        <v>699.43325421258373</v>
      </c>
      <c r="AD107" s="11">
        <f>(1+'CC70 - %'!AD9/100)*Tendencial!AQ390</f>
        <v>718.36991277781055</v>
      </c>
      <c r="AE107" s="11">
        <f>(1+'CC70 - %'!AE9/100)*Tendencial!AR390</f>
        <v>735.25495694329879</v>
      </c>
      <c r="AF107" s="11">
        <f>(1+'CC70 - %'!AF9/100)*Tendencial!AS390</f>
        <v>752.38353082861136</v>
      </c>
      <c r="AG107" s="11">
        <f>(1+'CC70 - %'!AG9/100)*Tendencial!AT390</f>
        <v>770.49065772938661</v>
      </c>
      <c r="AH107" s="11">
        <f>(1+'CC70 - %'!AH9/100)*Tendencial!AU390</f>
        <v>788.82756993218698</v>
      </c>
      <c r="AI107" s="11">
        <f>(1+'CC70 - %'!AI9/100)*Tendencial!AV390</f>
        <v>805.18733235197408</v>
      </c>
      <c r="AJ107" s="11">
        <f>(1+'CC70 - %'!AJ9/100)*Tendencial!AW390</f>
        <v>822.20575737727495</v>
      </c>
      <c r="AK107" s="11">
        <f>(1+'CC70 - %'!AK9/100)*Tendencial!AX390</f>
        <v>839.80547906872448</v>
      </c>
      <c r="AL107" s="11">
        <f>(1+'CC70 - %'!AL9/100)*Tendencial!AY390</f>
        <v>858.10797863517075</v>
      </c>
      <c r="AM107" s="11">
        <f>(1+'CC70 - %'!AM9/100)*Tendencial!AZ390</f>
        <v>877.06843876133792</v>
      </c>
      <c r="AN107" s="11">
        <f>(1+'CC70 - %'!AN9/100)*Tendencial!BA390</f>
        <v>896.54240941815499</v>
      </c>
      <c r="AO107" s="11">
        <f>(1+'CC70 - %'!AO9/100)*Tendencial!BB390</f>
        <v>916.61906062588184</v>
      </c>
      <c r="AP107" s="11">
        <f>(1+'CC70 - %'!AP9/100)*Tendencial!BC390</f>
        <v>937.22171418834637</v>
      </c>
      <c r="AQ107" s="11">
        <f>(1+'CC70 - %'!AQ9/100)*Tendencial!BD390</f>
        <v>958.32816259901278</v>
      </c>
      <c r="AR107" s="11">
        <f>(1+'CC70 - %'!AR9/100)*Tendencial!BE390</f>
        <v>980.14278712158739</v>
      </c>
      <c r="AS107" s="11">
        <f>(1+'CC70 - %'!AS9/100)*Tendencial!BF390</f>
        <v>1002.3715598408727</v>
      </c>
      <c r="AT107" s="11">
        <f>(1+'CC70 - %'!AT9/100)*Tendencial!BG390</f>
        <v>1025.1417246913456</v>
      </c>
      <c r="AU107" s="11">
        <f>(1+'CC70 - %'!AU9/100)*Tendencial!BH390</f>
        <v>1048.150053113475</v>
      </c>
      <c r="AV107" s="11">
        <f>(1+'CC70 - %'!AV9/100)*Tendencial!BI390</f>
        <v>1071.6054231050946</v>
      </c>
      <c r="AW107" s="11">
        <f>(1+'CC70 - %'!AW9/100)*Tendencial!BJ390</f>
        <v>1095.5242993640852</v>
      </c>
      <c r="AX107" s="11">
        <f>(1+'CC70 - %'!AX9/100)*Tendencial!BK390</f>
        <v>1119.8576561296859</v>
      </c>
      <c r="AY107" s="11">
        <f>(1+'CC70 - %'!AY9/100)*Tendencial!BL390</f>
        <v>1144.6205225458159</v>
      </c>
      <c r="AZ107" s="11">
        <f>(1+'CC70 - %'!AZ9/100)*Tendencial!BM390</f>
        <v>1170.0293134187943</v>
      </c>
      <c r="BA107" s="11">
        <f>(1+'CC70 - %'!BA9/100)*Tendencial!BN390</f>
        <v>1196.0799574930822</v>
      </c>
      <c r="BB107" s="11">
        <f>(1+'CC70 - %'!BB9/100)*Tendencial!BO390</f>
        <v>1222.7749927220725</v>
      </c>
    </row>
    <row r="108" spans="1:55" ht="15" customHeight="1" x14ac:dyDescent="0.3">
      <c r="B108" s="364"/>
      <c r="C108" s="9" t="s">
        <v>269</v>
      </c>
      <c r="E108" s="382"/>
      <c r="F108" s="382"/>
      <c r="G108" s="11">
        <f>(1+'CC70 - %'!G10/100)*Tendencial!T391</f>
        <v>663.49999198732201</v>
      </c>
      <c r="H108" s="11">
        <f>(1+'CC70 - %'!H10/100)*Tendencial!U391</f>
        <v>685.52940617165405</v>
      </c>
      <c r="I108" s="11">
        <f>(1+'CC70 - %'!I10/100)*Tendencial!V391</f>
        <v>703.11926505083579</v>
      </c>
      <c r="J108" s="11">
        <f>(1+'CC70 - %'!J10/100)*Tendencial!W391</f>
        <v>718.25189623853782</v>
      </c>
      <c r="K108" s="11">
        <f>(1+'CC70 - %'!K10/100)*Tendencial!X391</f>
        <v>737.96049015983999</v>
      </c>
      <c r="L108" s="11">
        <f>(1+'CC70 - %'!L10/100)*Tendencial!Y391</f>
        <v>755.34090104488848</v>
      </c>
      <c r="M108" s="11">
        <f>(1+'CC70 - %'!M10/100)*Tendencial!Z391</f>
        <v>766.29047955504575</v>
      </c>
      <c r="N108" s="11">
        <f>(1+'CC70 - %'!N10/100)*Tendencial!AA391</f>
        <v>778.95015952781296</v>
      </c>
      <c r="O108" s="11">
        <f>(1+'CC70 - %'!O10/100)*Tendencial!AB391</f>
        <v>796.79892659150789</v>
      </c>
      <c r="P108" s="11">
        <f>(1+'CC70 - %'!P10/100)*Tendencial!AC391</f>
        <v>809.1301485272445</v>
      </c>
      <c r="Q108" s="11">
        <f>(1+'CC70 - %'!Q10/100)*Tendencial!AD391</f>
        <v>824.65572004043997</v>
      </c>
      <c r="R108" s="11">
        <f>(1+'CC70 - %'!R10/100)*Tendencial!AE391</f>
        <v>836.15714380319707</v>
      </c>
      <c r="S108" s="11">
        <f>(1+'CC70 - %'!S10/100)*Tendencial!AF391</f>
        <v>848.19327263349066</v>
      </c>
      <c r="T108" s="11">
        <f>(1+'CC70 - %'!T10/100)*Tendencial!AG391</f>
        <v>862.46447311728321</v>
      </c>
      <c r="U108" s="11">
        <f>(1+'CC70 - %'!U10/100)*Tendencial!AH391</f>
        <v>875.5697533365676</v>
      </c>
      <c r="V108" s="11">
        <f>(1+'CC70 - %'!V10/100)*Tendencial!AI391</f>
        <v>890.42344165208419</v>
      </c>
      <c r="W108" s="11">
        <f>(1+'CC70 - %'!W10/100)*Tendencial!AJ391</f>
        <v>908.5634083795693</v>
      </c>
      <c r="X108" s="11">
        <f>(1+'CC70 - %'!X10/100)*Tendencial!AK391</f>
        <v>925.97702547826304</v>
      </c>
      <c r="Y108" s="11">
        <f>(1+'CC70 - %'!Y10/100)*Tendencial!AL391</f>
        <v>945.47930487610506</v>
      </c>
      <c r="Z108" s="11">
        <f>(1+'CC70 - %'!Z10/100)*Tendencial!AM391</f>
        <v>966.07520153202927</v>
      </c>
      <c r="AA108" s="11">
        <f>(1+'CC70 - %'!AA10/100)*Tendencial!AN391</f>
        <v>984.07720557792027</v>
      </c>
      <c r="AB108" s="11">
        <f>(1+'CC70 - %'!AB10/100)*Tendencial!AO391</f>
        <v>1007.8038990117382</v>
      </c>
      <c r="AC108" s="11">
        <f>(1+'CC70 - %'!AC10/100)*Tendencial!AP391</f>
        <v>1030.0623577701224</v>
      </c>
      <c r="AD108" s="11">
        <f>(1+'CC70 - %'!AD10/100)*Tendencial!AQ391</f>
        <v>1057.9505644753426</v>
      </c>
      <c r="AE108" s="11">
        <f>(1+'CC70 - %'!AE10/100)*Tendencial!AR391</f>
        <v>1082.8173381087124</v>
      </c>
      <c r="AF108" s="11">
        <f>(1+'CC70 - %'!AF10/100)*Tendencial!AS391</f>
        <v>1108.0427603992321</v>
      </c>
      <c r="AG108" s="11">
        <f>(1+'CC70 - %'!AG10/100)*Tendencial!AT391</f>
        <v>1134.7093075150867</v>
      </c>
      <c r="AH108" s="11">
        <f>(1+'CC70 - %'!AH10/100)*Tendencial!AU391</f>
        <v>1161.7142617463585</v>
      </c>
      <c r="AI108" s="11">
        <f>(1+'CC70 - %'!AI10/100)*Tendencial!AV391</f>
        <v>1185.8074476925374</v>
      </c>
      <c r="AJ108" s="11">
        <f>(1+'CC70 - %'!AJ10/100)*Tendencial!AW391</f>
        <v>1210.870652653861</v>
      </c>
      <c r="AK108" s="11">
        <f>(1+'CC70 - %'!AK10/100)*Tendencial!AX391</f>
        <v>1236.7899390366649</v>
      </c>
      <c r="AL108" s="11">
        <f>(1+'CC70 - %'!AL10/100)*Tendencial!AY391</f>
        <v>1263.7442134337618</v>
      </c>
      <c r="AM108" s="11">
        <f>(1+'CC70 - %'!AM10/100)*Tendencial!AZ391</f>
        <v>1291.6674729361334</v>
      </c>
      <c r="AN108" s="11">
        <f>(1+'CC70 - %'!AN10/100)*Tendencial!BA391</f>
        <v>1320.3469845394097</v>
      </c>
      <c r="AO108" s="11">
        <f>(1+'CC70 - %'!AO10/100)*Tendencial!BB391</f>
        <v>1349.9140698253975</v>
      </c>
      <c r="AP108" s="11">
        <f>(1+'CC70 - %'!AP10/100)*Tendencial!BC391</f>
        <v>1380.2558040467206</v>
      </c>
      <c r="AQ108" s="11">
        <f>(1+'CC70 - %'!AQ10/100)*Tendencial!BD391</f>
        <v>1411.3394819861121</v>
      </c>
      <c r="AR108" s="11">
        <f>(1+'CC70 - %'!AR10/100)*Tendencial!BE391</f>
        <v>1443.4660979773553</v>
      </c>
      <c r="AS108" s="11">
        <f>(1+'CC70 - %'!AS10/100)*Tendencial!BF391</f>
        <v>1476.2026341652729</v>
      </c>
      <c r="AT108" s="11">
        <f>(1+'CC70 - %'!AT10/100)*Tendencial!BG391</f>
        <v>1509.7364839664203</v>
      </c>
      <c r="AU108" s="11">
        <f>(1+'CC70 - %'!AU10/100)*Tendencial!BH391</f>
        <v>1543.621079644573</v>
      </c>
      <c r="AV108" s="11">
        <f>(1+'CC70 - %'!AV10/100)*Tendencial!BI391</f>
        <v>1578.1640379188943</v>
      </c>
      <c r="AW108" s="11">
        <f>(1+'CC70 - %'!AW10/100)*Tendencial!BJ391</f>
        <v>1613.3896065148354</v>
      </c>
      <c r="AX108" s="11">
        <f>(1+'CC70 - %'!AX10/100)*Tendencial!BK391</f>
        <v>1649.2255847035678</v>
      </c>
      <c r="AY108" s="11">
        <f>(1+'CC70 - %'!AY10/100)*Tendencial!BL391</f>
        <v>1685.6941060558468</v>
      </c>
      <c r="AZ108" s="11">
        <f>(1+'CC70 - %'!AZ10/100)*Tendencial!BM391</f>
        <v>1723.1138868241678</v>
      </c>
      <c r="BA108" s="11">
        <f>(1+'CC70 - %'!BA10/100)*Tendencial!BN391</f>
        <v>1761.478931229728</v>
      </c>
      <c r="BB108" s="11">
        <f>(1+'CC70 - %'!BB10/100)*Tendencial!BO391</f>
        <v>1800.7929769419047</v>
      </c>
    </row>
    <row r="109" spans="1:55" ht="15" customHeight="1" x14ac:dyDescent="0.3">
      <c r="B109" s="364"/>
      <c r="C109" s="9" t="s">
        <v>270</v>
      </c>
      <c r="E109" s="382"/>
      <c r="F109" s="382"/>
      <c r="G109" s="11">
        <f>(1+'CC70 - %'!G11/100)*Tendencial!T392</f>
        <v>287.48815315080702</v>
      </c>
      <c r="H109" s="11">
        <f>(1+'CC70 - %'!H11/100)*Tendencial!U392</f>
        <v>297.03328604504958</v>
      </c>
      <c r="I109" s="11">
        <f>(1+'CC70 - %'!I11/100)*Tendencial!V392</f>
        <v>304.65480240439854</v>
      </c>
      <c r="J109" s="11">
        <f>(1+'CC70 - %'!J11/100)*Tendencial!W392</f>
        <v>311.21162568247314</v>
      </c>
      <c r="K109" s="11">
        <f>(1+'CC70 - %'!K11/100)*Tendencial!X392</f>
        <v>319.75116951978885</v>
      </c>
      <c r="L109" s="11">
        <f>(1+'CC70 - %'!L11/100)*Tendencial!Y392</f>
        <v>327.28193408148644</v>
      </c>
      <c r="M109" s="11">
        <f>(1+'CC70 - %'!M11/100)*Tendencial!Z392</f>
        <v>332.02628094159161</v>
      </c>
      <c r="N109" s="11">
        <f>(1+'CC70 - %'!N11/100)*Tendencial!AA392</f>
        <v>337.51159828718801</v>
      </c>
      <c r="O109" s="11">
        <f>(1+'CC70 - %'!O11/100)*Tendencial!AB392</f>
        <v>345.24529706808966</v>
      </c>
      <c r="P109" s="11">
        <f>(1+'CC70 - %'!P11/100)*Tendencial!AC392</f>
        <v>350.58829671120856</v>
      </c>
      <c r="Q109" s="11">
        <f>(1+'CC70 - %'!Q11/100)*Tendencial!AD392</f>
        <v>357.31537724601077</v>
      </c>
      <c r="R109" s="11">
        <f>(1+'CC70 - %'!R11/100)*Tendencial!AE392</f>
        <v>362.29883333657693</v>
      </c>
      <c r="S109" s="11">
        <f>(1+'CC70 - %'!S11/100)*Tendencial!AF392</f>
        <v>367.51397198057617</v>
      </c>
      <c r="T109" s="11">
        <f>(1+'CC70 - %'!T11/100)*Tendencial!AG392</f>
        <v>373.69754563525197</v>
      </c>
      <c r="U109" s="11">
        <f>(1+'CC70 - %'!U11/100)*Tendencial!AH392</f>
        <v>379.37593727393318</v>
      </c>
      <c r="V109" s="11">
        <f>(1+'CC70 - %'!V11/100)*Tendencial!AI392</f>
        <v>385.81189729333767</v>
      </c>
      <c r="W109" s="11">
        <f>(1+'CC70 - %'!W11/100)*Tendencial!AJ392</f>
        <v>393.67177008260728</v>
      </c>
      <c r="X109" s="11">
        <f>(1+'CC70 - %'!X11/100)*Tendencial!AK392</f>
        <v>401.21692257670776</v>
      </c>
      <c r="Y109" s="11">
        <f>(1+'CC70 - %'!Y11/100)*Tendencial!AL392</f>
        <v>409.66707231902114</v>
      </c>
      <c r="Z109" s="11">
        <f>(1+'CC70 - %'!Z11/100)*Tendencial!AM392</f>
        <v>418.59107588134481</v>
      </c>
      <c r="AA109" s="11">
        <f>(1+'CC70 - %'!AA11/100)*Tendencial!AN392</f>
        <v>426.39117077006546</v>
      </c>
      <c r="AB109" s="11">
        <f>(1+'CC70 - %'!AB11/100)*Tendencial!AO392</f>
        <v>436.67171840840518</v>
      </c>
      <c r="AC109" s="11">
        <f>(1+'CC70 - %'!AC11/100)*Tendencial!AP392</f>
        <v>446.31609410954849</v>
      </c>
      <c r="AD109" s="11">
        <f>(1+'CC70 - %'!AD11/100)*Tendencial!AQ392</f>
        <v>458.3997853487262</v>
      </c>
      <c r="AE109" s="11">
        <f>(1+'CC70 - %'!AE11/100)*Tendencial!AR392</f>
        <v>469.1743187519055</v>
      </c>
      <c r="AF109" s="11">
        <f>(1+'CC70 - %'!AF11/100)*Tendencial!AS392</f>
        <v>480.10425116234825</v>
      </c>
      <c r="AG109" s="11">
        <f>(1+'CC70 - %'!AG11/100)*Tendencial!AT392</f>
        <v>491.65860907316568</v>
      </c>
      <c r="AH109" s="11">
        <f>(1+'CC70 - %'!AH11/100)*Tendencial!AU392</f>
        <v>503.35959552625781</v>
      </c>
      <c r="AI109" s="11">
        <f>(1+'CC70 - %'!AI11/100)*Tendencial!AV392</f>
        <v>513.79894083874171</v>
      </c>
      <c r="AJ109" s="11">
        <f>(1+'CC70 - %'!AJ11/100)*Tendencial!AW392</f>
        <v>524.65858604354344</v>
      </c>
      <c r="AK109" s="11">
        <f>(1+'CC70 - %'!AK11/100)*Tendencial!AX392</f>
        <v>535.88916307921204</v>
      </c>
      <c r="AL109" s="11">
        <f>(1+'CC70 - %'!AL11/100)*Tendencial!AY392</f>
        <v>547.56819044849874</v>
      </c>
      <c r="AM109" s="11">
        <f>(1+'CC70 - %'!AM11/100)*Tendencial!AZ392</f>
        <v>559.66706972691918</v>
      </c>
      <c r="AN109" s="11">
        <f>(1+'CC70 - %'!AN11/100)*Tendencial!BA392</f>
        <v>572.0936257535401</v>
      </c>
      <c r="AO109" s="11">
        <f>(1+'CC70 - %'!AO11/100)*Tendencial!BB392</f>
        <v>584.90475890436539</v>
      </c>
      <c r="AP109" s="11">
        <f>(1+'CC70 - %'!AP11/100)*Tendencial!BC392</f>
        <v>598.0515399744811</v>
      </c>
      <c r="AQ109" s="11">
        <f>(1+'CC70 - %'!AQ11/100)*Tendencial!BD392</f>
        <v>611.51979810838748</v>
      </c>
      <c r="AR109" s="11">
        <f>(1+'CC70 - %'!AR11/100)*Tendencial!BE392</f>
        <v>625.43995125058098</v>
      </c>
      <c r="AS109" s="11">
        <f>(1+'CC70 - %'!AS11/100)*Tendencial!BF392</f>
        <v>639.62437693690231</v>
      </c>
      <c r="AT109" s="11">
        <f>(1+'CC70 - %'!AT11/100)*Tendencial!BG392</f>
        <v>654.1542709290527</v>
      </c>
      <c r="AU109" s="11">
        <f>(1+'CC70 - %'!AU11/100)*Tendencial!BH392</f>
        <v>668.83613972997966</v>
      </c>
      <c r="AV109" s="11">
        <f>(1+'CC70 - %'!AV11/100)*Tendencial!BI392</f>
        <v>683.80327069995235</v>
      </c>
      <c r="AW109" s="11">
        <f>(1+'CC70 - %'!AW11/100)*Tendencial!BJ392</f>
        <v>699.06617014476149</v>
      </c>
      <c r="AX109" s="11">
        <f>(1+'CC70 - %'!AX11/100)*Tendencial!BK392</f>
        <v>714.59355418432028</v>
      </c>
      <c r="AY109" s="11">
        <f>(1+'CC70 - %'!AY11/100)*Tendencial!BL392</f>
        <v>730.39501308156127</v>
      </c>
      <c r="AZ109" s="11">
        <f>(1+'CC70 - %'!AZ11/100)*Tendencial!BM392</f>
        <v>746.60864351759335</v>
      </c>
      <c r="BA109" s="11">
        <f>(1+'CC70 - %'!BA11/100)*Tendencial!BN392</f>
        <v>763.23184757923548</v>
      </c>
      <c r="BB109" s="11">
        <f>(1+'CC70 - %'!BB11/100)*Tendencial!BO392</f>
        <v>780.26624476261338</v>
      </c>
    </row>
    <row r="110" spans="1:55" ht="14.4" x14ac:dyDescent="0.3">
      <c r="A110" s="28"/>
      <c r="B110" s="364"/>
      <c r="C110" s="9" t="s">
        <v>271</v>
      </c>
      <c r="E110" s="382"/>
      <c r="F110" s="382"/>
      <c r="G110" s="11">
        <f>(1+'CC70 - %'!G12/100)*Tendencial!T393</f>
        <v>113.6351703160659</v>
      </c>
      <c r="H110" s="11">
        <f>(1+'CC70 - %'!H12/100)*Tendencial!U393</f>
        <v>117.29159109563213</v>
      </c>
      <c r="I110" s="11">
        <f>(1+'CC70 - %'!I12/100)*Tendencial!V393</f>
        <v>120.18216263898749</v>
      </c>
      <c r="J110" s="11">
        <f>(1+'CC70 - %'!J12/100)*Tendencial!W393</f>
        <v>122.64767102444982</v>
      </c>
      <c r="K110" s="11">
        <f>(1+'CC70 - %'!K12/100)*Tendencial!X393</f>
        <v>125.88918309839627</v>
      </c>
      <c r="L110" s="11">
        <f>(1+'CC70 - %'!L12/100)*Tendencial!Y393</f>
        <v>128.72780207454895</v>
      </c>
      <c r="M110" s="11">
        <f>(1+'CC70 - %'!M12/100)*Tendencial!Z393</f>
        <v>130.46622325295002</v>
      </c>
      <c r="N110" s="11">
        <f>(1+'CC70 - %'!N12/100)*Tendencial!AA393</f>
        <v>132.49237811817116</v>
      </c>
      <c r="O110" s="11">
        <f>(1+'CC70 - %'!O12/100)*Tendencial!AB393</f>
        <v>135.3966062867932</v>
      </c>
      <c r="P110" s="11">
        <f>(1+'CC70 - %'!P12/100)*Tendencial!AC393</f>
        <v>137.35879738115818</v>
      </c>
      <c r="Q110" s="11">
        <f>(1+'CC70 - %'!Q12/100)*Tendencial!AD393</f>
        <v>139.85920913625446</v>
      </c>
      <c r="R110" s="11">
        <f>(1+'CC70 - %'!R12/100)*Tendencial!AE393</f>
        <v>141.67323985126009</v>
      </c>
      <c r="S110" s="11">
        <f>(1+'CC70 - %'!S12/100)*Tendencial!AF393</f>
        <v>143.57456212351809</v>
      </c>
      <c r="T110" s="11">
        <f>(1+'CC70 - %'!T12/100)*Tendencial!AG393</f>
        <v>145.85048196827296</v>
      </c>
      <c r="U110" s="11">
        <f>(1+'CC70 - %'!U12/100)*Tendencial!AH393</f>
        <v>147.92534729773567</v>
      </c>
      <c r="V110" s="11">
        <f>(1+'CC70 - %'!V12/100)*Tendencial!AI393</f>
        <v>150.29164416456345</v>
      </c>
      <c r="W110" s="11">
        <f>(1+'CC70 - %'!W12/100)*Tendencial!AJ393</f>
        <v>153.2078792946167</v>
      </c>
      <c r="X110" s="11">
        <f>(1+'CC70 - %'!X12/100)*Tendencial!AK393</f>
        <v>155.9965086377504</v>
      </c>
      <c r="Y110" s="11">
        <f>(1+'CC70 - %'!Y12/100)*Tendencial!AL393</f>
        <v>159.13169775014759</v>
      </c>
      <c r="Z110" s="11">
        <f>(1+'CC70 - %'!Z12/100)*Tendencial!AM393</f>
        <v>162.4451666045853</v>
      </c>
      <c r="AA110" s="11">
        <f>(1+'CC70 - %'!AA12/100)*Tendencial!AN393</f>
        <v>165.3169582623625</v>
      </c>
      <c r="AB110" s="11">
        <f>(1+'CC70 - %'!AB12/100)*Tendencial!AO393</f>
        <v>169.1444763800703</v>
      </c>
      <c r="AC110" s="11">
        <f>(1+'CC70 - %'!AC12/100)*Tendencial!AP393</f>
        <v>172.71896516203608</v>
      </c>
      <c r="AD110" s="11">
        <f>(1+'CC70 - %'!AD12/100)*Tendencial!AQ393</f>
        <v>177.23022036207595</v>
      </c>
      <c r="AE110" s="11">
        <f>(1+'CC70 - %'!AE12/100)*Tendencial!AR393</f>
        <v>181.22773330758173</v>
      </c>
      <c r="AF110" s="11">
        <f>(1+'CC70 - %'!AF12/100)*Tendencial!AS393</f>
        <v>185.27814323661522</v>
      </c>
      <c r="AG110" s="11">
        <f>(1+'CC70 - %'!AG12/100)*Tendencial!AT393</f>
        <v>189.5621606494062</v>
      </c>
      <c r="AH110" s="11">
        <f>(1+'CC70 - %'!AH12/100)*Tendencial!AU393</f>
        <v>193.89511365821164</v>
      </c>
      <c r="AI110" s="11">
        <f>(1+'CC70 - %'!AI12/100)*Tendencial!AV393</f>
        <v>197.73491869498301</v>
      </c>
      <c r="AJ110" s="11">
        <f>(1+'CC70 - %'!AJ12/100)*Tendencial!AW393</f>
        <v>201.72965165138905</v>
      </c>
      <c r="AK110" s="11">
        <f>(1+'CC70 - %'!AK12/100)*Tendencial!AX393</f>
        <v>205.85994365694143</v>
      </c>
      <c r="AL110" s="11">
        <f>(1+'CC70 - %'!AL12/100)*Tendencial!AY393</f>
        <v>210.15519655191838</v>
      </c>
      <c r="AM110" s="11">
        <f>(1+'CC70 - %'!AM12/100)*Tendencial!AZ393</f>
        <v>214.60401645139817</v>
      </c>
      <c r="AN110" s="11">
        <f>(1+'CC70 - %'!AN12/100)*Tendencial!BA393</f>
        <v>219.17069588718437</v>
      </c>
      <c r="AO110" s="11">
        <f>(1+'CC70 - %'!AO12/100)*Tendencial!BB393</f>
        <v>223.87671743419244</v>
      </c>
      <c r="AP110" s="11">
        <f>(1+'CC70 - %'!AP12/100)*Tendencial!BC393</f>
        <v>228.70301691404208</v>
      </c>
      <c r="AQ110" s="11">
        <f>(1+'CC70 - %'!AQ12/100)*Tendencial!BD393</f>
        <v>233.64388000088451</v>
      </c>
      <c r="AR110" s="11">
        <f>(1+'CC70 - %'!AR12/100)*Tendencial!BE393</f>
        <v>238.74880774386324</v>
      </c>
      <c r="AS110" s="11">
        <f>(1+'CC70 - %'!AS12/100)*Tendencial!BF393</f>
        <v>243.94582864871737</v>
      </c>
      <c r="AT110" s="11">
        <f>(1+'CC70 - %'!AT12/100)*Tendencial!BG393</f>
        <v>249.26566190441039</v>
      </c>
      <c r="AU110" s="11">
        <f>(1+'CC70 - %'!AU12/100)*Tendencial!BH393</f>
        <v>254.63434099514024</v>
      </c>
      <c r="AV110" s="11">
        <f>(1+'CC70 - %'!AV12/100)*Tendencial!BI393</f>
        <v>260.1024616616067</v>
      </c>
      <c r="AW110" s="11">
        <f>(1+'CC70 - %'!AW12/100)*Tendencial!BJ393</f>
        <v>265.67377986607835</v>
      </c>
      <c r="AX110" s="11">
        <f>(1+'CC70 - %'!AX12/100)*Tendencial!BK393</f>
        <v>271.3361712483358</v>
      </c>
      <c r="AY110" s="11">
        <f>(1+'CC70 - %'!AY12/100)*Tendencial!BL393</f>
        <v>277.09306148326738</v>
      </c>
      <c r="AZ110" s="11">
        <f>(1+'CC70 - %'!AZ12/100)*Tendencial!BM393</f>
        <v>282.99657450575944</v>
      </c>
      <c r="BA110" s="11">
        <f>(1+'CC70 - %'!BA12/100)*Tendencial!BN393</f>
        <v>289.04537060969415</v>
      </c>
      <c r="BB110" s="11">
        <f>(1+'CC70 - %'!BB12/100)*Tendencial!BO393</f>
        <v>295.23971189888522</v>
      </c>
    </row>
    <row r="111" spans="1:55" ht="14.4" x14ac:dyDescent="0.3">
      <c r="A111" s="28"/>
      <c r="B111" s="364"/>
      <c r="C111" s="9" t="s">
        <v>272</v>
      </c>
      <c r="E111" s="382"/>
      <c r="F111" s="382"/>
      <c r="G111" s="11">
        <f>(1+'CC70 - %'!G13/100)*Tendencial!T394</f>
        <v>234.77925897107576</v>
      </c>
      <c r="H111" s="11">
        <f>(1+'CC70 - %'!H13/100)*Tendencial!U394</f>
        <v>242.57436010178267</v>
      </c>
      <c r="I111" s="11">
        <f>(1+'CC70 - %'!I13/100)*Tendencial!V394</f>
        <v>248.79852601426546</v>
      </c>
      <c r="J111" s="11">
        <f>(1+'CC70 - %'!J13/100)*Tendencial!W394</f>
        <v>254.15320269766647</v>
      </c>
      <c r="K111" s="11">
        <f>(1+'CC70 - %'!K13/100)*Tendencial!X394</f>
        <v>261.1270823240186</v>
      </c>
      <c r="L111" s="11">
        <f>(1+'CC70 - %'!L13/100)*Tendencial!Y394</f>
        <v>267.27713513107648</v>
      </c>
      <c r="M111" s="11">
        <f>(1+'CC70 - %'!M13/100)*Tendencial!Z394</f>
        <v>271.15163996861298</v>
      </c>
      <c r="N111" s="11">
        <f>(1+'CC70 - %'!N13/100)*Tendencial!AA394</f>
        <v>275.63126365920988</v>
      </c>
      <c r="O111" s="11">
        <f>(1+'CC70 - %'!O13/100)*Tendencial!AB394</f>
        <v>281.94704414959114</v>
      </c>
      <c r="P111" s="11">
        <f>(1+'CC70 - %'!P13/100)*Tendencial!AC394</f>
        <v>286.31044306932387</v>
      </c>
      <c r="Q111" s="11">
        <f>(1+'CC70 - %'!Q13/100)*Tendencial!AD394</f>
        <v>291.8041615606424</v>
      </c>
      <c r="R111" s="11">
        <f>(1+'CC70 - %'!R13/100)*Tendencial!AE394</f>
        <v>295.87393666349425</v>
      </c>
      <c r="S111" s="11">
        <f>(1+'CC70 - %'!S13/100)*Tendencial!AF394</f>
        <v>300.13291698268426</v>
      </c>
      <c r="T111" s="11">
        <f>(1+'CC70 - %'!T13/100)*Tendencial!AG394</f>
        <v>305.18277668829899</v>
      </c>
      <c r="U111" s="11">
        <f>(1+'CC70 - %'!U13/100)*Tendencial!AH394</f>
        <v>309.82007588294715</v>
      </c>
      <c r="V111" s="11">
        <f>(1+'CC70 - %'!V13/100)*Tendencial!AI394</f>
        <v>315.0760487206544</v>
      </c>
      <c r="W111" s="11">
        <f>(1+'CC70 - %'!W13/100)*Tendencial!AJ394</f>
        <v>321.49487011850044</v>
      </c>
      <c r="X111" s="11">
        <f>(1+'CC70 - %'!X13/100)*Tendencial!AK394</f>
        <v>327.656672933587</v>
      </c>
      <c r="Y111" s="11">
        <f>(1+'CC70 - %'!Y13/100)*Tendencial!AL394</f>
        <v>334.55754823210503</v>
      </c>
      <c r="Z111" s="11">
        <f>(1+'CC70 - %'!Z13/100)*Tendencial!AM394</f>
        <v>341.84539964599799</v>
      </c>
      <c r="AA111" s="11">
        <f>(1+'CC70 - %'!AA13/100)*Tendencial!AN394</f>
        <v>348.21540299329166</v>
      </c>
      <c r="AB111" s="11">
        <f>(1+'CC70 - %'!AB13/100)*Tendencial!AO394</f>
        <v>356.61108584106489</v>
      </c>
      <c r="AC111" s="11">
        <f>(1+'CC70 - %'!AC13/100)*Tendencial!AP394</f>
        <v>364.48723432070432</v>
      </c>
      <c r="AD111" s="11">
        <f>(1+'CC70 - %'!AD13/100)*Tendencial!AQ394</f>
        <v>374.35546730239952</v>
      </c>
      <c r="AE111" s="11">
        <f>(1+'CC70 - %'!AE13/100)*Tendencial!AR394</f>
        <v>383.1545671624574</v>
      </c>
      <c r="AF111" s="11">
        <f>(1+'CC70 - %'!AF13/100)*Tendencial!AS394</f>
        <v>392.08057473460792</v>
      </c>
      <c r="AG111" s="11">
        <f>(1+'CC70 - %'!AG13/100)*Tendencial!AT394</f>
        <v>401.51652386314578</v>
      </c>
      <c r="AH111" s="11">
        <f>(1+'CC70 - %'!AH13/100)*Tendencial!AU394</f>
        <v>411.0722182407381</v>
      </c>
      <c r="AI111" s="11">
        <f>(1+'CC70 - %'!AI13/100)*Tendencial!AV394</f>
        <v>419.59758434625019</v>
      </c>
      <c r="AJ111" s="11">
        <f>(1+'CC70 - %'!AJ13/100)*Tendencial!AW394</f>
        <v>428.46619136858789</v>
      </c>
      <c r="AK111" s="11">
        <f>(1+'CC70 - %'!AK13/100)*Tendencial!AX394</f>
        <v>437.63772252684299</v>
      </c>
      <c r="AL111" s="11">
        <f>(1+'CC70 - %'!AL13/100)*Tendencial!AY394</f>
        <v>447.17548386139674</v>
      </c>
      <c r="AM111" s="11">
        <f>(1+'CC70 - %'!AM13/100)*Tendencial!AZ394</f>
        <v>457.05612026410091</v>
      </c>
      <c r="AN111" s="11">
        <f>(1+'CC70 - %'!AN13/100)*Tendencial!BA394</f>
        <v>467.20435622971377</v>
      </c>
      <c r="AO111" s="11">
        <f>(1+'CC70 - %'!AO13/100)*Tendencial!BB394</f>
        <v>477.66665985776189</v>
      </c>
      <c r="AP111" s="11">
        <f>(1+'CC70 - %'!AP13/100)*Tendencial!BC394</f>
        <v>488.40307276267066</v>
      </c>
      <c r="AQ111" s="11">
        <f>(1+'CC70 - %'!AQ13/100)*Tendencial!BD394</f>
        <v>499.40202221381907</v>
      </c>
      <c r="AR111" s="11">
        <f>(1+'CC70 - %'!AR13/100)*Tendencial!BE394</f>
        <v>510.77001495950168</v>
      </c>
      <c r="AS111" s="11">
        <f>(1+'CC70 - %'!AS13/100)*Tendencial!BF394</f>
        <v>522.35382777079997</v>
      </c>
      <c r="AT111" s="11">
        <f>(1+'CC70 - %'!AT13/100)*Tendencial!BG394</f>
        <v>534.2197697479495</v>
      </c>
      <c r="AU111" s="11">
        <f>(1+'CC70 - %'!AU13/100)*Tendencial!BH394</f>
        <v>546.20982304097686</v>
      </c>
      <c r="AV111" s="11">
        <f>(1+'CC70 - %'!AV13/100)*Tendencial!BI394</f>
        <v>558.43283772711573</v>
      </c>
      <c r="AW111" s="11">
        <f>(1+'CC70 - %'!AW13/100)*Tendencial!BJ394</f>
        <v>570.89739385622545</v>
      </c>
      <c r="AX111" s="11">
        <f>(1+'CC70 - %'!AX13/100)*Tendencial!BK394</f>
        <v>583.57794322360962</v>
      </c>
      <c r="AY111" s="11">
        <f>(1+'CC70 - %'!AY13/100)*Tendencial!BL394</f>
        <v>596.48231778616798</v>
      </c>
      <c r="AZ111" s="11">
        <f>(1+'CC70 - %'!AZ13/100)*Tendencial!BM394</f>
        <v>609.72329518743732</v>
      </c>
      <c r="BA111" s="11">
        <f>(1+'CC70 - %'!BA13/100)*Tendencial!BN394</f>
        <v>623.29875382301475</v>
      </c>
      <c r="BB111" s="11">
        <f>(1+'CC70 - %'!BB13/100)*Tendencial!BO394</f>
        <v>637.21001626600844</v>
      </c>
    </row>
    <row r="112" spans="1:55" ht="14.4" x14ac:dyDescent="0.3">
      <c r="A112" s="28"/>
      <c r="B112" s="364"/>
      <c r="C112" s="9" t="s">
        <v>273</v>
      </c>
      <c r="E112" s="382"/>
      <c r="F112" s="382"/>
      <c r="G112" s="11">
        <f>(1+'CC70 - %'!G14/100)*Tendencial!T395</f>
        <v>530.02195218760505</v>
      </c>
      <c r="H112" s="11">
        <f>(1+'CC70 - %'!H14/100)*Tendencial!U395</f>
        <v>547.07638414044754</v>
      </c>
      <c r="I112" s="11">
        <f>(1+'CC70 - %'!I14/100)*Tendencial!V395</f>
        <v>560.55870979795179</v>
      </c>
      <c r="J112" s="11">
        <f>(1+'CC70 - %'!J14/100)*Tendencial!W395</f>
        <v>572.05843795397061</v>
      </c>
      <c r="K112" s="11">
        <f>(1+'CC70 - %'!K14/100)*Tendencial!X395</f>
        <v>587.177635229727</v>
      </c>
      <c r="L112" s="11">
        <f>(1+'CC70 - %'!L14/100)*Tendencial!Y395</f>
        <v>600.4176415329913</v>
      </c>
      <c r="M112" s="11">
        <f>(1+'CC70 - %'!M14/100)*Tendencial!Z395</f>
        <v>608.52605888421817</v>
      </c>
      <c r="N112" s="11">
        <f>(1+'CC70 - %'!N14/100)*Tendencial!AA395</f>
        <v>617.97653582821317</v>
      </c>
      <c r="O112" s="11">
        <f>(1+'CC70 - %'!O14/100)*Tendencial!AB395</f>
        <v>631.52255929304249</v>
      </c>
      <c r="P112" s="11">
        <f>(1+'CC70 - %'!P14/100)*Tendencial!AC395</f>
        <v>640.67469372033088</v>
      </c>
      <c r="Q112" s="11">
        <f>(1+'CC70 - %'!Q14/100)*Tendencial!AD395</f>
        <v>652.3372196445041</v>
      </c>
      <c r="R112" s="11">
        <f>(1+'CC70 - %'!R14/100)*Tendencial!AE395</f>
        <v>660.7982981840205</v>
      </c>
      <c r="S112" s="11">
        <f>(1+'CC70 - %'!S14/100)*Tendencial!AF395</f>
        <v>669.66652568504003</v>
      </c>
      <c r="T112" s="11">
        <f>(1+'CC70 - %'!T14/100)*Tendencial!AG395</f>
        <v>680.28196697653732</v>
      </c>
      <c r="U112" s="11">
        <f>(1+'CC70 - %'!U14/100)*Tendencial!AH395</f>
        <v>689.95964132145548</v>
      </c>
      <c r="V112" s="11">
        <f>(1+'CC70 - %'!V14/100)*Tendencial!AI395</f>
        <v>700.99662292955338</v>
      </c>
      <c r="W112" s="11">
        <f>(1+'CC70 - %'!W14/100)*Tendencial!AJ395</f>
        <v>714.59864977009727</v>
      </c>
      <c r="X112" s="11">
        <f>(1+'CC70 - %'!X14/100)*Tendencial!AK395</f>
        <v>727.60549231949767</v>
      </c>
      <c r="Y112" s="11">
        <f>(1+'CC70 - %'!Y14/100)*Tendencial!AL395</f>
        <v>742.22877355547553</v>
      </c>
      <c r="Z112" s="11">
        <f>(1+'CC70 - %'!Z14/100)*Tendencial!AM395</f>
        <v>757.68359468045958</v>
      </c>
      <c r="AA112" s="11">
        <f>(1+'CC70 - %'!AA14/100)*Tendencial!AN395</f>
        <v>771.07832640389984</v>
      </c>
      <c r="AB112" s="11">
        <f>(1+'CC70 - %'!AB14/100)*Tendencial!AO395</f>
        <v>788.93079777467676</v>
      </c>
      <c r="AC112" s="11">
        <f>(1+'CC70 - %'!AC14/100)*Tendencial!AP395</f>
        <v>805.60307905010086</v>
      </c>
      <c r="AD112" s="11">
        <f>(1+'CC70 - %'!AD14/100)*Tendencial!AQ395</f>
        <v>826.64466574628921</v>
      </c>
      <c r="AE112" s="11">
        <f>(1+'CC70 - %'!AE14/100)*Tendencial!AR395</f>
        <v>845.29003415977445</v>
      </c>
      <c r="AF112" s="11">
        <f>(1+'CC70 - %'!AF14/100)*Tendencial!AS395</f>
        <v>864.18212691393899</v>
      </c>
      <c r="AG112" s="11">
        <f>(1+'CC70 - %'!AG14/100)*Tendencial!AT395</f>
        <v>884.16382154261441</v>
      </c>
      <c r="AH112" s="11">
        <f>(1+'CC70 - %'!AH14/100)*Tendencial!AU395</f>
        <v>904.3737636413199</v>
      </c>
      <c r="AI112" s="11">
        <f>(1+'CC70 - %'!AI14/100)*Tendencial!AV395</f>
        <v>922.28354417800313</v>
      </c>
      <c r="AJ112" s="11">
        <f>(1+'CC70 - %'!AJ14/100)*Tendencial!AW395</f>
        <v>940.91594604912655</v>
      </c>
      <c r="AK112" s="11">
        <f>(1+'CC70 - %'!AK14/100)*Tendencial!AX395</f>
        <v>960.18062815237693</v>
      </c>
      <c r="AL112" s="11">
        <f>(1+'CC70 - %'!AL14/100)*Tendencial!AY395</f>
        <v>980.21472779074634</v>
      </c>
      <c r="AM112" s="11">
        <f>(1+'CC70 - %'!AM14/100)*Tendencial!AZ395</f>
        <v>1000.9651011258226</v>
      </c>
      <c r="AN112" s="11">
        <f>(1+'CC70 - %'!AN14/100)*Tendencial!BA395</f>
        <v>1022.2651998790358</v>
      </c>
      <c r="AO112" s="11">
        <f>(1+'CC70 - %'!AO14/100)*Tendencial!BB395</f>
        <v>1044.2152239820005</v>
      </c>
      <c r="AP112" s="11">
        <f>(1+'CC70 - %'!AP14/100)*Tendencial!BC395</f>
        <v>1066.7262534901797</v>
      </c>
      <c r="AQ112" s="11">
        <f>(1+'CC70 - %'!AQ14/100)*Tendencial!BD395</f>
        <v>1089.7716354040367</v>
      </c>
      <c r="AR112" s="11">
        <f>(1+'CC70 - %'!AR14/100)*Tendencial!BE395</f>
        <v>1113.5822546039244</v>
      </c>
      <c r="AS112" s="11">
        <f>(1+'CC70 - %'!AS14/100)*Tendencial!BF395</f>
        <v>1137.8224186120312</v>
      </c>
      <c r="AT112" s="11">
        <f>(1+'CC70 - %'!AT14/100)*Tendencial!BG395</f>
        <v>1162.6354091646253</v>
      </c>
      <c r="AU112" s="11">
        <f>(1+'CC70 - %'!AU14/100)*Tendencial!BH395</f>
        <v>1187.6762285203129</v>
      </c>
      <c r="AV112" s="11">
        <f>(1+'CC70 - %'!AV14/100)*Tendencial!BI395</f>
        <v>1213.180867465956</v>
      </c>
      <c r="AW112" s="11">
        <f>(1+'CC70 - %'!AW14/100)*Tendencial!BJ395</f>
        <v>1239.1668447191175</v>
      </c>
      <c r="AX112" s="11">
        <f>(1+'CC70 - %'!AX14/100)*Tendencial!BK395</f>
        <v>1265.5776093277047</v>
      </c>
      <c r="AY112" s="11">
        <f>(1+'CC70 - %'!AY14/100)*Tendencial!BL395</f>
        <v>1292.4291394689574</v>
      </c>
      <c r="AZ112" s="11">
        <f>(1+'CC70 - %'!AZ14/100)*Tendencial!BM395</f>
        <v>1319.9645537974898</v>
      </c>
      <c r="BA112" s="11">
        <f>(1+'CC70 - %'!BA14/100)*Tendencial!BN395</f>
        <v>1348.1776035995451</v>
      </c>
      <c r="BB112" s="11">
        <f>(1+'CC70 - %'!BB14/100)*Tendencial!BO395</f>
        <v>1377.0695113907827</v>
      </c>
    </row>
    <row r="113" spans="1:55" ht="14.4" x14ac:dyDescent="0.3">
      <c r="A113" s="28"/>
      <c r="B113" s="364"/>
      <c r="C113" s="9" t="s">
        <v>274</v>
      </c>
      <c r="E113" s="382"/>
      <c r="F113" s="382"/>
      <c r="G113" s="11">
        <f>(1+'CC70 - %'!G15/100)*Tendencial!T396</f>
        <v>502.16878220503571</v>
      </c>
      <c r="H113" s="11">
        <f>(1+'CC70 - %'!H15/100)*Tendencial!U396</f>
        <v>518.84170492882049</v>
      </c>
      <c r="I113" s="11">
        <f>(1+'CC70 - %'!I15/100)*Tendencial!V396</f>
        <v>532.15455816045392</v>
      </c>
      <c r="J113" s="11">
        <f>(1+'CC70 - %'!J15/100)*Tendencial!W396</f>
        <v>543.60766300876776</v>
      </c>
      <c r="K113" s="11">
        <f>(1+'CC70 - %'!K15/100)*Tendencial!X396</f>
        <v>558.52407706747817</v>
      </c>
      <c r="L113" s="11">
        <f>(1+'CC70 - %'!L15/100)*Tendencial!Y396</f>
        <v>571.67840995936865</v>
      </c>
      <c r="M113" s="11">
        <f>(1+'CC70 - %'!M15/100)*Tendencial!Z396</f>
        <v>579.96557887045606</v>
      </c>
      <c r="N113" s="11">
        <f>(1+'CC70 - %'!N15/100)*Tendencial!AA396</f>
        <v>589.54703501484653</v>
      </c>
      <c r="O113" s="11">
        <f>(1+'CC70 - %'!O15/100)*Tendencial!AB396</f>
        <v>603.05584244284773</v>
      </c>
      <c r="P113" s="11">
        <f>(1+'CC70 - %'!P15/100)*Tendencial!AC396</f>
        <v>612.388705709389</v>
      </c>
      <c r="Q113" s="11">
        <f>(1+'CC70 - %'!Q15/100)*Tendencial!AD396</f>
        <v>624.1392067402428</v>
      </c>
      <c r="R113" s="11">
        <f>(1+'CC70 - %'!R15/100)*Tendencial!AE396</f>
        <v>632.84403874373459</v>
      </c>
      <c r="S113" s="11">
        <f>(1+'CC70 - %'!S15/100)*Tendencial!AF396</f>
        <v>641.95356132122231</v>
      </c>
      <c r="T113" s="11">
        <f>(1+'CC70 - %'!T15/100)*Tendencial!AG396</f>
        <v>652.75469388203021</v>
      </c>
      <c r="U113" s="11">
        <f>(1+'CC70 - %'!U15/100)*Tendencial!AH396</f>
        <v>662.67340177600022</v>
      </c>
      <c r="V113" s="11">
        <f>(1+'CC70 - %'!V15/100)*Tendencial!AI396</f>
        <v>673.91538921041558</v>
      </c>
      <c r="W113" s="11">
        <f>(1+'CC70 - %'!W15/100)*Tendencial!AJ396</f>
        <v>687.644590583119</v>
      </c>
      <c r="X113" s="11">
        <f>(1+'CC70 - %'!X15/100)*Tendencial!AK396</f>
        <v>700.82405553841465</v>
      </c>
      <c r="Y113" s="11">
        <f>(1+'CC70 - %'!Y15/100)*Tendencial!AL396</f>
        <v>715.58432081905653</v>
      </c>
      <c r="Z113" s="11">
        <f>(1+'CC70 - %'!Z15/100)*Tendencial!AM396</f>
        <v>731.17228836544336</v>
      </c>
      <c r="AA113" s="11">
        <f>(1+'CC70 - %'!AA15/100)*Tendencial!AN396</f>
        <v>744.79707292934108</v>
      </c>
      <c r="AB113" s="11">
        <f>(1+'CC70 - %'!AB15/100)*Tendencial!AO396</f>
        <v>762.75457841735954</v>
      </c>
      <c r="AC113" s="11">
        <f>(1+'CC70 - %'!AC15/100)*Tendencial!AP396</f>
        <v>779.60085311734838</v>
      </c>
      <c r="AD113" s="11">
        <f>(1+'CC70 - %'!AD15/100)*Tendencial!AQ396</f>
        <v>800.70799248157971</v>
      </c>
      <c r="AE113" s="11">
        <f>(1+'CC70 - %'!AE15/100)*Tendencial!AR396</f>
        <v>819.52836562949096</v>
      </c>
      <c r="AF113" s="11">
        <f>(1+'CC70 - %'!AF15/100)*Tendencial!AS396</f>
        <v>838.62018137209031</v>
      </c>
      <c r="AG113" s="11">
        <f>(1+'CC70 - %'!AG15/100)*Tendencial!AT396</f>
        <v>858.80270986116034</v>
      </c>
      <c r="AH113" s="11">
        <f>(1+'CC70 - %'!AH15/100)*Tendencial!AU396</f>
        <v>879.24136117026171</v>
      </c>
      <c r="AI113" s="11">
        <f>(1+'CC70 - %'!AI15/100)*Tendencial!AV396</f>
        <v>897.47624586075528</v>
      </c>
      <c r="AJ113" s="11">
        <f>(1+'CC70 - %'!AJ15/100)*Tendencial!AW396</f>
        <v>916.44528770789304</v>
      </c>
      <c r="AK113" s="11">
        <f>(1+'CC70 - %'!AK15/100)*Tendencial!AX396</f>
        <v>936.06225324769798</v>
      </c>
      <c r="AL113" s="11">
        <f>(1+'CC70 - %'!AL15/100)*Tendencial!AY396</f>
        <v>956.46254761494959</v>
      </c>
      <c r="AM113" s="11">
        <f>(1+'CC70 - %'!AM15/100)*Tendencial!AZ396</f>
        <v>977.59621662600966</v>
      </c>
      <c r="AN113" s="11">
        <f>(1+'CC70 - %'!AN15/100)*Tendencial!BA396</f>
        <v>999.30225368701338</v>
      </c>
      <c r="AO113" s="11">
        <f>(1+'CC70 - %'!AO15/100)*Tendencial!BB396</f>
        <v>1021.6800493022704</v>
      </c>
      <c r="AP113" s="11">
        <f>(1+'CC70 - %'!AP15/100)*Tendencial!BC396</f>
        <v>1044.6441365787052</v>
      </c>
      <c r="AQ113" s="11">
        <f>(1+'CC70 - %'!AQ15/100)*Tendencial!BD396</f>
        <v>1068.1697626311256</v>
      </c>
      <c r="AR113" s="11">
        <f>(1+'CC70 - %'!AR15/100)*Tendencial!BE396</f>
        <v>1092.4847344826999</v>
      </c>
      <c r="AS113" s="11">
        <f>(1+'CC70 - %'!AS15/100)*Tendencial!BF396</f>
        <v>1117.2613233442289</v>
      </c>
      <c r="AT113" s="11">
        <f>(1+'CC70 - %'!AT15/100)*Tendencial!BG396</f>
        <v>1142.6413575878623</v>
      </c>
      <c r="AU113" s="11">
        <f>(1+'CC70 - %'!AU15/100)*Tendencial!BH396</f>
        <v>1168.286853221166</v>
      </c>
      <c r="AV113" s="11">
        <f>(1+'CC70 - %'!AV15/100)*Tendencial!BI396</f>
        <v>1194.4306294078383</v>
      </c>
      <c r="AW113" s="11">
        <f>(1+'CC70 - %'!AW15/100)*Tendencial!BJ396</f>
        <v>1221.0910379955171</v>
      </c>
      <c r="AX113" s="11">
        <f>(1+'CC70 - %'!AX15/100)*Tendencial!BK396</f>
        <v>1248.2134339917268</v>
      </c>
      <c r="AY113" s="11">
        <f>(1+'CC70 - %'!AY15/100)*Tendencial!BL396</f>
        <v>1275.8145691499049</v>
      </c>
      <c r="AZ113" s="11">
        <f>(1+'CC70 - %'!AZ15/100)*Tendencial!BM396</f>
        <v>1304.1356632956999</v>
      </c>
      <c r="BA113" s="11">
        <f>(1+'CC70 - %'!BA15/100)*Tendencial!BN396</f>
        <v>1333.1721785346488</v>
      </c>
      <c r="BB113" s="11">
        <f>(1+'CC70 - %'!BB15/100)*Tendencial!BO396</f>
        <v>1362.9269437151345</v>
      </c>
    </row>
    <row r="114" spans="1:55" ht="14.4" x14ac:dyDescent="0.3">
      <c r="A114" s="28"/>
      <c r="B114" s="364"/>
      <c r="C114" s="9" t="s">
        <v>275</v>
      </c>
      <c r="E114" s="382"/>
      <c r="F114" s="382"/>
      <c r="G114" s="11">
        <f>(1+'CC70 - %'!G16/100)*Tendencial!T397</f>
        <v>576.5121642209574</v>
      </c>
      <c r="H114" s="11">
        <f>(1+'CC70 - %'!H16/100)*Tendencial!U397</f>
        <v>595.94800082514121</v>
      </c>
      <c r="I114" s="11">
        <f>(1+'CC70 - %'!I16/100)*Tendencial!V397</f>
        <v>611.54024581260683</v>
      </c>
      <c r="J114" s="11">
        <f>(1+'CC70 - %'!J16/100)*Tendencial!W397</f>
        <v>625.00809693907945</v>
      </c>
      <c r="K114" s="11">
        <f>(1+'CC70 - %'!K16/100)*Tendencial!X397</f>
        <v>642.47146677804221</v>
      </c>
      <c r="L114" s="11">
        <f>(1+'CC70 - %'!L16/100)*Tendencial!Y397</f>
        <v>657.92239440971252</v>
      </c>
      <c r="M114" s="11">
        <f>(1+'CC70 - %'!M16/100)*Tendencial!Z397</f>
        <v>667.78259888675996</v>
      </c>
      <c r="N114" s="11">
        <f>(1+'CC70 - %'!N16/100)*Tendencial!AA397</f>
        <v>679.14172526449408</v>
      </c>
      <c r="O114" s="11">
        <f>(1+'CC70 - %'!O16/100)*Tendencial!AB397</f>
        <v>695.03654164331238</v>
      </c>
      <c r="P114" s="11">
        <f>(1+'CC70 - %'!P16/100)*Tendencial!AC397</f>
        <v>706.12977169755925</v>
      </c>
      <c r="Q114" s="11">
        <f>(1+'CC70 - %'!Q16/100)*Tendencial!AD397</f>
        <v>720.02097497217699</v>
      </c>
      <c r="R114" s="11">
        <f>(1+'CC70 - %'!R16/100)*Tendencial!AE397</f>
        <v>730.40848289494511</v>
      </c>
      <c r="S114" s="11">
        <f>(1+'CC70 - %'!S16/100)*Tendencial!AF397</f>
        <v>741.27143185540524</v>
      </c>
      <c r="T114" s="11">
        <f>(1+'CC70 - %'!T16/100)*Tendencial!AG397</f>
        <v>754.09715012068023</v>
      </c>
      <c r="U114" s="11">
        <f>(1+'CC70 - %'!U16/100)*Tendencial!AH397</f>
        <v>765.91327467433564</v>
      </c>
      <c r="V114" s="11">
        <f>(1+'CC70 - %'!V16/100)*Tendencial!AI397</f>
        <v>779.26884588001144</v>
      </c>
      <c r="W114" s="11">
        <f>(1+'CC70 - %'!W16/100)*Tendencial!AJ397</f>
        <v>795.5124508327151</v>
      </c>
      <c r="X114" s="11">
        <f>(1+'CC70 - %'!X16/100)*Tendencial!AK397</f>
        <v>811.1330436753891</v>
      </c>
      <c r="Y114" s="11">
        <f>(1+'CC70 - %'!Y16/100)*Tendencial!AL397</f>
        <v>828.59668468107111</v>
      </c>
      <c r="Z114" s="11">
        <f>(1+'CC70 - %'!Z16/100)*Tendencial!AM397</f>
        <v>847.033377389463</v>
      </c>
      <c r="AA114" s="11">
        <f>(1+'CC70 - %'!AA16/100)*Tendencial!AN397</f>
        <v>863.20975086878423</v>
      </c>
      <c r="AB114" s="11">
        <f>(1+'CC70 - %'!AB16/100)*Tendencial!AO397</f>
        <v>884.4228001774735</v>
      </c>
      <c r="AC114" s="11">
        <f>(1+'CC70 - %'!AC16/100)*Tendencial!AP397</f>
        <v>904.36407831532563</v>
      </c>
      <c r="AD114" s="11">
        <f>(1+'CC70 - %'!AD16/100)*Tendencial!AQ397</f>
        <v>929.26636611350921</v>
      </c>
      <c r="AE114" s="11">
        <f>(1+'CC70 - %'!AE16/100)*Tendencial!AR397</f>
        <v>951.53391747362809</v>
      </c>
      <c r="AF114" s="11">
        <f>(1+'CC70 - %'!AF16/100)*Tendencial!AS397</f>
        <v>974.13466384583569</v>
      </c>
      <c r="AG114" s="11">
        <f>(1+'CC70 - %'!AG16/100)*Tendencial!AT397</f>
        <v>998.02100306683792</v>
      </c>
      <c r="AH114" s="11">
        <f>(1+'CC70 - %'!AH16/100)*Tendencial!AU397</f>
        <v>1022.2242006500253</v>
      </c>
      <c r="AI114" s="11">
        <f>(1+'CC70 - %'!AI16/100)*Tendencial!AV397</f>
        <v>1043.8833652724497</v>
      </c>
      <c r="AJ114" s="11">
        <f>(1+'CC70 - %'!AJ16/100)*Tendencial!AW397</f>
        <v>1066.4137102299148</v>
      </c>
      <c r="AK114" s="11">
        <f>(1+'CC70 - %'!AK16/100)*Tendencial!AX397</f>
        <v>1089.7158694529412</v>
      </c>
      <c r="AL114" s="11">
        <f>(1+'CC70 - %'!AL16/100)*Tendencial!AY397</f>
        <v>1113.9484271989254</v>
      </c>
      <c r="AM114" s="11">
        <f>(1+'CC70 - %'!AM16/100)*Tendencial!AZ397</f>
        <v>1139.0542609826414</v>
      </c>
      <c r="AN114" s="11">
        <f>(1+'CC70 - %'!AN16/100)*Tendencial!BA397</f>
        <v>1164.8466906029666</v>
      </c>
      <c r="AO114" s="11">
        <f>(1+'CC70 - %'!AO16/100)*Tendencial!BB397</f>
        <v>1191.4423711019394</v>
      </c>
      <c r="AP114" s="11">
        <f>(1+'CC70 - %'!AP16/100)*Tendencial!BC397</f>
        <v>1218.7424845837074</v>
      </c>
      <c r="AQ114" s="11">
        <f>(1+'CC70 - %'!AQ16/100)*Tendencial!BD397</f>
        <v>1246.7188994847597</v>
      </c>
      <c r="AR114" s="11">
        <f>(1+'CC70 - %'!AR16/100)*Tendencial!BE397</f>
        <v>1275.6383308973686</v>
      </c>
      <c r="AS114" s="11">
        <f>(1+'CC70 - %'!AS16/100)*Tendencial!BF397</f>
        <v>1305.1189931597187</v>
      </c>
      <c r="AT114" s="11">
        <f>(1+'CC70 - %'!AT16/100)*Tendencial!BG397</f>
        <v>1335.3271890504909</v>
      </c>
      <c r="AU114" s="11">
        <f>(1+'CC70 - %'!AU16/100)*Tendencial!BH397</f>
        <v>1365.8685359588426</v>
      </c>
      <c r="AV114" s="11">
        <f>(1+'CC70 - %'!AV16/100)*Tendencial!BI397</f>
        <v>1397.0156030369831</v>
      </c>
      <c r="AW114" s="11">
        <f>(1+'CC70 - %'!AW16/100)*Tendencial!BJ397</f>
        <v>1428.7904627145558</v>
      </c>
      <c r="AX114" s="11">
        <f>(1+'CC70 - %'!AX16/100)*Tendencial!BK397</f>
        <v>1461.1297701082267</v>
      </c>
      <c r="AY114" s="11">
        <f>(1+'CC70 - %'!AY16/100)*Tendencial!BL397</f>
        <v>1494.053680252563</v>
      </c>
      <c r="AZ114" s="11">
        <f>(1+'CC70 - %'!AZ16/100)*Tendencial!BM397</f>
        <v>1527.8453494391515</v>
      </c>
      <c r="BA114" s="11">
        <f>(1+'CC70 - %'!BA16/100)*Tendencial!BN397</f>
        <v>1562.5003591471823</v>
      </c>
      <c r="BB114" s="11">
        <f>(1+'CC70 - %'!BB16/100)*Tendencial!BO397</f>
        <v>1598.0229131067895</v>
      </c>
    </row>
    <row r="115" spans="1:55" ht="14.4" x14ac:dyDescent="0.3">
      <c r="A115" s="28"/>
      <c r="B115" s="364"/>
      <c r="C115" s="9" t="s">
        <v>276</v>
      </c>
      <c r="E115" s="382"/>
      <c r="F115" s="382"/>
      <c r="G115" s="11">
        <f>(1+'CC70 - %'!G17/100)*Tendencial!T398</f>
        <v>624.78235002285555</v>
      </c>
      <c r="H115" s="11">
        <f>(1+'CC70 - %'!H17/100)*Tendencial!U398</f>
        <v>645.52626762636442</v>
      </c>
      <c r="I115" s="11">
        <f>(1+'CC70 - %'!I17/100)*Tendencial!V398</f>
        <v>662.08969415209629</v>
      </c>
      <c r="J115" s="11">
        <f>(1+'CC70 - %'!J17/100)*Tendencial!W398</f>
        <v>676.33928117494327</v>
      </c>
      <c r="K115" s="11">
        <f>(1+'CC70 - %'!K17/100)*Tendencial!X398</f>
        <v>694.89780683357299</v>
      </c>
      <c r="L115" s="11">
        <f>(1+'CC70 - %'!L17/100)*Tendencial!Y398</f>
        <v>711.26400741874329</v>
      </c>
      <c r="M115" s="11">
        <f>(1+'CC70 - %'!M17/100)*Tendencial!Z398</f>
        <v>721.57463812854212</v>
      </c>
      <c r="N115" s="11">
        <f>(1+'CC70 - %'!N17/100)*Tendencial!AA398</f>
        <v>733.49557964993096</v>
      </c>
      <c r="O115" s="11">
        <f>(1+'CC70 - %'!O17/100)*Tendencial!AB398</f>
        <v>750.3028061242893</v>
      </c>
      <c r="P115" s="11">
        <f>(1+'CC70 - %'!P17/100)*Tendencial!AC398</f>
        <v>761.91445633183002</v>
      </c>
      <c r="Q115" s="11">
        <f>(1+'CC70 - %'!Q17/100)*Tendencial!AD398</f>
        <v>776.53405418051784</v>
      </c>
      <c r="R115" s="11">
        <f>(1+'CC70 - %'!R17/100)*Tendencial!AE398</f>
        <v>787.36432796180418</v>
      </c>
      <c r="S115" s="11">
        <f>(1+'CC70 - %'!S17/100)*Tendencial!AF398</f>
        <v>798.69810482176285</v>
      </c>
      <c r="T115" s="11">
        <f>(1+'CC70 - %'!T17/100)*Tendencial!AG398</f>
        <v>812.136528760857</v>
      </c>
      <c r="U115" s="11">
        <f>(1+'CC70 - %'!U17/100)*Tendencial!AH398</f>
        <v>824.47706813085438</v>
      </c>
      <c r="V115" s="11">
        <f>(1+'CC70 - %'!V17/100)*Tendencial!AI398</f>
        <v>838.46398961442367</v>
      </c>
      <c r="W115" s="11">
        <f>(1+'CC70 - %'!W17/100)*Tendencial!AJ398</f>
        <v>855.54542319121731</v>
      </c>
      <c r="X115" s="11">
        <f>(1+'CC70 - %'!X17/100)*Tendencial!AK398</f>
        <v>871.94289228648142</v>
      </c>
      <c r="Y115" s="11">
        <f>(1+'CC70 - %'!Y17/100)*Tendencial!AL398</f>
        <v>890.30714262579238</v>
      </c>
      <c r="Z115" s="11">
        <f>(1+'CC70 - %'!Z17/100)*Tendencial!AM398</f>
        <v>909.70119367163181</v>
      </c>
      <c r="AA115" s="11">
        <f>(1+'CC70 - %'!AA17/100)*Tendencial!AN398</f>
        <v>926.65271519196313</v>
      </c>
      <c r="AB115" s="11">
        <f>(1+'CC70 - %'!AB17/100)*Tendencial!AO398</f>
        <v>948.99486961679065</v>
      </c>
      <c r="AC115" s="11">
        <f>(1+'CC70 - %'!AC17/100)*Tendencial!AP398</f>
        <v>969.95446620894222</v>
      </c>
      <c r="AD115" s="11">
        <f>(1+'CC70 - %'!AD17/100)*Tendencial!AQ398</f>
        <v>996.21529444350176</v>
      </c>
      <c r="AE115" s="11">
        <f>(1+'CC70 - %'!AE17/100)*Tendencial!AR398</f>
        <v>1019.631001234407</v>
      </c>
      <c r="AF115" s="11">
        <f>(1+'CC70 - %'!AF17/100)*Tendencial!AS398</f>
        <v>1043.3844282265973</v>
      </c>
      <c r="AG115" s="11">
        <f>(1+'CC70 - %'!AG17/100)*Tendencial!AT398</f>
        <v>1068.4948851598917</v>
      </c>
      <c r="AH115" s="11">
        <f>(1+'CC70 - %'!AH17/100)*Tendencial!AU398</f>
        <v>1093.9240019204476</v>
      </c>
      <c r="AI115" s="11">
        <f>(1+'CC70 - %'!AI17/100)*Tendencial!AV398</f>
        <v>1116.6112626842414</v>
      </c>
      <c r="AJ115" s="11">
        <f>(1+'CC70 - %'!AJ17/100)*Tendencial!AW398</f>
        <v>1140.2119383194258</v>
      </c>
      <c r="AK115" s="11">
        <f>(1+'CC70 - %'!AK17/100)*Tendencial!AX398</f>
        <v>1164.6187399060534</v>
      </c>
      <c r="AL115" s="11">
        <f>(1+'CC70 - %'!AL17/100)*Tendencial!AY398</f>
        <v>1190.0001341854083</v>
      </c>
      <c r="AM115" s="11">
        <f>(1+'CC70 - %'!AM17/100)*Tendencial!AZ398</f>
        <v>1216.2939697586919</v>
      </c>
      <c r="AN115" s="11">
        <f>(1+'CC70 - %'!AN17/100)*Tendencial!BA398</f>
        <v>1243.2999273674227</v>
      </c>
      <c r="AO115" s="11">
        <f>(1+'CC70 - %'!AO17/100)*Tendencial!BB398</f>
        <v>1271.1416655006442</v>
      </c>
      <c r="AP115" s="11">
        <f>(1+'CC70 - %'!AP17/100)*Tendencial!BC398</f>
        <v>1299.7128489814261</v>
      </c>
      <c r="AQ115" s="11">
        <f>(1+'CC70 - %'!AQ17/100)*Tendencial!BD398</f>
        <v>1328.9826810610891</v>
      </c>
      <c r="AR115" s="11">
        <f>(1+'CC70 - %'!AR17/100)*Tendencial!BE398</f>
        <v>1359.2345919573806</v>
      </c>
      <c r="AS115" s="11">
        <f>(1+'CC70 - %'!AS17/100)*Tendencial!BF398</f>
        <v>1390.0608319846544</v>
      </c>
      <c r="AT115" s="11">
        <f>(1+'CC70 - %'!AT17/100)*Tendencial!BG398</f>
        <v>1421.6378594708503</v>
      </c>
      <c r="AU115" s="11">
        <f>(1+'CC70 - %'!AU17/100)*Tendencial!BH398</f>
        <v>1453.5451655342013</v>
      </c>
      <c r="AV115" s="11">
        <f>(1+'CC70 - %'!AV17/100)*Tendencial!BI398</f>
        <v>1486.0724163375207</v>
      </c>
      <c r="AW115" s="11">
        <f>(1+'CC70 - %'!AW17/100)*Tendencial!BJ398</f>
        <v>1519.2424446631335</v>
      </c>
      <c r="AX115" s="11">
        <f>(1+'CC70 - %'!AX17/100)*Tendencial!BK398</f>
        <v>1552.987262957799</v>
      </c>
      <c r="AY115" s="11">
        <f>(1+'CC70 - %'!AY17/100)*Tendencial!BL398</f>
        <v>1587.3277132177755</v>
      </c>
      <c r="AZ115" s="11">
        <f>(1+'CC70 - %'!AZ17/100)*Tendencial!BM398</f>
        <v>1622.5639134409978</v>
      </c>
      <c r="BA115" s="11">
        <f>(1+'CC70 - %'!BA17/100)*Tendencial!BN398</f>
        <v>1658.6902177242011</v>
      </c>
      <c r="BB115" s="11">
        <f>(1+'CC70 - %'!BB17/100)*Tendencial!BO398</f>
        <v>1695.7101456301373</v>
      </c>
    </row>
    <row r="116" spans="1:55" ht="14.4" x14ac:dyDescent="0.3">
      <c r="A116" s="28"/>
      <c r="B116" s="364"/>
      <c r="C116" s="9" t="s">
        <v>277</v>
      </c>
      <c r="E116" s="382"/>
      <c r="F116" s="382"/>
      <c r="G116" s="11">
        <f>(1+'CC70 - %'!G18/100)*Tendencial!T399</f>
        <v>872.67925778102165</v>
      </c>
      <c r="H116" s="11">
        <f>(1+'CC70 - %'!H18/100)*Tendencial!U399</f>
        <v>901.6538064651171</v>
      </c>
      <c r="I116" s="11">
        <f>(1+'CC70 - %'!I18/100)*Tendencial!V399</f>
        <v>924.78915714564982</v>
      </c>
      <c r="J116" s="11">
        <f>(1+'CC70 - %'!J18/100)*Tendencial!W399</f>
        <v>944.69259876228523</v>
      </c>
      <c r="K116" s="11">
        <f>(1+'CC70 - %'!K18/100)*Tendencial!X399</f>
        <v>970.61465049228457</v>
      </c>
      <c r="L116" s="11">
        <f>(1+'CC70 - %'!L18/100)*Tendencial!Y399</f>
        <v>993.47452125982352</v>
      </c>
      <c r="M116" s="11">
        <f>(1+'CC70 - %'!M18/100)*Tendencial!Z399</f>
        <v>1007.8761341651054</v>
      </c>
      <c r="N116" s="11">
        <f>(1+'CC70 - %'!N18/100)*Tendencial!AA399</f>
        <v>1024.5269860954713</v>
      </c>
      <c r="O116" s="11">
        <f>(1+'CC70 - %'!O18/100)*Tendencial!AB399</f>
        <v>1048.0028700164303</v>
      </c>
      <c r="P116" s="11">
        <f>(1+'CC70 - %'!P18/100)*Tendencial!AC399</f>
        <v>1064.221712120979</v>
      </c>
      <c r="Q116" s="11">
        <f>(1+'CC70 - %'!Q18/100)*Tendencial!AD399</f>
        <v>1084.6419749520003</v>
      </c>
      <c r="R116" s="11">
        <f>(1+'CC70 - %'!R18/100)*Tendencial!AE399</f>
        <v>1099.76941138594</v>
      </c>
      <c r="S116" s="11">
        <f>(1+'CC70 - %'!S18/100)*Tendencial!AF399</f>
        <v>1115.6001274387263</v>
      </c>
      <c r="T116" s="11">
        <f>(1+'CC70 - %'!T18/100)*Tendencial!AG399</f>
        <v>1134.3705581791055</v>
      </c>
      <c r="U116" s="11">
        <f>(1+'CC70 - %'!U18/100)*Tendencial!AH399</f>
        <v>1151.6074931495523</v>
      </c>
      <c r="V116" s="11">
        <f>(1+'CC70 - %'!V18/100)*Tendencial!AI399</f>
        <v>1171.1440505738715</v>
      </c>
      <c r="W116" s="11">
        <f>(1+'CC70 - %'!W18/100)*Tendencial!AJ399</f>
        <v>1195.0029396335365</v>
      </c>
      <c r="X116" s="11">
        <f>(1+'CC70 - %'!X18/100)*Tendencial!AK399</f>
        <v>1217.9064854187509</v>
      </c>
      <c r="Y116" s="11">
        <f>(1+'CC70 - %'!Y18/100)*Tendencial!AL399</f>
        <v>1243.5571785845045</v>
      </c>
      <c r="Z116" s="11">
        <f>(1+'CC70 - %'!Z18/100)*Tendencial!AM399</f>
        <v>1270.6462698039211</v>
      </c>
      <c r="AA116" s="11">
        <f>(1+'CC70 - %'!AA18/100)*Tendencial!AN399</f>
        <v>1294.3237011815527</v>
      </c>
      <c r="AB116" s="11">
        <f>(1+'CC70 - %'!AB18/100)*Tendencial!AO399</f>
        <v>1325.5306242644058</v>
      </c>
      <c r="AC116" s="11">
        <f>(1+'CC70 - %'!AC18/100)*Tendencial!AP399</f>
        <v>1354.8064275849692</v>
      </c>
      <c r="AD116" s="11">
        <f>(1+'CC70 - %'!AD18/100)*Tendencial!AQ399</f>
        <v>1391.4868493216138</v>
      </c>
      <c r="AE116" s="11">
        <f>(1+'CC70 - %'!AE18/100)*Tendencial!AR399</f>
        <v>1424.1932816047245</v>
      </c>
      <c r="AF116" s="11">
        <f>(1+'CC70 - %'!AF18/100)*Tendencial!AS399</f>
        <v>1457.3714324224325</v>
      </c>
      <c r="AG116" s="11">
        <f>(1+'CC70 - %'!AG18/100)*Tendencial!AT399</f>
        <v>1492.4450463269995</v>
      </c>
      <c r="AH116" s="11">
        <f>(1+'CC70 - %'!AH18/100)*Tendencial!AU399</f>
        <v>1527.9637557460751</v>
      </c>
      <c r="AI116" s="11">
        <f>(1+'CC70 - %'!AI18/100)*Tendencial!AV399</f>
        <v>1559.6527141228723</v>
      </c>
      <c r="AJ116" s="11">
        <f>(1+'CC70 - %'!AJ18/100)*Tendencial!AW399</f>
        <v>1592.6175059350771</v>
      </c>
      <c r="AK116" s="11">
        <f>(1+'CC70 - %'!AK18/100)*Tendencial!AX399</f>
        <v>1626.7082728919984</v>
      </c>
      <c r="AL116" s="11">
        <f>(1+'CC70 - %'!AL18/100)*Tendencial!AY399</f>
        <v>1662.1603248271156</v>
      </c>
      <c r="AM116" s="11">
        <f>(1+'CC70 - %'!AM18/100)*Tendencial!AZ399</f>
        <v>1698.886850330709</v>
      </c>
      <c r="AN116" s="11">
        <f>(1+'CC70 - %'!AN18/100)*Tendencial!BA399</f>
        <v>1736.6080488261382</v>
      </c>
      <c r="AO116" s="11">
        <f>(1+'CC70 - %'!AO18/100)*Tendencial!BB399</f>
        <v>1775.4966431799073</v>
      </c>
      <c r="AP116" s="11">
        <f>(1+'CC70 - %'!AP18/100)*Tendencial!BC399</f>
        <v>1815.4041072640352</v>
      </c>
      <c r="AQ116" s="11">
        <f>(1+'CC70 - %'!AQ18/100)*Tendencial!BD399</f>
        <v>1856.2874250045588</v>
      </c>
      <c r="AR116" s="11">
        <f>(1+'CC70 - %'!AR18/100)*Tendencial!BE399</f>
        <v>1898.5424841407005</v>
      </c>
      <c r="AS116" s="11">
        <f>(1+'CC70 - %'!AS18/100)*Tendencial!BF399</f>
        <v>1941.5997508291669</v>
      </c>
      <c r="AT116" s="11">
        <f>(1+'CC70 - %'!AT18/100)*Tendencial!BG399</f>
        <v>1985.7056973377009</v>
      </c>
      <c r="AU116" s="11">
        <f>(1+'CC70 - %'!AU18/100)*Tendencial!BH399</f>
        <v>2030.2729681194996</v>
      </c>
      <c r="AV116" s="11">
        <f>(1+'CC70 - %'!AV18/100)*Tendencial!BI399</f>
        <v>2075.7061611148838</v>
      </c>
      <c r="AW116" s="11">
        <f>(1+'CC70 - %'!AW18/100)*Tendencial!BJ399</f>
        <v>2122.0371685428499</v>
      </c>
      <c r="AX116" s="11">
        <f>(1+'CC70 - %'!AX18/100)*Tendencial!BK399</f>
        <v>2169.1710272094188</v>
      </c>
      <c r="AY116" s="11">
        <f>(1+'CC70 - %'!AY18/100)*Tendencial!BL399</f>
        <v>2217.1368486569136</v>
      </c>
      <c r="AZ116" s="11">
        <f>(1+'CC70 - %'!AZ18/100)*Tendencial!BM399</f>
        <v>2266.3538296691017</v>
      </c>
      <c r="BA116" s="11">
        <f>(1+'CC70 - %'!BA18/100)*Tendencial!BN399</f>
        <v>2316.8140841994737</v>
      </c>
      <c r="BB116" s="11">
        <f>(1+'CC70 - %'!BB18/100)*Tendencial!BO399</f>
        <v>2368.5225282790439</v>
      </c>
    </row>
    <row r="117" spans="1:55" ht="14.4" x14ac:dyDescent="0.3">
      <c r="A117" s="28"/>
      <c r="B117" s="364"/>
      <c r="C117" s="9" t="s">
        <v>278</v>
      </c>
      <c r="E117" s="382"/>
      <c r="F117" s="382"/>
      <c r="G117" s="11">
        <f>(1+'CC70 - %'!G19/100)*Tendencial!T400</f>
        <v>0</v>
      </c>
      <c r="H117" s="11">
        <f>(1+'CC70 - %'!H19/100)*Tendencial!U400</f>
        <v>0</v>
      </c>
      <c r="I117" s="11">
        <f>(1+'CC70 - %'!I19/100)*Tendencial!V400</f>
        <v>0</v>
      </c>
      <c r="J117" s="11">
        <f>(1+'CC70 - %'!J19/100)*Tendencial!W400</f>
        <v>0</v>
      </c>
      <c r="K117" s="11">
        <f>(1+'CC70 - %'!K19/100)*Tendencial!X400</f>
        <v>0</v>
      </c>
      <c r="L117" s="11">
        <f>(1+'CC70 - %'!L19/100)*Tendencial!Y400</f>
        <v>0</v>
      </c>
      <c r="M117" s="11">
        <f>(1+'CC70 - %'!M19/100)*Tendencial!Z400</f>
        <v>0</v>
      </c>
      <c r="N117" s="11">
        <f>(1+'CC70 - %'!N19/100)*Tendencial!AA400</f>
        <v>0</v>
      </c>
      <c r="O117" s="11">
        <f>(1+'CC70 - %'!O19/100)*Tendencial!AB400</f>
        <v>0</v>
      </c>
      <c r="P117" s="11">
        <f>(1+'CC70 - %'!P19/100)*Tendencial!AC400</f>
        <v>0</v>
      </c>
      <c r="Q117" s="11">
        <f>(1+'CC70 - %'!Q19/100)*Tendencial!AD400</f>
        <v>0</v>
      </c>
      <c r="R117" s="11">
        <f>(1+'CC70 - %'!R19/100)*Tendencial!AE400</f>
        <v>0</v>
      </c>
      <c r="S117" s="11">
        <f>(1+'CC70 - %'!S19/100)*Tendencial!AF400</f>
        <v>0</v>
      </c>
      <c r="T117" s="11">
        <f>(1+'CC70 - %'!T19/100)*Tendencial!AG400</f>
        <v>0</v>
      </c>
      <c r="U117" s="11">
        <f>(1+'CC70 - %'!U19/100)*Tendencial!AH400</f>
        <v>0</v>
      </c>
      <c r="V117" s="11">
        <f>(1+'CC70 - %'!V19/100)*Tendencial!AI400</f>
        <v>0</v>
      </c>
      <c r="W117" s="11">
        <f>(1+'CC70 - %'!W19/100)*Tendencial!AJ400</f>
        <v>0</v>
      </c>
      <c r="X117" s="11">
        <f>(1+'CC70 - %'!X19/100)*Tendencial!AK400</f>
        <v>0</v>
      </c>
      <c r="Y117" s="11">
        <f>(1+'CC70 - %'!Y19/100)*Tendencial!AL400</f>
        <v>0</v>
      </c>
      <c r="Z117" s="11">
        <f>(1+'CC70 - %'!Z19/100)*Tendencial!AM400</f>
        <v>0</v>
      </c>
      <c r="AA117" s="11">
        <f>(1+'CC70 - %'!AA19/100)*Tendencial!AN400</f>
        <v>0</v>
      </c>
      <c r="AB117" s="11">
        <f>(1+'CC70 - %'!AB19/100)*Tendencial!AO400</f>
        <v>0</v>
      </c>
      <c r="AC117" s="11">
        <f>(1+'CC70 - %'!AC19/100)*Tendencial!AP400</f>
        <v>0</v>
      </c>
      <c r="AD117" s="11">
        <f>(1+'CC70 - %'!AD19/100)*Tendencial!AQ400</f>
        <v>0</v>
      </c>
      <c r="AE117" s="11">
        <f>(1+'CC70 - %'!AE19/100)*Tendencial!AR400</f>
        <v>0</v>
      </c>
      <c r="AF117" s="11">
        <f>(1+'CC70 - %'!AF19/100)*Tendencial!AS400</f>
        <v>0</v>
      </c>
      <c r="AG117" s="11">
        <f>(1+'CC70 - %'!AG19/100)*Tendencial!AT400</f>
        <v>0</v>
      </c>
      <c r="AH117" s="11">
        <f>(1+'CC70 - %'!AH19/100)*Tendencial!AU400</f>
        <v>0</v>
      </c>
      <c r="AI117" s="11">
        <f>(1+'CC70 - %'!AI19/100)*Tendencial!AV400</f>
        <v>0</v>
      </c>
      <c r="AJ117" s="11">
        <f>(1+'CC70 - %'!AJ19/100)*Tendencial!AW400</f>
        <v>0</v>
      </c>
      <c r="AK117" s="11">
        <f>(1+'CC70 - %'!AK19/100)*Tendencial!AX400</f>
        <v>0</v>
      </c>
      <c r="AL117" s="11">
        <f>(1+'CC70 - %'!AL19/100)*Tendencial!AY400</f>
        <v>0</v>
      </c>
      <c r="AM117" s="11">
        <f>(1+'CC70 - %'!AM19/100)*Tendencial!AZ400</f>
        <v>0</v>
      </c>
      <c r="AN117" s="11">
        <f>(1+'CC70 - %'!AN19/100)*Tendencial!BA400</f>
        <v>0</v>
      </c>
      <c r="AO117" s="11">
        <f>(1+'CC70 - %'!AO19/100)*Tendencial!BB400</f>
        <v>0</v>
      </c>
      <c r="AP117" s="11">
        <f>(1+'CC70 - %'!AP19/100)*Tendencial!BC400</f>
        <v>0</v>
      </c>
      <c r="AQ117" s="11">
        <f>(1+'CC70 - %'!AQ19/100)*Tendencial!BD400</f>
        <v>0</v>
      </c>
      <c r="AR117" s="11">
        <f>(1+'CC70 - %'!AR19/100)*Tendencial!BE400</f>
        <v>0</v>
      </c>
      <c r="AS117" s="11">
        <f>(1+'CC70 - %'!AS19/100)*Tendencial!BF400</f>
        <v>0</v>
      </c>
      <c r="AT117" s="11">
        <f>(1+'CC70 - %'!AT19/100)*Tendencial!BG400</f>
        <v>0</v>
      </c>
      <c r="AU117" s="11">
        <f>(1+'CC70 - %'!AU19/100)*Tendencial!BH400</f>
        <v>0</v>
      </c>
      <c r="AV117" s="11">
        <f>(1+'CC70 - %'!AV19/100)*Tendencial!BI400</f>
        <v>0</v>
      </c>
      <c r="AW117" s="11">
        <f>(1+'CC70 - %'!AW19/100)*Tendencial!BJ400</f>
        <v>0</v>
      </c>
      <c r="AX117" s="11">
        <f>(1+'CC70 - %'!AX19/100)*Tendencial!BK400</f>
        <v>0</v>
      </c>
      <c r="AY117" s="11">
        <f>(1+'CC70 - %'!AY19/100)*Tendencial!BL400</f>
        <v>0</v>
      </c>
      <c r="AZ117" s="11">
        <f>(1+'CC70 - %'!AZ19/100)*Tendencial!BM400</f>
        <v>0</v>
      </c>
      <c r="BA117" s="11">
        <f>(1+'CC70 - %'!BA19/100)*Tendencial!BN400</f>
        <v>0</v>
      </c>
      <c r="BB117" s="11">
        <f>(1+'CC70 - %'!BB19/100)*Tendencial!BO400</f>
        <v>0</v>
      </c>
    </row>
    <row r="118" spans="1:55" ht="14.4" x14ac:dyDescent="0.3">
      <c r="A118" s="28"/>
      <c r="B118" s="364"/>
      <c r="C118" s="9" t="s">
        <v>279</v>
      </c>
      <c r="E118" s="382"/>
      <c r="F118" s="382"/>
      <c r="G118" s="11">
        <f>(1+'CC70 - %'!G20/100)*Tendencial!T386</f>
        <v>167.94531274881476</v>
      </c>
      <c r="H118" s="11">
        <f>(1+'CC70 - %'!H20/100)*Tendencial!U386</f>
        <v>173.34926233288729</v>
      </c>
      <c r="I118" s="11">
        <f>(1+'CC70 - %'!I20/100)*Tendencial!V386</f>
        <v>177.62133708334864</v>
      </c>
      <c r="J118" s="11">
        <f>(1+'CC70 - %'!J20/100)*Tendencial!W386</f>
        <v>181.26519642486761</v>
      </c>
      <c r="K118" s="11">
        <f>(1+'CC70 - %'!K20/100)*Tendencial!X386</f>
        <v>186.05593821302881</v>
      </c>
      <c r="L118" s="11">
        <f>(1+'CC70 - %'!L20/100)*Tendencial!Y386</f>
        <v>190.25123048388733</v>
      </c>
      <c r="M118" s="11">
        <f>(1+'CC70 - %'!M20/100)*Tendencial!Z386</f>
        <v>192.82050272313924</v>
      </c>
      <c r="N118" s="11">
        <f>(1+'CC70 - %'!N20/100)*Tendencial!AA386</f>
        <v>195.8150264394379</v>
      </c>
      <c r="O118" s="11">
        <f>(1+'CC70 - %'!O20/100)*Tendencial!AB386</f>
        <v>200.10728478442491</v>
      </c>
      <c r="P118" s="11">
        <f>(1+'CC70 - %'!P20/100)*Tendencial!AC386</f>
        <v>203.00727425158965</v>
      </c>
      <c r="Q118" s="11">
        <f>(1+'CC70 - %'!Q20/100)*Tendencial!AD386</f>
        <v>206.7027184793094</v>
      </c>
      <c r="R118" s="11">
        <f>(1+'CC70 - %'!R20/100)*Tendencial!AE386</f>
        <v>209.38373664402195</v>
      </c>
      <c r="S118" s="11">
        <f>(1+'CC70 - %'!S20/100)*Tendencial!AF386</f>
        <v>212.19376599288029</v>
      </c>
      <c r="T118" s="11">
        <f>(1+'CC70 - %'!T20/100)*Tendencial!AG386</f>
        <v>215.55742593245225</v>
      </c>
      <c r="U118" s="11">
        <f>(1+'CC70 - %'!U20/100)*Tendencial!AH386</f>
        <v>218.6239405132732</v>
      </c>
      <c r="V118" s="11">
        <f>(1+'CC70 - %'!V20/100)*Tendencial!AI386</f>
        <v>222.12117175119522</v>
      </c>
      <c r="W118" s="11">
        <f>(1+'CC70 - %'!W20/100)*Tendencial!AJ386</f>
        <v>226.43117559598755</v>
      </c>
      <c r="X118" s="11">
        <f>(1+'CC70 - %'!X20/100)*Tendencial!AK386</f>
        <v>230.55258647494762</v>
      </c>
      <c r="Y118" s="11">
        <f>(1+'CC70 - %'!Y20/100)*Tendencial!AL386</f>
        <v>235.1861899143027</v>
      </c>
      <c r="Z118" s="11">
        <f>(1+'CC70 - %'!Z20/100)*Tendencial!AM386</f>
        <v>240.08327909447635</v>
      </c>
      <c r="AA118" s="11">
        <f>(1+'CC70 - %'!AA20/100)*Tendencial!AN386</f>
        <v>244.32759840841186</v>
      </c>
      <c r="AB118" s="11">
        <f>(1+'CC70 - %'!AB20/100)*Tendencial!AO386</f>
        <v>249.98441861242318</v>
      </c>
      <c r="AC118" s="11">
        <f>(1+'CC70 - %'!AC20/100)*Tendencial!AP386</f>
        <v>255.26727808924392</v>
      </c>
      <c r="AD118" s="11">
        <f>(1+'CC70 - %'!AD20/100)*Tendencial!AQ386</f>
        <v>261.93461676047656</v>
      </c>
      <c r="AE118" s="11">
        <f>(1+'CC70 - %'!AE20/100)*Tendencial!AR386</f>
        <v>267.84267814660438</v>
      </c>
      <c r="AF118" s="11">
        <f>(1+'CC70 - %'!AF20/100)*Tendencial!AS386</f>
        <v>273.8289177975891</v>
      </c>
      <c r="AG118" s="11">
        <f>(1+'CC70 - %'!AG20/100)*Tendencial!AT386</f>
        <v>280.16041395508483</v>
      </c>
      <c r="AH118" s="11">
        <f>(1+'CC70 - %'!AH20/100)*Tendencial!AU386</f>
        <v>286.56423370706585</v>
      </c>
      <c r="AI118" s="11">
        <f>(1+'CC70 - %'!AI20/100)*Tendencial!AV386</f>
        <v>292.23921316986224</v>
      </c>
      <c r="AJ118" s="11">
        <f>(1+'CC70 - %'!AJ20/100)*Tendencial!AW386</f>
        <v>298.14316591482287</v>
      </c>
      <c r="AK118" s="11">
        <f>(1+'CC70 - %'!AK20/100)*Tendencial!AX386</f>
        <v>304.24746602443736</v>
      </c>
      <c r="AL118" s="11">
        <f>(1+'CC70 - %'!AL20/100)*Tendencial!AY386</f>
        <v>310.59556748612158</v>
      </c>
      <c r="AM118" s="11">
        <f>(1+'CC70 - %'!AM20/100)*Tendencial!AZ386</f>
        <v>317.17063088685507</v>
      </c>
      <c r="AN118" s="11">
        <f>(1+'CC70 - %'!AN20/100)*Tendencial!BA386</f>
        <v>323.91988293561332</v>
      </c>
      <c r="AO118" s="11">
        <f>(1+'CC70 - %'!AO20/100)*Tendencial!BB386</f>
        <v>330.87507346612097</v>
      </c>
      <c r="AP118" s="11">
        <f>(1+'CC70 - %'!AP20/100)*Tendencial!BC386</f>
        <v>338.00802687577669</v>
      </c>
      <c r="AQ118" s="11">
        <f>(1+'CC70 - %'!AQ20/100)*Tendencial!BD386</f>
        <v>345.31029776656538</v>
      </c>
      <c r="AR118" s="11">
        <f>(1+'CC70 - %'!AR20/100)*Tendencial!BE386</f>
        <v>352.85504543553111</v>
      </c>
      <c r="AS118" s="11">
        <f>(1+'CC70 - %'!AS20/100)*Tendencial!BF386</f>
        <v>360.53590074467701</v>
      </c>
      <c r="AT118" s="11">
        <f>(1+'CC70 - %'!AT20/100)*Tendencial!BG386</f>
        <v>368.39826463618954</v>
      </c>
      <c r="AU118" s="11">
        <f>(1+'CC70 - %'!AU20/100)*Tendencial!BH386</f>
        <v>376.33281946136213</v>
      </c>
      <c r="AV118" s="11">
        <f>(1+'CC70 - %'!AV20/100)*Tendencial!BI386</f>
        <v>384.41434239940736</v>
      </c>
      <c r="AW118" s="11">
        <f>(1+'CC70 - %'!AW20/100)*Tendencial!BJ386</f>
        <v>392.64838451568755</v>
      </c>
      <c r="AX118" s="11">
        <f>(1+'CC70 - %'!AX20/100)*Tendencial!BK386</f>
        <v>401.01702680270461</v>
      </c>
      <c r="AY118" s="11">
        <f>(1+'CC70 - %'!AY20/100)*Tendencial!BL386</f>
        <v>409.52533218278188</v>
      </c>
      <c r="AZ118" s="11">
        <f>(1+'CC70 - %'!AZ20/100)*Tendencial!BM386</f>
        <v>418.25033640569507</v>
      </c>
      <c r="BA118" s="11">
        <f>(1+'CC70 - %'!BA20/100)*Tendencial!BN386</f>
        <v>427.19005947385767</v>
      </c>
      <c r="BB118" s="11">
        <f>(1+'CC70 - %'!BB20/100)*Tendencial!BO386</f>
        <v>436.34488875947903</v>
      </c>
    </row>
    <row r="119" spans="1:55" ht="14.4" hidden="1" x14ac:dyDescent="0.3">
      <c r="A119" s="28"/>
      <c r="B119" s="28"/>
      <c r="C119" s="13" t="s">
        <v>49</v>
      </c>
      <c r="D119" s="13"/>
      <c r="E119" s="13"/>
      <c r="F119" s="45"/>
      <c r="G119" s="13">
        <f t="shared" ref="G119:BB119" si="36">SUM(G87:G101)</f>
        <v>2.0211034178432778</v>
      </c>
      <c r="H119" s="13">
        <f t="shared" si="36"/>
        <v>2.1340940548881466</v>
      </c>
      <c r="I119" s="13">
        <f t="shared" si="36"/>
        <v>2.1281746570635294</v>
      </c>
      <c r="J119" s="13">
        <f t="shared" si="36"/>
        <v>2.2456985243124494</v>
      </c>
      <c r="K119" s="13">
        <f t="shared" si="36"/>
        <v>2.2947792902947923</v>
      </c>
      <c r="L119" s="13">
        <f t="shared" si="36"/>
        <v>2.3461291567105573</v>
      </c>
      <c r="M119" s="13">
        <f t="shared" si="36"/>
        <v>2.3923072449443263</v>
      </c>
      <c r="N119" s="13">
        <f t="shared" si="36"/>
        <v>2.4460358262780622</v>
      </c>
      <c r="O119" s="13">
        <f t="shared" si="36"/>
        <v>2.4191875153090652</v>
      </c>
      <c r="P119" s="13">
        <f t="shared" si="36"/>
        <v>2.4561486047669523</v>
      </c>
      <c r="Q119" s="13">
        <f t="shared" si="36"/>
        <v>2.5012689639863468</v>
      </c>
      <c r="R119" s="13">
        <f t="shared" si="36"/>
        <v>2.5342949778900867</v>
      </c>
      <c r="S119" s="13">
        <f t="shared" si="36"/>
        <v>2.5661452673800209</v>
      </c>
      <c r="T119" s="13">
        <f t="shared" si="36"/>
        <v>2.5975815186188589</v>
      </c>
      <c r="U119" s="13">
        <f t="shared" si="36"/>
        <v>2.6113881245515409</v>
      </c>
      <c r="V119" s="13">
        <f t="shared" si="36"/>
        <v>2.6218102399399346</v>
      </c>
      <c r="W119" s="13">
        <f t="shared" si="36"/>
        <v>2.6436652480688316</v>
      </c>
      <c r="X119" s="13">
        <f t="shared" si="36"/>
        <v>2.6630880632610543</v>
      </c>
      <c r="Y119" s="13">
        <f t="shared" si="36"/>
        <v>2.6808706491852852</v>
      </c>
      <c r="Z119" s="13">
        <f t="shared" si="36"/>
        <v>2.6977605490168757</v>
      </c>
      <c r="AA119" s="13">
        <f t="shared" si="36"/>
        <v>2.7109157674136384</v>
      </c>
      <c r="AB119" s="13">
        <f t="shared" si="36"/>
        <v>2.737457797818049</v>
      </c>
      <c r="AC119" s="13">
        <f t="shared" si="36"/>
        <v>2.761927927545587</v>
      </c>
      <c r="AD119" s="13">
        <f t="shared" si="36"/>
        <v>2.7904257034602646</v>
      </c>
      <c r="AE119" s="13">
        <f t="shared" si="36"/>
        <v>2.8153547348089307</v>
      </c>
      <c r="AF119" s="13">
        <f t="shared" si="36"/>
        <v>2.8395791725934139</v>
      </c>
      <c r="AG119" s="13">
        <f t="shared" si="36"/>
        <v>2.8639526891788796</v>
      </c>
      <c r="AH119" s="13">
        <f t="shared" si="36"/>
        <v>2.8881590237596919</v>
      </c>
      <c r="AI119" s="13">
        <f t="shared" si="36"/>
        <v>2.9140121369935787</v>
      </c>
      <c r="AJ119" s="13">
        <f t="shared" si="36"/>
        <v>2.93826407913618</v>
      </c>
      <c r="AK119" s="13">
        <f t="shared" si="36"/>
        <v>2.9622856975732916</v>
      </c>
      <c r="AL119" s="13">
        <f t="shared" si="36"/>
        <v>2.9863751522711621</v>
      </c>
      <c r="AM119" s="13">
        <f t="shared" si="36"/>
        <v>3.0102500660959715</v>
      </c>
      <c r="AN119" s="13">
        <f t="shared" si="36"/>
        <v>3.0342075387460232</v>
      </c>
      <c r="AO119" s="13">
        <f t="shared" si="36"/>
        <v>3.0573922470698038</v>
      </c>
      <c r="AP119" s="13">
        <f t="shared" si="36"/>
        <v>3.0804030620212677</v>
      </c>
      <c r="AQ119" s="13">
        <f t="shared" si="36"/>
        <v>3.103219656489574</v>
      </c>
      <c r="AR119" s="13">
        <f t="shared" si="36"/>
        <v>3.1257576656171357</v>
      </c>
      <c r="AS119" s="13">
        <f t="shared" si="36"/>
        <v>3.1479417390920772</v>
      </c>
      <c r="AT119" s="13">
        <f t="shared" si="36"/>
        <v>3.1698147662756169</v>
      </c>
      <c r="AU119" s="13">
        <f t="shared" si="36"/>
        <v>3.1913911488392559</v>
      </c>
      <c r="AV119" s="13">
        <f t="shared" si="36"/>
        <v>3.2126676416682667</v>
      </c>
      <c r="AW119" s="13">
        <f t="shared" si="36"/>
        <v>3.2335967895374411</v>
      </c>
      <c r="AX119" s="13">
        <f t="shared" si="36"/>
        <v>3.254168117215583</v>
      </c>
      <c r="AY119" s="13">
        <f t="shared" si="36"/>
        <v>3.2743559846001915</v>
      </c>
      <c r="AZ119" s="13">
        <f t="shared" si="36"/>
        <v>3.2941833353564043</v>
      </c>
      <c r="BA119" s="13">
        <f t="shared" si="36"/>
        <v>3.3136364657012223</v>
      </c>
      <c r="BB119" s="13">
        <f t="shared" si="36"/>
        <v>3.332701146601897</v>
      </c>
    </row>
    <row r="120" spans="1:55" ht="14.4" hidden="1" x14ac:dyDescent="0.3">
      <c r="A120" s="28"/>
      <c r="B120" s="28"/>
      <c r="C120" s="13" t="s">
        <v>280</v>
      </c>
      <c r="D120" s="13"/>
      <c r="E120" s="13"/>
      <c r="F120" s="45"/>
      <c r="G120" s="13">
        <v>2.0009001412824614</v>
      </c>
      <c r="H120" s="13">
        <v>2.1228245398731809</v>
      </c>
      <c r="I120" s="13">
        <v>2.1264893315871323</v>
      </c>
      <c r="J120" s="13">
        <v>2.2508826376361895</v>
      </c>
      <c r="K120" s="13">
        <v>2.3110812368522025</v>
      </c>
      <c r="L120" s="13">
        <v>2.3743178403852281</v>
      </c>
      <c r="M120" s="13">
        <v>2.4335062933134797</v>
      </c>
      <c r="N120" s="13">
        <v>2.500861039277932</v>
      </c>
      <c r="O120" s="13">
        <v>2.4946130811841623</v>
      </c>
      <c r="P120" s="13">
        <v>2.5510718475916709</v>
      </c>
      <c r="Q120" s="13">
        <v>2.6164495875812017</v>
      </c>
      <c r="R120" s="13">
        <v>2.6705596335130304</v>
      </c>
      <c r="S120" s="13">
        <v>2.7241816685755267</v>
      </c>
      <c r="T120" s="13">
        <v>2.7572427602150156</v>
      </c>
      <c r="U120" s="13">
        <v>2.7860341350249622</v>
      </c>
      <c r="V120" s="13">
        <v>2.811375056898866</v>
      </c>
      <c r="W120" s="13">
        <v>2.8470308429552142</v>
      </c>
      <c r="X120" s="13">
        <v>2.8802032337978649</v>
      </c>
      <c r="Y120" s="13">
        <v>2.911655974066913</v>
      </c>
      <c r="Z120" s="13">
        <v>2.9421187203806451</v>
      </c>
      <c r="AA120" s="13">
        <v>2.9687299889781165</v>
      </c>
      <c r="AB120" s="13">
        <v>2.9982245157148539</v>
      </c>
      <c r="AC120" s="13">
        <v>3.0254962891627586</v>
      </c>
      <c r="AD120" s="13">
        <v>3.0566341063928317</v>
      </c>
      <c r="AE120" s="13">
        <v>3.084051547420056</v>
      </c>
      <c r="AF120" s="13">
        <v>3.1106097403530097</v>
      </c>
      <c r="AG120" s="13">
        <v>3.1371544179977642</v>
      </c>
      <c r="AH120" s="13">
        <v>3.1633684440512773</v>
      </c>
      <c r="AI120" s="13">
        <v>3.1910340547436125</v>
      </c>
      <c r="AJ120" s="13">
        <v>3.2169442755415121</v>
      </c>
      <c r="AK120" s="13">
        <v>3.2424490841721507</v>
      </c>
      <c r="AL120" s="13">
        <v>3.2678363235218417</v>
      </c>
      <c r="AM120" s="13">
        <v>3.2928254227516529</v>
      </c>
      <c r="AN120" s="13">
        <v>3.3177011984037019</v>
      </c>
      <c r="AO120" s="13">
        <v>3.3416304791943934</v>
      </c>
      <c r="AP120" s="13">
        <v>3.3651922725635171</v>
      </c>
      <c r="AQ120" s="13">
        <v>3.3883633090383167</v>
      </c>
      <c r="AR120" s="13">
        <v>3.4110592624505007</v>
      </c>
      <c r="AS120" s="13">
        <v>3.4332055257612395</v>
      </c>
      <c r="AT120" s="13">
        <v>3.4548409077528679</v>
      </c>
      <c r="AU120" s="13">
        <v>3.4759766820310918</v>
      </c>
      <c r="AV120" s="13">
        <v>3.4966072941711417</v>
      </c>
      <c r="AW120" s="13">
        <v>3.5166857178884992</v>
      </c>
      <c r="AX120" s="13">
        <v>3.5362002572837739</v>
      </c>
      <c r="AY120" s="13">
        <v>3.5551252776473987</v>
      </c>
      <c r="AZ120" s="13">
        <v>3.5734806730430981</v>
      </c>
      <c r="BA120" s="13">
        <v>3.5912521578356764</v>
      </c>
      <c r="BB120" s="13">
        <v>3.6084252230565217</v>
      </c>
    </row>
    <row r="121" spans="1:55" ht="14.4" customHeight="1" x14ac:dyDescent="0.3">
      <c r="A121" s="16" t="s">
        <v>50</v>
      </c>
      <c r="B121" s="16"/>
      <c r="C121" s="31" t="s">
        <v>690</v>
      </c>
      <c r="D121" s="351"/>
      <c r="E121" s="351"/>
      <c r="F121" s="35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row>
    <row r="122" spans="1:55" ht="15" customHeight="1" x14ac:dyDescent="0.3">
      <c r="A122" s="385"/>
      <c r="B122" s="364" t="s">
        <v>246</v>
      </c>
      <c r="C122" s="9" t="s">
        <v>264</v>
      </c>
      <c r="E122" s="364" t="s">
        <v>281</v>
      </c>
      <c r="F122" s="382" t="s">
        <v>282</v>
      </c>
      <c r="G122" s="11">
        <f>(1-'CC70 - %'!G$5/100)*296*(44/28)*0.01*G104*G87/1000</f>
        <v>0.82573475316673361</v>
      </c>
      <c r="H122" s="11">
        <f>(1-'CC70 - %'!H$5/100)*296*(44/28)*0.01*H104*H87/1000</f>
        <v>0.89140370535620439</v>
      </c>
      <c r="I122" s="11">
        <f>(1-'CC70 - %'!I$5/100)*296*(44/28)*0.01*I104*I87/1000</f>
        <v>0.90188787719183916</v>
      </c>
      <c r="J122" s="11">
        <f>(1-'CC70 - %'!J$5/100)*296*(44/28)*0.01*J104*J87/1000</f>
        <v>0.9117115649166545</v>
      </c>
      <c r="K122" s="11">
        <f>(1-'CC70 - %'!K$5/100)*296*(44/28)*0.01*K104*K87/1000</f>
        <v>0.92690401433362346</v>
      </c>
      <c r="L122" s="11">
        <f>(1-'CC70 - %'!L$5/100)*296*(44/28)*0.01*L104*L87/1000</f>
        <v>0.93870320497561033</v>
      </c>
      <c r="M122" s="11">
        <f>(1-'CC70 - %'!M$5/100)*296*(44/28)*0.01*M104*M87/1000</f>
        <v>0.94215825424523214</v>
      </c>
      <c r="N122" s="11">
        <f>(1-'CC70 - %'!N$5/100)*296*(44/28)*0.01*N104*N87/1000</f>
        <v>0.94742640123224908</v>
      </c>
      <c r="O122" s="11">
        <f>(1-'CC70 - %'!O$5/100)*296*(44/28)*0.01*O104*O87/1000</f>
        <v>0.95862540044277011</v>
      </c>
      <c r="P122" s="11">
        <f>(1-'CC70 - %'!P$5/100)*296*(44/28)*0.01*P104*P87/1000</f>
        <v>0.96281013492738743</v>
      </c>
      <c r="Q122" s="11">
        <f>(1-'CC70 - %'!Q$5/100)*296*(44/28)*0.01*Q104*Q87/1000</f>
        <v>0.97045049729037647</v>
      </c>
      <c r="R122" s="11">
        <f>(1-'CC70 - %'!R$5/100)*296*(44/28)*0.01*R104*R87/1000</f>
        <v>0.97302062648261889</v>
      </c>
      <c r="S122" s="11">
        <f>(1-'CC70 - %'!S$5/100)*296*(44/28)*0.01*S104*S87/1000</f>
        <v>0.97592393734434557</v>
      </c>
      <c r="T122" s="11">
        <f>(1-'CC70 - %'!T$5/100)*296*(44/28)*0.01*T104*T87/1000</f>
        <v>0.98107335447211086</v>
      </c>
      <c r="U122" s="11">
        <f>(1-'CC70 - %'!U$5/100)*296*(44/28)*0.01*U104*U87/1000</f>
        <v>0.98455672976247077</v>
      </c>
      <c r="V122" s="11">
        <f>(1-'CC70 - %'!V$5/100)*296*(44/28)*0.01*V104*V87/1000</f>
        <v>0.98965851179745912</v>
      </c>
      <c r="W122" s="11">
        <f>(1-'CC70 - %'!W$5/100)*296*(44/28)*0.01*W104*W87/1000</f>
        <v>1.0031060581175792</v>
      </c>
      <c r="X122" s="11">
        <f>(1-'CC70 - %'!X$5/100)*296*(44/28)*0.01*X104*X87/1000</f>
        <v>1.01538137775367</v>
      </c>
      <c r="Y122" s="11">
        <f>(1-'CC70 - %'!Y$5/100)*296*(44/28)*0.01*Y104*Y87/1000</f>
        <v>1.0295591943694773</v>
      </c>
      <c r="Z122" s="11">
        <f>(1-'CC70 - %'!Z$5/100)*296*(44/28)*0.01*Z104*Z87/1000</f>
        <v>1.0445081191852179</v>
      </c>
      <c r="AA122" s="11">
        <f>(1-'CC70 - %'!AA$5/100)*296*(44/28)*0.01*AA104*AA87/1000</f>
        <v>1.0562365866562393</v>
      </c>
      <c r="AB122" s="11">
        <f>(1-'CC70 - %'!AB$5/100)*296*(44/28)*0.01*AB104*AB87/1000</f>
        <v>1.0736605194631101</v>
      </c>
      <c r="AC122" s="11">
        <f>(1-'CC70 - %'!AC$5/100)*296*(44/28)*0.01*AC104*AC87/1000</f>
        <v>1.0890286018699147</v>
      </c>
      <c r="AD122" s="11">
        <f>(1-'CC70 - %'!AD$5/100)*296*(44/28)*0.01*AD104*AD87/1000</f>
        <v>1.1098133223244102</v>
      </c>
      <c r="AE122" s="11">
        <f>(1-'CC70 - %'!AE$5/100)*296*(44/28)*0.01*AE104*AE87/1000</f>
        <v>1.1268614105576173</v>
      </c>
      <c r="AF122" s="11">
        <f>(1-'CC70 - %'!AF$5/100)*296*(44/28)*0.01*AF104*AF87/1000</f>
        <v>1.1437271567708434</v>
      </c>
      <c r="AG122" s="11">
        <f>(1-'CC70 - %'!AG$5/100)*296*(44/28)*0.01*AG104*AG87/1000</f>
        <v>1.1614989313382107</v>
      </c>
      <c r="AH122" s="11">
        <f>(1-'CC70 - %'!AH$5/100)*296*(44/28)*0.01*AH104*AH87/1000</f>
        <v>1.191463555677317</v>
      </c>
      <c r="AI122" s="11">
        <f>(1-'CC70 - %'!AI$5/100)*296*(44/28)*0.01*AI104*AI87/1000</f>
        <v>1.2185315530359284</v>
      </c>
      <c r="AJ122" s="11">
        <f>(1-'CC70 - %'!AJ$5/100)*296*(44/28)*0.01*AJ104*AJ87/1000</f>
        <v>1.2466812018304838</v>
      </c>
      <c r="AK122" s="11">
        <f>(1-'CC70 - %'!AK$5/100)*296*(44/28)*0.01*AK104*AK87/1000</f>
        <v>1.2757997374023118</v>
      </c>
      <c r="AL122" s="11">
        <f>(1-'CC70 - %'!AL$5/100)*296*(44/28)*0.01*AL104*AL87/1000</f>
        <v>1.3060760772127682</v>
      </c>
      <c r="AM122" s="11">
        <f>(1-'CC70 - %'!AM$5/100)*296*(44/28)*0.01*AM104*AM87/1000</f>
        <v>1.3374468667882051</v>
      </c>
      <c r="AN122" s="11">
        <f>(1-'CC70 - %'!AN$5/100)*296*(44/28)*0.01*AN104*AN87/1000</f>
        <v>1.3696959391442185</v>
      </c>
      <c r="AO122" s="11">
        <f>(1-'CC70 - %'!AO$5/100)*296*(44/28)*0.01*AO104*AO87/1000</f>
        <v>1.4029629817745184</v>
      </c>
      <c r="AP122" s="11">
        <f>(1-'CC70 - %'!AP$5/100)*296*(44/28)*0.01*AP104*AP87/1000</f>
        <v>1.4371343023978762</v>
      </c>
      <c r="AQ122" s="11">
        <f>(1-'CC70 - %'!AQ$5/100)*296*(44/28)*0.01*AQ104*AQ87/1000</f>
        <v>1.4721789458917105</v>
      </c>
      <c r="AR122" s="11">
        <f>(1-'CC70 - %'!AR$5/100)*296*(44/28)*0.01*AR104*AR87/1000</f>
        <v>1.5084143482308539</v>
      </c>
      <c r="AS122" s="11">
        <f>(1-'CC70 - %'!AS$5/100)*296*(44/28)*0.01*AS104*AS87/1000</f>
        <v>1.545391712357953</v>
      </c>
      <c r="AT122" s="11">
        <f>(1-'CC70 - %'!AT$5/100)*296*(44/28)*0.01*AT104*AT87/1000</f>
        <v>1.5833095612547314</v>
      </c>
      <c r="AU122" s="11">
        <f>(1-'CC70 - %'!AU$5/100)*296*(44/28)*0.01*AU104*AU87/1000</f>
        <v>1.6217017075308142</v>
      </c>
      <c r="AV122" s="11">
        <f>(1-'CC70 - %'!AV$5/100)*296*(44/28)*0.01*AV104*AV87/1000</f>
        <v>1.6608923161240055</v>
      </c>
      <c r="AW122" s="11">
        <f>(1-'CC70 - %'!AW$5/100)*296*(44/28)*0.01*AW104*AW87/1000</f>
        <v>1.7009090055702558</v>
      </c>
      <c r="AX122" s="11">
        <f>(1-'CC70 - %'!AX$5/100)*296*(44/28)*0.01*AX104*AX87/1000</f>
        <v>1.7416776387891419</v>
      </c>
      <c r="AY122" s="11">
        <f>(1-'CC70 - %'!AY$5/100)*296*(44/28)*0.01*AY104*AY87/1000</f>
        <v>1.7832232717793293</v>
      </c>
      <c r="AZ122" s="11">
        <f>(1-'CC70 - %'!AZ$5/100)*296*(44/28)*0.01*AZ104*AZ87/1000</f>
        <v>1.8258853151298411</v>
      </c>
      <c r="BA122" s="11">
        <f>(1-'CC70 - %'!BA$5/100)*296*(44/28)*0.01*BA104*BA87/1000</f>
        <v>1.8696607063894386</v>
      </c>
      <c r="BB122" s="11">
        <f>(1-'CC70 - %'!BB$5/100)*296*(44/28)*0.01*BB104*BB87/1000</f>
        <v>1.9145565835192502</v>
      </c>
      <c r="BC122" s="11"/>
    </row>
    <row r="123" spans="1:55" ht="15" customHeight="1" x14ac:dyDescent="0.3">
      <c r="A123" s="385"/>
      <c r="B123" s="364"/>
      <c r="C123" s="9" t="s">
        <v>266</v>
      </c>
      <c r="E123" s="364"/>
      <c r="F123" s="382"/>
      <c r="G123" s="11">
        <f>(1-'CC70 - %'!G$5/100)*296*(44/28)*0.01*G105*G88/1000</f>
        <v>0.3263520835904708</v>
      </c>
      <c r="H123" s="11">
        <f>(1-'CC70 - %'!H$5/100)*296*(44/28)*0.01*H105*H88/1000</f>
        <v>0.34915510178870857</v>
      </c>
      <c r="I123" s="11">
        <f>(1-'CC70 - %'!I$5/100)*296*(44/28)*0.01*I105*I88/1000</f>
        <v>0.34985098100084838</v>
      </c>
      <c r="J123" s="11">
        <f>(1-'CC70 - %'!J$5/100)*296*(44/28)*0.01*J105*J88/1000</f>
        <v>0.37662410818650249</v>
      </c>
      <c r="K123" s="11">
        <f>(1-'CC70 - %'!K$5/100)*296*(44/28)*0.01*K105*K88/1000</f>
        <v>0.39446520707582949</v>
      </c>
      <c r="L123" s="11">
        <f>(1-'CC70 - %'!L$5/100)*296*(44/28)*0.01*L105*L88/1000</f>
        <v>0.41179922466649882</v>
      </c>
      <c r="M123" s="11">
        <f>(1-'CC70 - %'!M$5/100)*296*(44/28)*0.01*M105*M88/1000</f>
        <v>0.42475243675278757</v>
      </c>
      <c r="N123" s="11">
        <f>(1-'CC70 - %'!N$5/100)*296*(44/28)*0.01*N105*N88/1000</f>
        <v>0.44033775491351829</v>
      </c>
      <c r="O123" s="11">
        <f>(1-'CC70 - %'!O$5/100)*296*(44/28)*0.01*O105*O88/1000</f>
        <v>0.44296732512383086</v>
      </c>
      <c r="P123" s="11">
        <f>(1-'CC70 - %'!P$5/100)*296*(44/28)*0.01*P105*P88/1000</f>
        <v>0.45593810183695133</v>
      </c>
      <c r="Q123" s="11">
        <f>(1-'CC70 - %'!Q$5/100)*296*(44/28)*0.01*Q105*Q88/1000</f>
        <v>0.47258241398219503</v>
      </c>
      <c r="R123" s="11">
        <f>(1-'CC70 - %'!R$5/100)*296*(44/28)*0.01*R105*R88/1000</f>
        <v>0.48441275956101038</v>
      </c>
      <c r="S123" s="11">
        <f>(1-'CC70 - %'!S$5/100)*296*(44/28)*0.01*S105*S88/1000</f>
        <v>0.49634047960069516</v>
      </c>
      <c r="T123" s="11">
        <f>(1-'CC70 - %'!T$5/100)*296*(44/28)*0.01*T105*T88/1000</f>
        <v>0.50972215298957879</v>
      </c>
      <c r="U123" s="11">
        <f>(1-'CC70 - %'!U$5/100)*296*(44/28)*0.01*U105*U88/1000</f>
        <v>0.51164985547070552</v>
      </c>
      <c r="V123" s="11">
        <f>(1-'CC70 - %'!V$5/100)*296*(44/28)*0.01*V105*V88/1000</f>
        <v>0.51363309029777859</v>
      </c>
      <c r="W123" s="11">
        <f>(1-'CC70 - %'!W$5/100)*296*(44/28)*0.01*W105*W88/1000</f>
        <v>0.51988565856763236</v>
      </c>
      <c r="X123" s="11">
        <f>(1-'CC70 - %'!X$5/100)*296*(44/28)*0.01*X105*X88/1000</f>
        <v>0.52494879599002808</v>
      </c>
      <c r="Y123" s="11">
        <f>(1-'CC70 - %'!Y$5/100)*296*(44/28)*0.01*Y105*Y88/1000</f>
        <v>0.53059700763168693</v>
      </c>
      <c r="Z123" s="11">
        <f>(1-'CC70 - %'!Z$5/100)*296*(44/28)*0.01*Z105*Z88/1000</f>
        <v>0.53641792740185901</v>
      </c>
      <c r="AA123" s="11">
        <f>(1-'CC70 - %'!AA$5/100)*296*(44/28)*0.01*AA105*AA88/1000</f>
        <v>0.53965299129350641</v>
      </c>
      <c r="AB123" s="11">
        <f>(1-'CC70 - %'!AB$5/100)*296*(44/28)*0.01*AB105*AB88/1000</f>
        <v>0.55447208887895738</v>
      </c>
      <c r="AC123" s="11">
        <f>(1-'CC70 - %'!AC$5/100)*296*(44/28)*0.01*AC105*AC88/1000</f>
        <v>0.56785550106162053</v>
      </c>
      <c r="AD123" s="11">
        <f>(1-'CC70 - %'!AD$5/100)*296*(44/28)*0.01*AD105*AD88/1000</f>
        <v>0.58528577673888627</v>
      </c>
      <c r="AE123" s="11">
        <f>(1-'CC70 - %'!AE$5/100)*296*(44/28)*0.01*AE105*AE88/1000</f>
        <v>0.5999941727862288</v>
      </c>
      <c r="AF123" s="11">
        <f>(1-'CC70 - %'!AF$5/100)*296*(44/28)*0.01*AF105*AF88/1000</f>
        <v>0.61456347570994885</v>
      </c>
      <c r="AG123" s="11">
        <f>(1-'CC70 - %'!AG$5/100)*296*(44/28)*0.01*AG105*AG88/1000</f>
        <v>0.62980832791836139</v>
      </c>
      <c r="AH123" s="11">
        <f>(1-'CC70 - %'!AH$5/100)*296*(44/28)*0.01*AH105*AH88/1000</f>
        <v>0.65182864962880394</v>
      </c>
      <c r="AI123" s="11">
        <f>(1-'CC70 - %'!AI$5/100)*296*(44/28)*0.01*AI105*AI88/1000</f>
        <v>0.67300285008303562</v>
      </c>
      <c r="AJ123" s="11">
        <f>(1-'CC70 - %'!AJ$5/100)*296*(44/28)*0.01*AJ105*AJ88/1000</f>
        <v>0.69456085126175326</v>
      </c>
      <c r="AK123" s="11">
        <f>(1-'CC70 - %'!AK$5/100)*296*(44/28)*0.01*AK105*AK88/1000</f>
        <v>0.71684233804532949</v>
      </c>
      <c r="AL123" s="11">
        <f>(1-'CC70 - %'!AL$5/100)*296*(44/28)*0.01*AL105*AL88/1000</f>
        <v>0.74005700988005108</v>
      </c>
      <c r="AM123" s="11">
        <f>(1-'CC70 - %'!AM$5/100)*296*(44/28)*0.01*AM105*AM88/1000</f>
        <v>0.76409438471340296</v>
      </c>
      <c r="AN123" s="11">
        <f>(1-'CC70 - %'!AN$5/100)*296*(44/28)*0.01*AN105*AN88/1000</f>
        <v>0.78893910165249204</v>
      </c>
      <c r="AO123" s="11">
        <f>(1-'CC70 - %'!AO$5/100)*296*(44/28)*0.01*AO105*AO88/1000</f>
        <v>0.8143926175110372</v>
      </c>
      <c r="AP123" s="11">
        <f>(1-'CC70 - %'!AP$5/100)*296*(44/28)*0.01*AP105*AP88/1000</f>
        <v>0.84059266447017766</v>
      </c>
      <c r="AQ123" s="11">
        <f>(1-'CC70 - %'!AQ$5/100)*296*(44/28)*0.01*AQ105*AQ88/1000</f>
        <v>0.8675208692635451</v>
      </c>
      <c r="AR123" s="11">
        <f>(1-'CC70 - %'!AR$5/100)*296*(44/28)*0.01*AR105*AR88/1000</f>
        <v>0.89534035132028433</v>
      </c>
      <c r="AS123" s="11">
        <f>(1-'CC70 - %'!AS$5/100)*296*(44/28)*0.01*AS105*AS88/1000</f>
        <v>0.92376146332707476</v>
      </c>
      <c r="AT123" s="11">
        <f>(1-'CC70 - %'!AT$5/100)*296*(44/28)*0.01*AT105*AT88/1000</f>
        <v>0.95291964482402647</v>
      </c>
      <c r="AU123" s="11">
        <f>(1-'CC70 - %'!AU$5/100)*296*(44/28)*0.01*AU105*AU88/1000</f>
        <v>0.98254080771062724</v>
      </c>
      <c r="AV123" s="11">
        <f>(1-'CC70 - %'!AV$5/100)*296*(44/28)*0.01*AV105*AV88/1000</f>
        <v>1.0128184694110969</v>
      </c>
      <c r="AW123" s="11">
        <f>(1-'CC70 - %'!AW$5/100)*296*(44/28)*0.01*AW105*AW88/1000</f>
        <v>1.0437501999489893</v>
      </c>
      <c r="AX123" s="11">
        <f>(1-'CC70 - %'!AX$5/100)*296*(44/28)*0.01*AX105*AX88/1000</f>
        <v>1.0752849206904807</v>
      </c>
      <c r="AY123" s="11">
        <f>(1-'CC70 - %'!AY$5/100)*296*(44/28)*0.01*AY105*AY88/1000</f>
        <v>1.1074245296488188</v>
      </c>
      <c r="AZ123" s="11">
        <f>(1-'CC70 - %'!AZ$5/100)*296*(44/28)*0.01*AZ105*AZ88/1000</f>
        <v>1.1403884104235662</v>
      </c>
      <c r="BA123" s="11">
        <f>(1-'CC70 - %'!BA$5/100)*296*(44/28)*0.01*BA105*BA88/1000</f>
        <v>1.1741691068230475</v>
      </c>
      <c r="BB123" s="11">
        <f>(1-'CC70 - %'!BB$5/100)*296*(44/28)*0.01*BB105*BB88/1000</f>
        <v>1.208764180211567</v>
      </c>
      <c r="BC123" s="11"/>
    </row>
    <row r="124" spans="1:55" ht="15" customHeight="1" x14ac:dyDescent="0.3">
      <c r="B124" s="364"/>
      <c r="C124" s="9" t="s">
        <v>267</v>
      </c>
      <c r="E124" s="364"/>
      <c r="F124" s="382"/>
      <c r="G124" s="11">
        <f>(1-'CC70 - %'!G$5/100)*296*(44/28)*0.01*G106*G89/1000</f>
        <v>2.4675615548496538E-2</v>
      </c>
      <c r="H124" s="11">
        <f>(1-'CC70 - %'!H$5/100)*296*(44/28)*0.01*H106*H89/1000</f>
        <v>2.6509015723919265E-2</v>
      </c>
      <c r="I124" s="11">
        <f>(1-'CC70 - %'!I$5/100)*296*(44/28)*0.01*I106*I89/1000</f>
        <v>2.6689685532795288E-2</v>
      </c>
      <c r="J124" s="11">
        <f>(1-'CC70 - %'!J$5/100)*296*(44/28)*0.01*J106*J89/1000</f>
        <v>2.8331650147139762E-2</v>
      </c>
      <c r="K124" s="11">
        <f>(1-'CC70 - %'!K$5/100)*296*(44/28)*0.01*K106*K89/1000</f>
        <v>2.9242918195666611E-2</v>
      </c>
      <c r="L124" s="11">
        <f>(1-'CC70 - %'!L$5/100)*296*(44/28)*0.01*L106*L89/1000</f>
        <v>3.0086069176852706E-2</v>
      </c>
      <c r="M124" s="11">
        <f>(1-'CC70 - %'!M$5/100)*296*(44/28)*0.01*M106*M89/1000</f>
        <v>3.0580857203140403E-2</v>
      </c>
      <c r="N124" s="11">
        <f>(1-'CC70 - %'!N$5/100)*296*(44/28)*0.01*N106*N89/1000</f>
        <v>3.1245689205935713E-2</v>
      </c>
      <c r="O124" s="11">
        <f>(1-'CC70 - %'!O$5/100)*296*(44/28)*0.01*O106*O89/1000</f>
        <v>3.0930323584407865E-2</v>
      </c>
      <c r="P124" s="11">
        <f>(1-'CC70 - %'!P$5/100)*296*(44/28)*0.01*P106*P89/1000</f>
        <v>3.136550221487832E-2</v>
      </c>
      <c r="Q124" s="11">
        <f>(1-'CC70 - %'!Q$5/100)*296*(44/28)*0.01*Q106*Q89/1000</f>
        <v>3.2035213635327207E-2</v>
      </c>
      <c r="R124" s="11">
        <f>(1-'CC70 - %'!R$5/100)*296*(44/28)*0.01*R106*R89/1000</f>
        <v>3.234723398122355E-2</v>
      </c>
      <c r="S124" s="11">
        <f>(1-'CC70 - %'!S$5/100)*296*(44/28)*0.01*S106*S89/1000</f>
        <v>3.2646929875376596E-2</v>
      </c>
      <c r="T124" s="11">
        <f>(1-'CC70 - %'!T$5/100)*296*(44/28)*0.01*T106*T89/1000</f>
        <v>3.300490337808331E-2</v>
      </c>
      <c r="U124" s="11">
        <f>(1-'CC70 - %'!U$5/100)*296*(44/28)*0.01*U106*U89/1000</f>
        <v>3.324260907815544E-2</v>
      </c>
      <c r="V124" s="11">
        <f>(1-'CC70 - %'!V$5/100)*296*(44/28)*0.01*V106*V89/1000</f>
        <v>3.3483391774342716E-2</v>
      </c>
      <c r="W124" s="11">
        <f>(1-'CC70 - %'!W$5/100)*296*(44/28)*0.01*W106*W89/1000</f>
        <v>3.3988961613189261E-2</v>
      </c>
      <c r="X124" s="11">
        <f>(1-'CC70 - %'!X$5/100)*296*(44/28)*0.01*X106*X89/1000</f>
        <v>3.4416144525404695E-2</v>
      </c>
      <c r="Y124" s="11">
        <f>(1-'CC70 - %'!Y$5/100)*296*(44/28)*0.01*Y106*Y89/1000</f>
        <v>3.488045146122444E-2</v>
      </c>
      <c r="Z124" s="11">
        <f>(1-'CC70 - %'!Z$5/100)*296*(44/28)*0.01*Z106*Z89/1000</f>
        <v>3.535434820365093E-2</v>
      </c>
      <c r="AA124" s="11">
        <f>(1-'CC70 - %'!AA$5/100)*296*(44/28)*0.01*AA106*AA89/1000</f>
        <v>3.5659515453875974E-2</v>
      </c>
      <c r="AB124" s="11">
        <f>(1-'CC70 - %'!AB$5/100)*296*(44/28)*0.01*AB106*AB89/1000</f>
        <v>3.6198819450091652E-2</v>
      </c>
      <c r="AC124" s="11">
        <f>(1-'CC70 - %'!AC$5/100)*296*(44/28)*0.01*AC106*AC89/1000</f>
        <v>3.6633142213092502E-2</v>
      </c>
      <c r="AD124" s="11">
        <f>(1-'CC70 - %'!AD$5/100)*296*(44/28)*0.01*AD106*AD89/1000</f>
        <v>3.7306790103198373E-2</v>
      </c>
      <c r="AE124" s="11">
        <f>(1-'CC70 - %'!AE$5/100)*296*(44/28)*0.01*AE106*AE89/1000</f>
        <v>3.7795779552221923E-2</v>
      </c>
      <c r="AF124" s="11">
        <f>(1-'CC70 - %'!AF$5/100)*296*(44/28)*0.01*AF106*AF89/1000</f>
        <v>3.8263333965157742E-2</v>
      </c>
      <c r="AG124" s="11">
        <f>(1-'CC70 - %'!AG$5/100)*296*(44/28)*0.01*AG106*AG89/1000</f>
        <v>3.8758879045645324E-2</v>
      </c>
      <c r="AH124" s="11">
        <f>(1-'CC70 - %'!AH$5/100)*296*(44/28)*0.01*AH106*AH89/1000</f>
        <v>3.9652901597553872E-2</v>
      </c>
      <c r="AI124" s="11">
        <f>(1-'CC70 - %'!AI$5/100)*296*(44/28)*0.01*AI106*AI89/1000</f>
        <v>4.0469820293936136E-2</v>
      </c>
      <c r="AJ124" s="11">
        <f>(1-'CC70 - %'!AJ$5/100)*296*(44/28)*0.01*AJ106*AJ89/1000</f>
        <v>4.1291000832046579E-2</v>
      </c>
      <c r="AK124" s="11">
        <f>(1-'CC70 - %'!AK$5/100)*296*(44/28)*0.01*AK106*AK89/1000</f>
        <v>4.2133672884817813E-2</v>
      </c>
      <c r="AL124" s="11">
        <f>(1-'CC70 - %'!AL$5/100)*296*(44/28)*0.01*AL106*AL89/1000</f>
        <v>4.3008451453149923E-2</v>
      </c>
      <c r="AM124" s="11">
        <f>(1-'CC70 - %'!AM$5/100)*296*(44/28)*0.01*AM106*AM89/1000</f>
        <v>4.3908226497770958E-2</v>
      </c>
      <c r="AN124" s="11">
        <f>(1-'CC70 - %'!AN$5/100)*296*(44/28)*0.01*AN106*AN89/1000</f>
        <v>4.4830359960593626E-2</v>
      </c>
      <c r="AO124" s="11">
        <f>(1-'CC70 - %'!AO$5/100)*296*(44/28)*0.01*AO106*AO89/1000</f>
        <v>4.5764681031251794E-2</v>
      </c>
      <c r="AP124" s="11">
        <f>(1-'CC70 - %'!AP$5/100)*296*(44/28)*0.01*AP106*AP89/1000</f>
        <v>4.6716871473566145E-2</v>
      </c>
      <c r="AQ124" s="11">
        <f>(1-'CC70 - %'!AQ$5/100)*296*(44/28)*0.01*AQ106*AQ89/1000</f>
        <v>4.7685107842512446E-2</v>
      </c>
      <c r="AR124" s="11">
        <f>(1-'CC70 - %'!AR$5/100)*296*(44/28)*0.01*AR106*AR89/1000</f>
        <v>4.867768120212216E-2</v>
      </c>
      <c r="AS124" s="11">
        <f>(1-'CC70 - %'!AS$5/100)*296*(44/28)*0.01*AS106*AS89/1000</f>
        <v>4.9678176088439906E-2</v>
      </c>
      <c r="AT124" s="11">
        <f>(1-'CC70 - %'!AT$5/100)*296*(44/28)*0.01*AT106*AT89/1000</f>
        <v>5.0693172542956522E-2</v>
      </c>
      <c r="AU124" s="11">
        <f>(1-'CC70 - %'!AU$5/100)*296*(44/28)*0.01*AU106*AU89/1000</f>
        <v>5.1707467713506559E-2</v>
      </c>
      <c r="AV124" s="11">
        <f>(1-'CC70 - %'!AV$5/100)*296*(44/28)*0.01*AV106*AV89/1000</f>
        <v>5.2730886579897218E-2</v>
      </c>
      <c r="AW124" s="11">
        <f>(1-'CC70 - %'!AW$5/100)*296*(44/28)*0.01*AW106*AW89/1000</f>
        <v>5.3762879818266357E-2</v>
      </c>
      <c r="AX124" s="11">
        <f>(1-'CC70 - %'!AX$5/100)*296*(44/28)*0.01*AX106*AX89/1000</f>
        <v>5.4800330407026136E-2</v>
      </c>
      <c r="AY124" s="11">
        <f>(1-'CC70 - %'!AY$5/100)*296*(44/28)*0.01*AY106*AY89/1000</f>
        <v>5.5842970933333028E-2</v>
      </c>
      <c r="AZ124" s="11">
        <f>(1-'CC70 - %'!AZ$5/100)*296*(44/28)*0.01*AZ106*AZ89/1000</f>
        <v>5.6901224240256794E-2</v>
      </c>
      <c r="BA124" s="11">
        <f>(1-'CC70 - %'!BA$5/100)*296*(44/28)*0.01*BA106*BA89/1000</f>
        <v>5.7973988861061407E-2</v>
      </c>
      <c r="BB124" s="11">
        <f>(1-'CC70 - %'!BB$5/100)*296*(44/28)*0.01*BB106*BB89/1000</f>
        <v>5.9060448870818148E-2</v>
      </c>
      <c r="BC124" s="11"/>
    </row>
    <row r="125" spans="1:55" ht="14.4" x14ac:dyDescent="0.3">
      <c r="B125" s="364"/>
      <c r="C125" s="9" t="s">
        <v>268</v>
      </c>
      <c r="D125" s="28"/>
      <c r="E125" s="364"/>
      <c r="F125" s="382"/>
      <c r="G125" s="11">
        <f>(1-'CC70 - %'!G$5/100)*296*(44/28)*0.01*G107*G90/1000</f>
        <v>0.27697942903830469</v>
      </c>
      <c r="H125" s="11">
        <f>(1-'CC70 - %'!H$5/100)*296*(44/28)*0.01*H107*H90/1000</f>
        <v>0.30018928886292723</v>
      </c>
      <c r="I125" s="11">
        <f>(1-'CC70 - %'!I$5/100)*296*(44/28)*0.01*I107*I90/1000</f>
        <v>0.30491615657538346</v>
      </c>
      <c r="J125" s="11">
        <f>(1-'CC70 - %'!J$5/100)*296*(44/28)*0.01*J107*J90/1000</f>
        <v>0.32638793414775041</v>
      </c>
      <c r="K125" s="11">
        <f>(1-'CC70 - %'!K$5/100)*296*(44/28)*0.01*K107*K90/1000</f>
        <v>0.33146675697551098</v>
      </c>
      <c r="L125" s="11">
        <f>(1-'CC70 - %'!L$5/100)*296*(44/28)*0.01*L107*L90/1000</f>
        <v>0.33531727940933387</v>
      </c>
      <c r="M125" s="11">
        <f>(1-'CC70 - %'!M$5/100)*296*(44/28)*0.01*M107*M90/1000</f>
        <v>0.33617687016393671</v>
      </c>
      <c r="N125" s="11">
        <f>(1-'CC70 - %'!N$5/100)*296*(44/28)*0.01*N107*N90/1000</f>
        <v>0.33767569609658166</v>
      </c>
      <c r="O125" s="11">
        <f>(1-'CC70 - %'!O$5/100)*296*(44/28)*0.01*O107*O90/1000</f>
        <v>0.34127753254473486</v>
      </c>
      <c r="P125" s="11">
        <f>(1-'CC70 - %'!P$5/100)*296*(44/28)*0.01*P107*P90/1000</f>
        <v>0.3423718460699004</v>
      </c>
      <c r="Q125" s="11">
        <f>(1-'CC70 - %'!Q$5/100)*296*(44/28)*0.01*Q107*Q90/1000</f>
        <v>0.34468601830770684</v>
      </c>
      <c r="R125" s="11">
        <f>(1-'CC70 - %'!R$5/100)*296*(44/28)*0.01*R107*R90/1000</f>
        <v>0.34519107701179702</v>
      </c>
      <c r="S125" s="11">
        <f>(1-'CC70 - %'!S$5/100)*296*(44/28)*0.01*S107*S90/1000</f>
        <v>0.34580808544036168</v>
      </c>
      <c r="T125" s="11">
        <f>(1-'CC70 - %'!T$5/100)*296*(44/28)*0.01*T107*T90/1000</f>
        <v>0.34721390005685149</v>
      </c>
      <c r="U125" s="11">
        <f>(1-'CC70 - %'!U$5/100)*296*(44/28)*0.01*U107*U90/1000</f>
        <v>0.34802258932639218</v>
      </c>
      <c r="V125" s="11">
        <f>(1-'CC70 - %'!V$5/100)*296*(44/28)*0.01*V107*V90/1000</f>
        <v>0.34939590594796172</v>
      </c>
      <c r="W125" s="11">
        <f>(1-'CC70 - %'!W$5/100)*296*(44/28)*0.01*W107*W90/1000</f>
        <v>0.35190321200169455</v>
      </c>
      <c r="X125" s="11">
        <f>(1-'CC70 - %'!X$5/100)*296*(44/28)*0.01*X107*X90/1000</f>
        <v>0.35396114916943783</v>
      </c>
      <c r="Y125" s="11">
        <f>(1-'CC70 - %'!Y$5/100)*296*(44/28)*0.01*Y107*Y90/1000</f>
        <v>0.35664307899857373</v>
      </c>
      <c r="Z125" s="11">
        <f>(1-'CC70 - %'!Z$5/100)*296*(44/28)*0.01*Z107*Z90/1000</f>
        <v>0.35954759353247168</v>
      </c>
      <c r="AA125" s="11">
        <f>(1-'CC70 - %'!AA$5/100)*296*(44/28)*0.01*AA107*AA90/1000</f>
        <v>0.36130488084188361</v>
      </c>
      <c r="AB125" s="11">
        <f>(1-'CC70 - %'!AB$5/100)*296*(44/28)*0.01*AB107*AB90/1000</f>
        <v>0.36496699187389869</v>
      </c>
      <c r="AC125" s="11">
        <f>(1-'CC70 - %'!AC$5/100)*296*(44/28)*0.01*AC107*AC90/1000</f>
        <v>0.36787964595678158</v>
      </c>
      <c r="AD125" s="11">
        <f>(1-'CC70 - %'!AD$5/100)*296*(44/28)*0.01*AD107*AD90/1000</f>
        <v>0.37256505977678234</v>
      </c>
      <c r="AE125" s="11">
        <f>(1-'CC70 - %'!AE$5/100)*296*(44/28)*0.01*AE107*AE90/1000</f>
        <v>0.37593626091342452</v>
      </c>
      <c r="AF125" s="11">
        <f>(1-'CC70 - %'!AF$5/100)*296*(44/28)*0.01*AF107*AF90/1000</f>
        <v>0.37919572477671282</v>
      </c>
      <c r="AG125" s="11">
        <f>(1-'CC70 - %'!AG$5/100)*296*(44/28)*0.01*AG107*AG90/1000</f>
        <v>0.38270384825370091</v>
      </c>
      <c r="AH125" s="11">
        <f>(1-'CC70 - %'!AH$5/100)*296*(44/28)*0.01*AH107*AH90/1000</f>
        <v>0.39015168029677544</v>
      </c>
      <c r="AI125" s="11">
        <f>(1-'CC70 - %'!AI$5/100)*296*(44/28)*0.01*AI107*AI90/1000</f>
        <v>0.39655538591130279</v>
      </c>
      <c r="AJ125" s="11">
        <f>(1-'CC70 - %'!AJ$5/100)*296*(44/28)*0.01*AJ107*AJ90/1000</f>
        <v>0.40322035793864441</v>
      </c>
      <c r="AK125" s="11">
        <f>(1-'CC70 - %'!AK$5/100)*296*(44/28)*0.01*AK107*AK90/1000</f>
        <v>0.41010502360239048</v>
      </c>
      <c r="AL125" s="11">
        <f>(1-'CC70 - %'!AL$5/100)*296*(44/28)*0.01*AL107*AL90/1000</f>
        <v>0.41726516900109872</v>
      </c>
      <c r="AM125" s="11">
        <f>(1-'CC70 - %'!AM$5/100)*296*(44/28)*0.01*AM107*AM90/1000</f>
        <v>0.42467507777062863</v>
      </c>
      <c r="AN125" s="11">
        <f>(1-'CC70 - %'!AN$5/100)*296*(44/28)*0.01*AN107*AN90/1000</f>
        <v>0.43226139181963241</v>
      </c>
      <c r="AO125" s="11">
        <f>(1-'CC70 - %'!AO$5/100)*296*(44/28)*0.01*AO107*AO90/1000</f>
        <v>0.44006412030763764</v>
      </c>
      <c r="AP125" s="11">
        <f>(1-'CC70 - %'!AP$5/100)*296*(44/28)*0.01*AP107*AP90/1000</f>
        <v>0.44804327717493192</v>
      </c>
      <c r="AQ125" s="11">
        <f>(1-'CC70 - %'!AQ$5/100)*296*(44/28)*0.01*AQ107*AQ90/1000</f>
        <v>0.4561854496546634</v>
      </c>
      <c r="AR125" s="11">
        <f>(1-'CC70 - %'!AR$5/100)*296*(44/28)*0.01*AR107*AR90/1000</f>
        <v>0.46458482396354406</v>
      </c>
      <c r="AS125" s="11">
        <f>(1-'CC70 - %'!AS$5/100)*296*(44/28)*0.01*AS107*AS90/1000</f>
        <v>0.47309871321840991</v>
      </c>
      <c r="AT125" s="11">
        <f>(1-'CC70 - %'!AT$5/100)*296*(44/28)*0.01*AT107*AT90/1000</f>
        <v>0.48178480352954545</v>
      </c>
      <c r="AU125" s="11">
        <f>(1-'CC70 - %'!AU$5/100)*296*(44/28)*0.01*AU107*AU90/1000</f>
        <v>0.49049832559427003</v>
      </c>
      <c r="AV125" s="11">
        <f>(1-'CC70 - %'!AV$5/100)*296*(44/28)*0.01*AV107*AV90/1000</f>
        <v>0.49933557303216247</v>
      </c>
      <c r="AW125" s="11">
        <f>(1-'CC70 - %'!AW$5/100)*296*(44/28)*0.01*AW107*AW90/1000</f>
        <v>0.50830190405626063</v>
      </c>
      <c r="AX125" s="11">
        <f>(1-'CC70 - %'!AX$5/100)*296*(44/28)*0.01*AX107*AX90/1000</f>
        <v>0.51737230094884334</v>
      </c>
      <c r="AY125" s="11">
        <f>(1-'CC70 - %'!AY$5/100)*296*(44/28)*0.01*AY107*AY90/1000</f>
        <v>0.52655161155992014</v>
      </c>
      <c r="AZ125" s="11">
        <f>(1-'CC70 - %'!AZ$5/100)*296*(44/28)*0.01*AZ107*AZ90/1000</f>
        <v>0.53593682010582033</v>
      </c>
      <c r="BA125" s="11">
        <f>(1-'CC70 - %'!BA$5/100)*296*(44/28)*0.01*BA107*BA90/1000</f>
        <v>0.54552265988477366</v>
      </c>
      <c r="BB125" s="11">
        <f>(1-'CC70 - %'!BB$5/100)*296*(44/28)*0.01*BB107*BB90/1000</f>
        <v>0.55530691525526887</v>
      </c>
      <c r="BC125" s="11"/>
    </row>
    <row r="126" spans="1:55" ht="15" customHeight="1" x14ac:dyDescent="0.3">
      <c r="B126" s="364"/>
      <c r="C126" s="9" t="s">
        <v>269</v>
      </c>
      <c r="E126" s="364"/>
      <c r="F126" s="382"/>
      <c r="G126" s="11">
        <f>(1-'CC70 - %'!G$5/100)*296*(44/28)*0.01*G108*G91/1000</f>
        <v>1.2522327041760688</v>
      </c>
      <c r="H126" s="11">
        <f>(1-'CC70 - %'!H$5/100)*296*(44/28)*0.01*H108*H91/1000</f>
        <v>1.3515018037749593</v>
      </c>
      <c r="I126" s="11">
        <f>(1-'CC70 - %'!I$5/100)*296*(44/28)*0.01*I108*I91/1000</f>
        <v>1.36717184167258</v>
      </c>
      <c r="J126" s="11">
        <f>(1-'CC70 - %'!J$5/100)*296*(44/28)*0.01*J108*J91/1000</f>
        <v>1.4575846348088168</v>
      </c>
      <c r="K126" s="11">
        <f>(1-'CC70 - %'!K$5/100)*296*(44/28)*0.01*K108*K91/1000</f>
        <v>1.5111192220147285</v>
      </c>
      <c r="L126" s="11">
        <f>(1-'CC70 - %'!L$5/100)*296*(44/28)*0.01*L108*L91/1000</f>
        <v>1.5614083468529785</v>
      </c>
      <c r="M126" s="11">
        <f>(1-'CC70 - %'!M$5/100)*296*(44/28)*0.01*M108*M91/1000</f>
        <v>1.5938559885778742</v>
      </c>
      <c r="N126" s="11">
        <f>(1-'CC70 - %'!N$5/100)*296*(44/28)*0.01*N108*N91/1000</f>
        <v>1.6352385540213978</v>
      </c>
      <c r="O126" s="11">
        <f>(1-'CC70 - %'!O$5/100)*296*(44/28)*0.01*O108*O91/1000</f>
        <v>1.6262730068306144</v>
      </c>
      <c r="P126" s="11">
        <f>(1-'CC70 - %'!P$5/100)*296*(44/28)*0.01*P108*P91/1000</f>
        <v>1.6559555607093432</v>
      </c>
      <c r="Q126" s="11">
        <f>(1-'CC70 - %'!Q$5/100)*296*(44/28)*0.01*Q108*Q91/1000</f>
        <v>1.6980535907558747</v>
      </c>
      <c r="R126" s="11">
        <f>(1-'CC70 - %'!R$5/100)*296*(44/28)*0.01*R108*R91/1000</f>
        <v>1.7214956013093146</v>
      </c>
      <c r="S126" s="11">
        <f>(1-'CC70 - %'!S$5/100)*296*(44/28)*0.01*S108*S91/1000</f>
        <v>1.7443622307874258</v>
      </c>
      <c r="T126" s="11">
        <f>(1-'CC70 - %'!T$5/100)*296*(44/28)*0.01*T108*T91/1000</f>
        <v>1.7704298824575333</v>
      </c>
      <c r="U126" s="11">
        <f>(1-'CC70 - %'!U$5/100)*296*(44/28)*0.01*U108*U91/1000</f>
        <v>1.7901894166502705</v>
      </c>
      <c r="V126" s="11">
        <f>(1-'CC70 - %'!V$5/100)*296*(44/28)*0.01*V108*V91/1000</f>
        <v>1.8102315541058276</v>
      </c>
      <c r="W126" s="11">
        <f>(1-'CC70 - %'!W$5/100)*296*(44/28)*0.01*W108*W91/1000</f>
        <v>1.8444477156834651</v>
      </c>
      <c r="X126" s="11">
        <f>(1-'CC70 - %'!X$5/100)*296*(44/28)*0.01*X108*X91/1000</f>
        <v>1.8745806707925519</v>
      </c>
      <c r="Y126" s="11">
        <f>(1-'CC70 - %'!Y$5/100)*296*(44/28)*0.01*Y108*Y91/1000</f>
        <v>1.9068863366566569</v>
      </c>
      <c r="Z126" s="11">
        <f>(1-'CC70 - %'!Z$5/100)*296*(44/28)*0.01*Z108*Z91/1000</f>
        <v>1.9398606174008233</v>
      </c>
      <c r="AA126" s="11">
        <f>(1-'CC70 - %'!AA$5/100)*296*(44/28)*0.01*AA108*AA91/1000</f>
        <v>1.9637783655838124</v>
      </c>
      <c r="AB126" s="11">
        <f>(1-'CC70 - %'!AB$5/100)*296*(44/28)*0.01*AB108*AB91/1000</f>
        <v>2.0006039926052082</v>
      </c>
      <c r="AC126" s="11">
        <f>(1-'CC70 - %'!AC$5/100)*296*(44/28)*0.01*AC108*AC91/1000</f>
        <v>2.031822380232057</v>
      </c>
      <c r="AD126" s="11">
        <f>(1-'CC70 - %'!AD$5/100)*296*(44/28)*0.01*AD108*AD91/1000</f>
        <v>2.0763252521409612</v>
      </c>
      <c r="AE126" s="11">
        <f>(1-'CC70 - %'!AE$5/100)*296*(44/28)*0.01*AE108*AE91/1000</f>
        <v>2.1108332801291327</v>
      </c>
      <c r="AF126" s="11">
        <f>(1-'CC70 - %'!AF$5/100)*296*(44/28)*0.01*AF108*AF91/1000</f>
        <v>2.1442902043667451</v>
      </c>
      <c r="AG126" s="11">
        <f>(1-'CC70 - %'!AG$5/100)*296*(44/28)*0.01*AG108*AG91/1000</f>
        <v>2.1794290095189255</v>
      </c>
      <c r="AH126" s="11">
        <f>(1-'CC70 - %'!AH$5/100)*296*(44/28)*0.01*AH108*AH91/1000</f>
        <v>2.2371785695704482</v>
      </c>
      <c r="AI126" s="11">
        <f>(1-'CC70 - %'!AI$5/100)*296*(44/28)*0.01*AI108*AI91/1000</f>
        <v>2.2907559075564983</v>
      </c>
      <c r="AJ126" s="11">
        <f>(1-'CC70 - %'!AJ$5/100)*296*(44/28)*0.01*AJ108*AJ91/1000</f>
        <v>2.3448793053359918</v>
      </c>
      <c r="AK126" s="11">
        <f>(1-'CC70 - %'!AK$5/100)*296*(44/28)*0.01*AK108*AK91/1000</f>
        <v>2.4004692455838916</v>
      </c>
      <c r="AL126" s="11">
        <f>(1-'CC70 - %'!AL$5/100)*296*(44/28)*0.01*AL108*AL91/1000</f>
        <v>2.4581245979268442</v>
      </c>
      <c r="AM126" s="11">
        <f>(1-'CC70 - %'!AM$5/100)*296*(44/28)*0.01*AM108*AM91/1000</f>
        <v>2.5174647730964286</v>
      </c>
      <c r="AN126" s="11">
        <f>(1-'CC70 - %'!AN$5/100)*296*(44/28)*0.01*AN108*AN91/1000</f>
        <v>2.5783297049429192</v>
      </c>
      <c r="AO126" s="11">
        <f>(1-'CC70 - %'!AO$5/100)*296*(44/28)*0.01*AO108*AO91/1000</f>
        <v>2.6401902776626502</v>
      </c>
      <c r="AP126" s="11">
        <f>(1-'CC70 - %'!AP$5/100)*296*(44/28)*0.01*AP108*AP91/1000</f>
        <v>2.70334305880565</v>
      </c>
      <c r="AQ126" s="11">
        <f>(1-'CC70 - %'!AQ$5/100)*296*(44/28)*0.01*AQ108*AQ91/1000</f>
        <v>2.7676876879326118</v>
      </c>
      <c r="AR126" s="11">
        <f>(1-'CC70 - %'!AR$5/100)*296*(44/28)*0.01*AR108*AR91/1000</f>
        <v>2.8337157823192758</v>
      </c>
      <c r="AS126" s="11">
        <f>(1-'CC70 - %'!AS$5/100)*296*(44/28)*0.01*AS108*AS91/1000</f>
        <v>2.9004822290645498</v>
      </c>
      <c r="AT126" s="11">
        <f>(1-'CC70 - %'!AT$5/100)*296*(44/28)*0.01*AT108*AT91/1000</f>
        <v>2.968368761764189</v>
      </c>
      <c r="AU126" s="11">
        <f>(1-'CC70 - %'!AU$5/100)*296*(44/28)*0.01*AU108*AU91/1000</f>
        <v>3.0364838976341222</v>
      </c>
      <c r="AV126" s="11">
        <f>(1-'CC70 - %'!AV$5/100)*296*(44/28)*0.01*AV108*AV91/1000</f>
        <v>3.1054009165041347</v>
      </c>
      <c r="AW126" s="11">
        <f>(1-'CC70 - %'!AW$5/100)*296*(44/28)*0.01*AW108*AW91/1000</f>
        <v>3.1750906873514588</v>
      </c>
      <c r="AX126" s="11">
        <f>(1-'CC70 - %'!AX$5/100)*296*(44/28)*0.01*AX108*AX91/1000</f>
        <v>3.2453687176927217</v>
      </c>
      <c r="AY126" s="11">
        <f>(1-'CC70 - %'!AY$5/100)*296*(44/28)*0.01*AY108*AY91/1000</f>
        <v>3.3162190669459357</v>
      </c>
      <c r="AZ126" s="11">
        <f>(1-'CC70 - %'!AZ$5/100)*296*(44/28)*0.01*AZ108*AZ91/1000</f>
        <v>3.388257575876632</v>
      </c>
      <c r="BA126" s="11">
        <f>(1-'CC70 - %'!BA$5/100)*296*(44/28)*0.01*BA108*BA91/1000</f>
        <v>3.4614218867730897</v>
      </c>
      <c r="BB126" s="11">
        <f>(1-'CC70 - %'!BB$5/100)*296*(44/28)*0.01*BB108*BB91/1000</f>
        <v>3.5356660019712911</v>
      </c>
      <c r="BC126" s="11"/>
    </row>
    <row r="127" spans="1:55" ht="15" customHeight="1" x14ac:dyDescent="0.3">
      <c r="B127" s="364"/>
      <c r="C127" s="9" t="s">
        <v>270</v>
      </c>
      <c r="E127" s="364"/>
      <c r="F127" s="382"/>
      <c r="G127" s="11">
        <f>(1-'CC70 - %'!G$5/100)*296*(44/28)*0.01*G109*G92/1000</f>
        <v>0.18439188746692298</v>
      </c>
      <c r="H127" s="11">
        <f>(1-'CC70 - %'!H$5/100)*296*(44/28)*0.01*H109*H92/1000</f>
        <v>0.19920214741394465</v>
      </c>
      <c r="I127" s="11">
        <f>(1-'CC70 - %'!I$5/100)*296*(44/28)*0.01*I109*I92/1000</f>
        <v>0.20169160113221646</v>
      </c>
      <c r="J127" s="11">
        <f>(1-'CC70 - %'!J$5/100)*296*(44/28)*0.01*J109*J92/1000</f>
        <v>0.215224191517739</v>
      </c>
      <c r="K127" s="11">
        <f>(1-'CC70 - %'!K$5/100)*296*(44/28)*0.01*K109*K92/1000</f>
        <v>0.22331580631432996</v>
      </c>
      <c r="L127" s="11">
        <f>(1-'CC70 - %'!L$5/100)*296*(44/28)*0.01*L109*L92/1000</f>
        <v>0.23093250703751597</v>
      </c>
      <c r="M127" s="11">
        <f>(1-'CC70 - %'!M$5/100)*296*(44/28)*0.01*M109*M92/1000</f>
        <v>0.23591056551761061</v>
      </c>
      <c r="N127" s="11">
        <f>(1-'CC70 - %'!N$5/100)*296*(44/28)*0.01*N109*N92/1000</f>
        <v>0.24221278067238455</v>
      </c>
      <c r="O127" s="11">
        <f>(1-'CC70 - %'!O$5/100)*296*(44/28)*0.01*O109*O92/1000</f>
        <v>0.24102815589474674</v>
      </c>
      <c r="P127" s="11">
        <f>(1-'CC70 - %'!P$5/100)*296*(44/28)*0.01*P109*P92/1000</f>
        <v>0.24558374250774051</v>
      </c>
      <c r="Q127" s="11">
        <f>(1-'CC70 - %'!Q$5/100)*296*(44/28)*0.01*Q109*Q92/1000</f>
        <v>0.25198168908063512</v>
      </c>
      <c r="R127" s="11">
        <f>(1-'CC70 - %'!R$5/100)*296*(44/28)*0.01*R109*R92/1000</f>
        <v>0.25560398286073088</v>
      </c>
      <c r="S127" s="11">
        <f>(1-'CC70 - %'!S$5/100)*296*(44/28)*0.01*S109*S92/1000</f>
        <v>0.25913535162312029</v>
      </c>
      <c r="T127" s="11">
        <f>(1-'CC70 - %'!T$5/100)*296*(44/28)*0.01*T109*T92/1000</f>
        <v>0.26313686050797558</v>
      </c>
      <c r="U127" s="11">
        <f>(1-'CC70 - %'!U$5/100)*296*(44/28)*0.01*U109*U92/1000</f>
        <v>0.26619330528328689</v>
      </c>
      <c r="V127" s="11">
        <f>(1-'CC70 - %'!V$5/100)*296*(44/28)*0.01*V109*V92/1000</f>
        <v>0.26928378206279019</v>
      </c>
      <c r="W127" s="11">
        <f>(1-'CC70 - %'!W$5/100)*296*(44/28)*0.01*W109*W92/1000</f>
        <v>0.2744833368792195</v>
      </c>
      <c r="X127" s="11">
        <f>(1-'CC70 - %'!X$5/100)*296*(44/28)*0.01*X109*X92/1000</f>
        <v>0.27906936599056037</v>
      </c>
      <c r="Y127" s="11">
        <f>(1-'CC70 - %'!Y$5/100)*296*(44/28)*0.01*Y109*Y92/1000</f>
        <v>0.28397287277273592</v>
      </c>
      <c r="Z127" s="11">
        <f>(1-'CC70 - %'!Z$5/100)*296*(44/28)*0.01*Z109*Z92/1000</f>
        <v>0.28897024318761277</v>
      </c>
      <c r="AA127" s="11">
        <f>(1-'CC70 - %'!AA$5/100)*296*(44/28)*0.01*AA109*AA92/1000</f>
        <v>0.29260997639851793</v>
      </c>
      <c r="AB127" s="11">
        <f>(1-'CC70 - %'!AB$5/100)*296*(44/28)*0.01*AB109*AB92/1000</f>
        <v>0.2981694350043344</v>
      </c>
      <c r="AC127" s="11">
        <f>(1-'CC70 - %'!AC$5/100)*296*(44/28)*0.01*AC109*AC92/1000</f>
        <v>0.30288574373871319</v>
      </c>
      <c r="AD127" s="11">
        <f>(1-'CC70 - %'!AD$5/100)*296*(44/28)*0.01*AD109*AD92/1000</f>
        <v>0.30958014228480057</v>
      </c>
      <c r="AE127" s="11">
        <f>(1-'CC70 - %'!AE$5/100)*296*(44/28)*0.01*AE109*AE92/1000</f>
        <v>0.31477531668348957</v>
      </c>
      <c r="AF127" s="11">
        <f>(1-'CC70 - %'!AF$5/100)*296*(44/28)*0.01*AF109*AF92/1000</f>
        <v>0.31980661875540717</v>
      </c>
      <c r="AG127" s="11">
        <f>(1-'CC70 - %'!AG$5/100)*296*(44/28)*0.01*AG109*AG92/1000</f>
        <v>0.3250822552962106</v>
      </c>
      <c r="AH127" s="11">
        <f>(1-'CC70 - %'!AH$5/100)*296*(44/28)*0.01*AH109*AH92/1000</f>
        <v>0.33372379632560922</v>
      </c>
      <c r="AI127" s="11">
        <f>(1-'CC70 - %'!AI$5/100)*296*(44/28)*0.01*AI109*AI92/1000</f>
        <v>0.34173825298128691</v>
      </c>
      <c r="AJ127" s="11">
        <f>(1-'CC70 - %'!AJ$5/100)*296*(44/28)*0.01*AJ109*AJ92/1000</f>
        <v>0.34982542643460357</v>
      </c>
      <c r="AK127" s="11">
        <f>(1-'CC70 - %'!AK$5/100)*296*(44/28)*0.01*AK109*AK92/1000</f>
        <v>0.35812379066186995</v>
      </c>
      <c r="AL127" s="11">
        <f>(1-'CC70 - %'!AL$5/100)*296*(44/28)*0.01*AL109*AL92/1000</f>
        <v>0.36672273428348379</v>
      </c>
      <c r="AM127" s="11">
        <f>(1-'CC70 - %'!AM$5/100)*296*(44/28)*0.01*AM109*AM92/1000</f>
        <v>0.37556476413328188</v>
      </c>
      <c r="AN127" s="11">
        <f>(1-'CC70 - %'!AN$5/100)*296*(44/28)*0.01*AN109*AN92/1000</f>
        <v>0.38462605396363447</v>
      </c>
      <c r="AO127" s="11">
        <f>(1-'CC70 - %'!AO$5/100)*296*(44/28)*0.01*AO109*AO92/1000</f>
        <v>0.39382601972218767</v>
      </c>
      <c r="AP127" s="11">
        <f>(1-'CC70 - %'!AP$5/100)*296*(44/28)*0.01*AP109*AP92/1000</f>
        <v>0.40320935895330368</v>
      </c>
      <c r="AQ127" s="11">
        <f>(1-'CC70 - %'!AQ$5/100)*296*(44/28)*0.01*AQ109*AQ92/1000</f>
        <v>0.41276067494246566</v>
      </c>
      <c r="AR127" s="11">
        <f>(1-'CC70 - %'!AR$5/100)*296*(44/28)*0.01*AR109*AR92/1000</f>
        <v>0.42255272741808625</v>
      </c>
      <c r="AS127" s="11">
        <f>(1-'CC70 - %'!AS$5/100)*296*(44/28)*0.01*AS109*AS92/1000</f>
        <v>0.43244401169857644</v>
      </c>
      <c r="AT127" s="11">
        <f>(1-'CC70 - %'!AT$5/100)*296*(44/28)*0.01*AT109*AT92/1000</f>
        <v>0.44249110194904118</v>
      </c>
      <c r="AU127" s="11">
        <f>(1-'CC70 - %'!AU$5/100)*296*(44/28)*0.01*AU109*AU92/1000</f>
        <v>0.45256072919399426</v>
      </c>
      <c r="AV127" s="11">
        <f>(1-'CC70 - %'!AV$5/100)*296*(44/28)*0.01*AV109*AV92/1000</f>
        <v>0.46273796445003412</v>
      </c>
      <c r="AW127" s="11">
        <f>(1-'CC70 - %'!AW$5/100)*296*(44/28)*0.01*AW109*AW92/1000</f>
        <v>0.47301797231297538</v>
      </c>
      <c r="AX127" s="11">
        <f>(1-'CC70 - %'!AX$5/100)*296*(44/28)*0.01*AX109*AX92/1000</f>
        <v>0.4833728533254632</v>
      </c>
      <c r="AY127" s="11">
        <f>(1-'CC70 - %'!AY$5/100)*296*(44/28)*0.01*AY109*AY92/1000</f>
        <v>0.49379979867149165</v>
      </c>
      <c r="AZ127" s="11">
        <f>(1-'CC70 - %'!AZ$5/100)*296*(44/28)*0.01*AZ109*AZ92/1000</f>
        <v>0.50439016945768333</v>
      </c>
      <c r="BA127" s="11">
        <f>(1-'CC70 - %'!BA$5/100)*296*(44/28)*0.01*BA109*BA92/1000</f>
        <v>0.51513421333076126</v>
      </c>
      <c r="BB127" s="11">
        <f>(1-'CC70 - %'!BB$5/100)*296*(44/28)*0.01*BB109*BB92/1000</f>
        <v>0.52602461566365999</v>
      </c>
      <c r="BC127" s="11"/>
    </row>
    <row r="128" spans="1:55" ht="14.4" x14ac:dyDescent="0.3">
      <c r="A128" s="28"/>
      <c r="B128" s="364"/>
      <c r="C128" s="9" t="s">
        <v>271</v>
      </c>
      <c r="E128" s="364"/>
      <c r="F128" s="382"/>
      <c r="G128" s="11">
        <f>(1-'CC70 - %'!G$5/100)*296*(44/28)*0.01*G110*G93/1000</f>
        <v>1.1397686950378495E-2</v>
      </c>
      <c r="H128" s="11">
        <f>(1-'CC70 - %'!H$5/100)*296*(44/28)*0.01*H110*H93/1000</f>
        <v>1.2324366018725681E-2</v>
      </c>
      <c r="I128" s="11">
        <f>(1-'CC70 - %'!I$5/100)*296*(44/28)*0.01*I110*I93/1000</f>
        <v>1.2489542704186049E-2</v>
      </c>
      <c r="J128" s="11">
        <f>(1-'CC70 - %'!J$5/100)*296*(44/28)*0.01*J110*J93/1000</f>
        <v>1.3338061565894146E-2</v>
      </c>
      <c r="K128" s="11">
        <f>(1-'CC70 - %'!K$5/100)*296*(44/28)*0.01*K110*K93/1000</f>
        <v>1.3850135023408238E-2</v>
      </c>
      <c r="L128" s="11">
        <f>(1-'CC70 - %'!L$5/100)*296*(44/28)*0.01*L110*L93/1000</f>
        <v>1.4332756939573695E-2</v>
      </c>
      <c r="M128" s="11">
        <f>(1-'CC70 - %'!M$5/100)*296*(44/28)*0.01*M110*M93/1000</f>
        <v>1.4651519319589535E-2</v>
      </c>
      <c r="N128" s="11">
        <f>(1-'CC70 - %'!N$5/100)*296*(44/28)*0.01*N110*N93/1000</f>
        <v>1.5052137169020955E-2</v>
      </c>
      <c r="O128" s="11">
        <f>(1-'CC70 - %'!O$5/100)*296*(44/28)*0.01*O110*O93/1000</f>
        <v>1.498848747002947E-2</v>
      </c>
      <c r="P128" s="11">
        <f>(1-'CC70 - %'!P$5/100)*296*(44/28)*0.01*P110*P93/1000</f>
        <v>1.5280053631327119E-2</v>
      </c>
      <c r="Q128" s="11">
        <f>(1-'CC70 - %'!Q$5/100)*296*(44/28)*0.01*Q110*Q93/1000</f>
        <v>1.5685727151530843E-2</v>
      </c>
      <c r="R128" s="11">
        <f>(1-'CC70 - %'!R$5/100)*296*(44/28)*0.01*R110*R93/1000</f>
        <v>1.5918499304681231E-2</v>
      </c>
      <c r="S128" s="11">
        <f>(1-'CC70 - %'!S$5/100)*296*(44/28)*0.01*S110*S93/1000</f>
        <v>1.6145159610532762E-2</v>
      </c>
      <c r="T128" s="11">
        <f>(1-'CC70 - %'!T$5/100)*296*(44/28)*0.01*T110*T93/1000</f>
        <v>1.6400648022430721E-2</v>
      </c>
      <c r="U128" s="11">
        <f>(1-'CC70 - %'!U$5/100)*296*(44/28)*0.01*U110*U93/1000</f>
        <v>1.6596848348187074E-2</v>
      </c>
      <c r="V128" s="11">
        <f>(1-'CC70 - %'!V$5/100)*296*(44/28)*0.01*V110*V93/1000</f>
        <v>1.6794747601980343E-2</v>
      </c>
      <c r="W128" s="11">
        <f>(1-'CC70 - %'!W$5/100)*296*(44/28)*0.01*W110*W93/1000</f>
        <v>1.7123294786922063E-2</v>
      </c>
      <c r="X128" s="11">
        <f>(1-'CC70 - %'!X$5/100)*296*(44/28)*0.01*X110*X93/1000</f>
        <v>1.7413105774949832E-2</v>
      </c>
      <c r="Y128" s="11">
        <f>(1-'CC70 - %'!Y$5/100)*296*(44/28)*0.01*Y110*Y93/1000</f>
        <v>1.7722217478855929E-2</v>
      </c>
      <c r="Z128" s="11">
        <f>(1-'CC70 - %'!Z$5/100)*296*(44/28)*0.01*Z110*Z93/1000</f>
        <v>1.8036634204356316E-2</v>
      </c>
      <c r="AA128" s="11">
        <f>(1-'CC70 - %'!AA$5/100)*296*(44/28)*0.01*AA110*AA93/1000</f>
        <v>1.8265865020444326E-2</v>
      </c>
      <c r="AB128" s="11">
        <f>(1-'CC70 - %'!AB$5/100)*296*(44/28)*0.01*AB110*AB93/1000</f>
        <v>1.8614153741059094E-2</v>
      </c>
      <c r="AC128" s="11">
        <f>(1-'CC70 - %'!AC$5/100)*296*(44/28)*0.01*AC110*AC93/1000</f>
        <v>1.890925343408735E-2</v>
      </c>
      <c r="AD128" s="11">
        <f>(1-'CC70 - %'!AD$5/100)*296*(44/28)*0.01*AD110*AD93/1000</f>
        <v>1.9326938848240629E-2</v>
      </c>
      <c r="AE128" s="11">
        <f>(1-'CC70 - %'!AE$5/100)*296*(44/28)*0.01*AE110*AE93/1000</f>
        <v>1.9650504244092683E-2</v>
      </c>
      <c r="AF128" s="11">
        <f>(1-'CC70 - %'!AF$5/100)*296*(44/28)*0.01*AF110*AF93/1000</f>
        <v>1.9963142257613888E-2</v>
      </c>
      <c r="AG128" s="11">
        <f>(1-'CC70 - %'!AG$5/100)*296*(44/28)*0.01*AG110*AG93/1000</f>
        <v>2.0290258582696404E-2</v>
      </c>
      <c r="AH128" s="11">
        <f>(1-'CC70 - %'!AH$5/100)*296*(44/28)*0.01*AH110*AH93/1000</f>
        <v>2.0826648945412873E-2</v>
      </c>
      <c r="AI128" s="11">
        <f>(1-'CC70 - %'!AI$5/100)*296*(44/28)*0.01*AI110*AI93/1000</f>
        <v>2.1322899301865633E-2</v>
      </c>
      <c r="AJ128" s="11">
        <f>(1-'CC70 - %'!AJ$5/100)*296*(44/28)*0.01*AJ110*AJ93/1000</f>
        <v>2.1822869103018321E-2</v>
      </c>
      <c r="AK128" s="11">
        <f>(1-'CC70 - %'!AK$5/100)*296*(44/28)*0.01*AK110*AK93/1000</f>
        <v>2.2335055595716982E-2</v>
      </c>
      <c r="AL128" s="11">
        <f>(1-'CC70 - %'!AL$5/100)*296*(44/28)*0.01*AL110*AL93/1000</f>
        <v>2.2864954578091585E-2</v>
      </c>
      <c r="AM128" s="11">
        <f>(1-'CC70 - %'!AM$5/100)*296*(44/28)*0.01*AM110*AM93/1000</f>
        <v>2.3408943816175278E-2</v>
      </c>
      <c r="AN128" s="11">
        <f>(1-'CC70 - %'!AN$5/100)*296*(44/28)*0.01*AN110*AN93/1000</f>
        <v>2.3965451901007427E-2</v>
      </c>
      <c r="AO128" s="11">
        <f>(1-'CC70 - %'!AO$5/100)*296*(44/28)*0.01*AO110*AO93/1000</f>
        <v>2.4529478068046277E-2</v>
      </c>
      <c r="AP128" s="11">
        <f>(1-'CC70 - %'!AP$5/100)*296*(44/28)*0.01*AP110*AP93/1000</f>
        <v>2.510369611298411E-2</v>
      </c>
      <c r="AQ128" s="11">
        <f>(1-'CC70 - %'!AQ$5/100)*296*(44/28)*0.01*AQ110*AQ93/1000</f>
        <v>2.5687088777055302E-2</v>
      </c>
      <c r="AR128" s="11">
        <f>(1-'CC70 - %'!AR$5/100)*296*(44/28)*0.01*AR110*AR93/1000</f>
        <v>2.6284130065365823E-2</v>
      </c>
      <c r="AS128" s="11">
        <f>(1-'CC70 - %'!AS$5/100)*296*(44/28)*0.01*AS110*AS93/1000</f>
        <v>2.6885962891480864E-2</v>
      </c>
      <c r="AT128" s="11">
        <f>(1-'CC70 - %'!AT$5/100)*296*(44/28)*0.01*AT110*AT93/1000</f>
        <v>2.7496042445624508E-2</v>
      </c>
      <c r="AU128" s="11">
        <f>(1-'CC70 - %'!AU$5/100)*296*(44/28)*0.01*AU110*AU93/1000</f>
        <v>2.8106028167159933E-2</v>
      </c>
      <c r="AV128" s="11">
        <f>(1-'CC70 - %'!AV$5/100)*296*(44/28)*0.01*AV110*AV93/1000</f>
        <v>2.872115177331314E-2</v>
      </c>
      <c r="AW128" s="11">
        <f>(1-'CC70 - %'!AW$5/100)*296*(44/28)*0.01*AW110*AW93/1000</f>
        <v>2.9341061480816371E-2</v>
      </c>
      <c r="AX128" s="11">
        <f>(1-'CC70 - %'!AX$5/100)*296*(44/28)*0.01*AX110*AX93/1000</f>
        <v>2.9963971766336969E-2</v>
      </c>
      <c r="AY128" s="11">
        <f>(1-'CC70 - %'!AY$5/100)*296*(44/28)*0.01*AY110*AY93/1000</f>
        <v>3.0589658041544888E-2</v>
      </c>
      <c r="AZ128" s="11">
        <f>(1-'CC70 - %'!AZ$5/100)*296*(44/28)*0.01*AZ110*AZ93/1000</f>
        <v>3.122371863293253E-2</v>
      </c>
      <c r="BA128" s="11">
        <f>(1-'CC70 - %'!BA$5/100)*296*(44/28)*0.01*BA110*BA93/1000</f>
        <v>3.1865485694799897E-2</v>
      </c>
      <c r="BB128" s="11">
        <f>(1-'CC70 - %'!BB$5/100)*296*(44/28)*0.01*BB110*BB93/1000</f>
        <v>3.2514443200669187E-2</v>
      </c>
      <c r="BC128" s="11"/>
    </row>
    <row r="129" spans="1:56" ht="14.4" x14ac:dyDescent="0.3">
      <c r="A129" s="28"/>
      <c r="B129" s="364"/>
      <c r="C129" s="9" t="s">
        <v>272</v>
      </c>
      <c r="E129" s="364"/>
      <c r="F129" s="382"/>
      <c r="G129" s="11">
        <f>(1-'CC70 - %'!G$5/100)*296*(44/28)*0.01*G111*G94/1000</f>
        <v>4.1990620722712896E-3</v>
      </c>
      <c r="H129" s="11">
        <f>(1-'CC70 - %'!H$5/100)*296*(44/28)*0.01*H111*H94/1000</f>
        <v>4.584624376378901E-3</v>
      </c>
      <c r="I129" s="11">
        <f>(1-'CC70 - %'!I$5/100)*296*(44/28)*0.01*I111*I94/1000</f>
        <v>4.6836642176078819E-3</v>
      </c>
      <c r="J129" s="11">
        <f>(1-'CC70 - %'!J$5/100)*296*(44/28)*0.01*J111*J94/1000</f>
        <v>5.0583493399845598E-3</v>
      </c>
      <c r="K129" s="11">
        <f>(1-'CC70 - %'!K$5/100)*296*(44/28)*0.01*K111*K94/1000</f>
        <v>5.3053321821492907E-3</v>
      </c>
      <c r="L129" s="11">
        <f>(1-'CC70 - %'!L$5/100)*296*(44/28)*0.01*L111*L94/1000</f>
        <v>5.5476696295377239E-3</v>
      </c>
      <c r="M129" s="11">
        <f>(1-'CC70 - %'!M$5/100)*296*(44/28)*0.01*M111*M94/1000</f>
        <v>5.7306377001382176E-3</v>
      </c>
      <c r="N129" s="11">
        <f>(1-'CC70 - %'!N$5/100)*296*(44/28)*0.01*N111*N94/1000</f>
        <v>5.9535048670688717E-3</v>
      </c>
      <c r="O129" s="11">
        <f>(1-'CC70 - %'!O$5/100)*296*(44/28)*0.01*O111*O94/1000</f>
        <v>5.9640614716717048E-3</v>
      </c>
      <c r="P129" s="11">
        <f>(1-'CC70 - %'!P$5/100)*296*(44/28)*0.01*P111*P94/1000</f>
        <v>6.1436198609205054E-3</v>
      </c>
      <c r="Q129" s="11">
        <f>(1-'CC70 - %'!Q$5/100)*296*(44/28)*0.01*Q111*Q94/1000</f>
        <v>6.3779299760167545E-3</v>
      </c>
      <c r="R129" s="11">
        <f>(1-'CC70 - %'!R$5/100)*296*(44/28)*0.01*R111*R94/1000</f>
        <v>6.5405881779740079E-3</v>
      </c>
      <c r="S129" s="11">
        <f>(1-'CC70 - %'!S$5/100)*296*(44/28)*0.01*S111*S94/1000</f>
        <v>6.703491372360453E-3</v>
      </c>
      <c r="T129" s="11">
        <f>(1-'CC70 - %'!T$5/100)*296*(44/28)*0.01*T111*T94/1000</f>
        <v>6.8813667349568539E-3</v>
      </c>
      <c r="U129" s="11">
        <f>(1-'CC70 - %'!U$5/100)*296*(44/28)*0.01*U111*U94/1000</f>
        <v>7.0348687385096411E-3</v>
      </c>
      <c r="V129" s="11">
        <f>(1-'CC70 - %'!V$5/100)*296*(44/28)*0.01*V111*V94/1000</f>
        <v>7.1893949181902998E-3</v>
      </c>
      <c r="W129" s="11">
        <f>(1-'CC70 - %'!W$5/100)*296*(44/28)*0.01*W111*W94/1000</f>
        <v>7.4118740268276362E-3</v>
      </c>
      <c r="X129" s="11">
        <f>(1-'CC70 - %'!X$5/100)*296*(44/28)*0.01*X111*X94/1000</f>
        <v>7.6204934193556508E-3</v>
      </c>
      <c r="Y129" s="11">
        <f>(1-'CC70 - %'!Y$5/100)*296*(44/28)*0.01*Y111*Y94/1000</f>
        <v>7.8408071825628381E-3</v>
      </c>
      <c r="Z129" s="11">
        <f>(1-'CC70 - %'!Z$5/100)*296*(44/28)*0.01*Z111*Z94/1000</f>
        <v>8.0674313500809693E-3</v>
      </c>
      <c r="AA129" s="11">
        <f>(1-'CC70 - %'!AA$5/100)*296*(44/28)*0.01*AA111*AA94/1000</f>
        <v>8.2563155189683719E-3</v>
      </c>
      <c r="AB129" s="11">
        <f>(1-'CC70 - %'!AB$5/100)*296*(44/28)*0.01*AB111*AB94/1000</f>
        <v>8.5069124517193079E-3</v>
      </c>
      <c r="AC129" s="11">
        <f>(1-'CC70 - %'!AC$5/100)*296*(44/28)*0.01*AC111*AC94/1000</f>
        <v>8.73578936904661E-3</v>
      </c>
      <c r="AD129" s="11">
        <f>(1-'CC70 - %'!AD$5/100)*296*(44/28)*0.01*AD111*AD94/1000</f>
        <v>9.0321261937253098E-3</v>
      </c>
      <c r="AE129" s="11">
        <f>(1-'CC70 - %'!AE$5/100)*296*(44/28)*0.01*AE111*AE94/1000</f>
        <v>9.2857771602075749E-3</v>
      </c>
      <c r="AF129" s="11">
        <f>(1-'CC70 - %'!AF$5/100)*296*(44/28)*0.01*AF111*AF94/1000</f>
        <v>9.5386533408586289E-3</v>
      </c>
      <c r="AG129" s="11">
        <f>(1-'CC70 - %'!AG$5/100)*296*(44/28)*0.01*AG111*AG94/1000</f>
        <v>9.804204759501443E-3</v>
      </c>
      <c r="AH129" s="11">
        <f>(1-'CC70 - %'!AH$5/100)*296*(44/28)*0.01*AH111*AH94/1000</f>
        <v>1.0177534215902777E-2</v>
      </c>
      <c r="AI129" s="11">
        <f>(1-'CC70 - %'!AI$5/100)*296*(44/28)*0.01*AI111*AI94/1000</f>
        <v>1.0542272184987078E-2</v>
      </c>
      <c r="AJ129" s="11">
        <f>(1-'CC70 - %'!AJ$5/100)*296*(44/28)*0.01*AJ111*AJ94/1000</f>
        <v>1.0914309690559131E-2</v>
      </c>
      <c r="AK129" s="11">
        <f>(1-'CC70 - %'!AK$5/100)*296*(44/28)*0.01*AK111*AK94/1000</f>
        <v>1.1300533548078634E-2</v>
      </c>
      <c r="AL129" s="11">
        <f>(1-'CC70 - %'!AL$5/100)*296*(44/28)*0.01*AL111*AL94/1000</f>
        <v>1.1704827322725778E-2</v>
      </c>
      <c r="AM129" s="11">
        <f>(1-'CC70 - %'!AM$5/100)*296*(44/28)*0.01*AM111*AM94/1000</f>
        <v>1.2125344416823045E-2</v>
      </c>
      <c r="AN129" s="11">
        <f>(1-'CC70 - %'!AN$5/100)*296*(44/28)*0.01*AN111*AN94/1000</f>
        <v>1.2562485777694343E-2</v>
      </c>
      <c r="AO129" s="11">
        <f>(1-'CC70 - %'!AO$5/100)*296*(44/28)*0.01*AO111*AO94/1000</f>
        <v>1.3012090914342311E-2</v>
      </c>
      <c r="AP129" s="11">
        <f>(1-'CC70 - %'!AP$5/100)*296*(44/28)*0.01*AP111*AP94/1000</f>
        <v>1.3477388825718965E-2</v>
      </c>
      <c r="AQ129" s="11">
        <f>(1-'CC70 - %'!AQ$5/100)*296*(44/28)*0.01*AQ111*AQ94/1000</f>
        <v>1.3958293094475863E-2</v>
      </c>
      <c r="AR129" s="11">
        <f>(1-'CC70 - %'!AR$5/100)*296*(44/28)*0.01*AR111*AR94/1000</f>
        <v>1.4457534713808565E-2</v>
      </c>
      <c r="AS129" s="11">
        <f>(1-'CC70 - %'!AS$5/100)*296*(44/28)*0.01*AS111*AS94/1000</f>
        <v>1.4970541861273064E-2</v>
      </c>
      <c r="AT129" s="11">
        <f>(1-'CC70 - %'!AT$5/100)*296*(44/28)*0.01*AT111*AT94/1000</f>
        <v>1.5499797796413974E-2</v>
      </c>
      <c r="AU129" s="11">
        <f>(1-'CC70 - %'!AU$5/100)*296*(44/28)*0.01*AU111*AU94/1000</f>
        <v>1.6041097703262317E-2</v>
      </c>
      <c r="AV129" s="11">
        <f>(1-'CC70 - %'!AV$5/100)*296*(44/28)*0.01*AV111*AV94/1000</f>
        <v>1.6597808868099532E-2</v>
      </c>
      <c r="AW129" s="11">
        <f>(1-'CC70 - %'!AW$5/100)*296*(44/28)*0.01*AW111*AW94/1000</f>
        <v>1.7170031620240292E-2</v>
      </c>
      <c r="AX129" s="11">
        <f>(1-'CC70 - %'!AX$5/100)*296*(44/28)*0.01*AX111*AX94/1000</f>
        <v>1.7757137176501771E-2</v>
      </c>
      <c r="AY129" s="11">
        <f>(1-'CC70 - %'!AY$5/100)*296*(44/28)*0.01*AY111*AY94/1000</f>
        <v>1.835932862222911E-2</v>
      </c>
      <c r="AZ129" s="11">
        <f>(1-'CC70 - %'!AZ$5/100)*296*(44/28)*0.01*AZ111*AZ94/1000</f>
        <v>1.8980548900969382E-2</v>
      </c>
      <c r="BA129" s="11">
        <f>(1-'CC70 - %'!BA$5/100)*296*(44/28)*0.01*BA111*BA94/1000</f>
        <v>1.9620929517707577E-2</v>
      </c>
      <c r="BB129" s="11">
        <f>(1-'CC70 - %'!BB$5/100)*296*(44/28)*0.01*BB111*BB94/1000</f>
        <v>2.0280685760411761E-2</v>
      </c>
      <c r="BC129" s="11"/>
    </row>
    <row r="130" spans="1:56" ht="14.4" x14ac:dyDescent="0.3">
      <c r="A130" s="28"/>
      <c r="B130" s="364"/>
      <c r="C130" s="9" t="s">
        <v>273</v>
      </c>
      <c r="E130" s="364"/>
      <c r="F130" s="382"/>
      <c r="G130" s="11">
        <f>(1-'CC70 - %'!G$5/100)*296*(44/28)*0.01*G112*G95/1000</f>
        <v>0.10765394933096839</v>
      </c>
      <c r="H130" s="11">
        <f>(1-'CC70 - %'!H$5/100)*296*(44/28)*0.01*H112*H95/1000</f>
        <v>0.11658202709117016</v>
      </c>
      <c r="I130" s="11">
        <f>(1-'CC70 - %'!I$5/100)*296*(44/28)*0.01*I112*I95/1000</f>
        <v>0.11831523139205634</v>
      </c>
      <c r="J130" s="11">
        <f>(1-'CC70 - %'!J$5/100)*296*(44/28)*0.01*J112*J95/1000</f>
        <v>0.12655249862951801</v>
      </c>
      <c r="K130" s="11">
        <f>(1-'CC70 - %'!K$5/100)*296*(44/28)*0.01*K112*K95/1000</f>
        <v>0.13161217290426724</v>
      </c>
      <c r="L130" s="11">
        <f>(1-'CC70 - %'!L$5/100)*296*(44/28)*0.01*L112*L95/1000</f>
        <v>0.13640953668233849</v>
      </c>
      <c r="M130" s="11">
        <f>(1-'CC70 - %'!M$5/100)*296*(44/28)*0.01*M112*M95/1000</f>
        <v>0.13966029580978168</v>
      </c>
      <c r="N130" s="11">
        <f>(1-'CC70 - %'!N$5/100)*296*(44/28)*0.01*N112*N95/1000</f>
        <v>0.14370713886158817</v>
      </c>
      <c r="O130" s="11">
        <f>(1-'CC70 - %'!O$5/100)*296*(44/28)*0.01*O112*O95/1000</f>
        <v>0.14329702292368732</v>
      </c>
      <c r="P130" s="11">
        <f>(1-'CC70 - %'!P$5/100)*296*(44/28)*0.01*P112*P95/1000</f>
        <v>0.14631308493611261</v>
      </c>
      <c r="Q130" s="11">
        <f>(1-'CC70 - %'!Q$5/100)*296*(44/28)*0.01*Q112*Q95/1000</f>
        <v>0.15043831764348534</v>
      </c>
      <c r="R130" s="11">
        <f>(1-'CC70 - %'!R$5/100)*296*(44/28)*0.01*R112*R95/1000</f>
        <v>0.15291117111305519</v>
      </c>
      <c r="S130" s="11">
        <f>(1-'CC70 - %'!S$5/100)*296*(44/28)*0.01*S112*S95/1000</f>
        <v>0.1553332880448208</v>
      </c>
      <c r="T130" s="11">
        <f>(1-'CC70 - %'!T$5/100)*296*(44/28)*0.01*T112*T95/1000</f>
        <v>0.15804122827959582</v>
      </c>
      <c r="U130" s="11">
        <f>(1-'CC70 - %'!U$5/100)*296*(44/28)*0.01*U112*U95/1000</f>
        <v>0.16018357858069701</v>
      </c>
      <c r="V130" s="11">
        <f>(1-'CC70 - %'!V$5/100)*296*(44/28)*0.01*V112*V95/1000</f>
        <v>0.16234725720377782</v>
      </c>
      <c r="W130" s="11">
        <f>(1-'CC70 - %'!W$5/100)*296*(44/28)*0.01*W112*W95/1000</f>
        <v>0.16579148035248203</v>
      </c>
      <c r="X130" s="11">
        <f>(1-'CC70 - %'!X$5/100)*296*(44/28)*0.01*X112*X95/1000</f>
        <v>0.16887052983877784</v>
      </c>
      <c r="Y130" s="11">
        <f>(1-'CC70 - %'!Y$5/100)*296*(44/28)*0.01*Y112*Y95/1000</f>
        <v>0.17214675759302314</v>
      </c>
      <c r="Z130" s="11">
        <f>(1-'CC70 - %'!Z$5/100)*296*(44/28)*0.01*Z112*Z95/1000</f>
        <v>0.1754854811207236</v>
      </c>
      <c r="AA130" s="11">
        <f>(1-'CC70 - %'!AA$5/100)*296*(44/28)*0.01*AA112*AA95/1000</f>
        <v>0.17800208635802156</v>
      </c>
      <c r="AB130" s="11">
        <f>(1-'CC70 - %'!AB$5/100)*296*(44/28)*0.01*AB112*AB95/1000</f>
        <v>0.18169308580211785</v>
      </c>
      <c r="AC130" s="11">
        <f>(1-'CC70 - %'!AC$5/100)*296*(44/28)*0.01*AC112*AC95/1000</f>
        <v>0.18487482471247332</v>
      </c>
      <c r="AD130" s="11">
        <f>(1-'CC70 - %'!AD$5/100)*296*(44/28)*0.01*AD112*AD95/1000</f>
        <v>0.18927345797057807</v>
      </c>
      <c r="AE130" s="11">
        <f>(1-'CC70 - %'!AE$5/100)*296*(44/28)*0.01*AE112*AE95/1000</f>
        <v>0.19276017966751732</v>
      </c>
      <c r="AF130" s="11">
        <f>(1-'CC70 - %'!AF$5/100)*296*(44/28)*0.01*AF112*AF95/1000</f>
        <v>0.1961512355578218</v>
      </c>
      <c r="AG130" s="11">
        <f>(1-'CC70 - %'!AG$5/100)*296*(44/28)*0.01*AG112*AG95/1000</f>
        <v>0.1996973769430975</v>
      </c>
      <c r="AH130" s="11">
        <f>(1-'CC70 - %'!AH$5/100)*296*(44/28)*0.01*AH112*AH95/1000</f>
        <v>0.20531940222671363</v>
      </c>
      <c r="AI130" s="11">
        <f>(1-'CC70 - %'!AI$5/100)*296*(44/28)*0.01*AI112*AI95/1000</f>
        <v>0.21056782313746661</v>
      </c>
      <c r="AJ130" s="11">
        <f>(1-'CC70 - %'!AJ$5/100)*296*(44/28)*0.01*AJ112*AJ95/1000</f>
        <v>0.21586959246144002</v>
      </c>
      <c r="AK130" s="11">
        <f>(1-'CC70 - %'!AK$5/100)*296*(44/28)*0.01*AK112*AK95/1000</f>
        <v>0.22131139464834479</v>
      </c>
      <c r="AL130" s="11">
        <f>(1-'CC70 - %'!AL$5/100)*296*(44/28)*0.01*AL112*AL95/1000</f>
        <v>0.22694916186141381</v>
      </c>
      <c r="AM130" s="11">
        <f>(1-'CC70 - %'!AM$5/100)*296*(44/28)*0.01*AM112*AM95/1000</f>
        <v>0.2327475110005226</v>
      </c>
      <c r="AN130" s="11">
        <f>(1-'CC70 - %'!AN$5/100)*296*(44/28)*0.01*AN112*AN95/1000</f>
        <v>0.23869236807876401</v>
      </c>
      <c r="AO130" s="11">
        <f>(1-'CC70 - %'!AO$5/100)*296*(44/28)*0.01*AO112*AO95/1000</f>
        <v>0.24473292228949253</v>
      </c>
      <c r="AP130" s="11">
        <f>(1-'CC70 - %'!AP$5/100)*296*(44/28)*0.01*AP112*AP95/1000</f>
        <v>0.25089775105625339</v>
      </c>
      <c r="AQ130" s="11">
        <f>(1-'CC70 - %'!AQ$5/100)*296*(44/28)*0.01*AQ112*AQ95/1000</f>
        <v>0.25717742619670814</v>
      </c>
      <c r="AR130" s="11">
        <f>(1-'CC70 - %'!AR$5/100)*296*(44/28)*0.01*AR112*AR95/1000</f>
        <v>0.26361736585702544</v>
      </c>
      <c r="AS130" s="11">
        <f>(1-'CC70 - %'!AS$5/100)*296*(44/28)*0.01*AS112*AS95/1000</f>
        <v>0.27012936372745755</v>
      </c>
      <c r="AT130" s="11">
        <f>(1-'CC70 - %'!AT$5/100)*296*(44/28)*0.01*AT112*AT95/1000</f>
        <v>0.27674881871382717</v>
      </c>
      <c r="AU130" s="11">
        <f>(1-'CC70 - %'!AU$5/100)*296*(44/28)*0.01*AU112*AU95/1000</f>
        <v>0.28339239059753651</v>
      </c>
      <c r="AV130" s="11">
        <f>(1-'CC70 - %'!AV$5/100)*296*(44/28)*0.01*AV112*AV95/1000</f>
        <v>0.29011319892027365</v>
      </c>
      <c r="AW130" s="11">
        <f>(1-'CC70 - %'!AW$5/100)*296*(44/28)*0.01*AW112*AW95/1000</f>
        <v>0.29690810838884657</v>
      </c>
      <c r="AX130" s="11">
        <f>(1-'CC70 - %'!AX$5/100)*296*(44/28)*0.01*AX112*AX95/1000</f>
        <v>0.30375953440277659</v>
      </c>
      <c r="AY130" s="11">
        <f>(1-'CC70 - %'!AY$5/100)*296*(44/28)*0.01*AY112*AY95/1000</f>
        <v>0.31066556698536951</v>
      </c>
      <c r="AZ130" s="11">
        <f>(1-'CC70 - %'!AZ$5/100)*296*(44/28)*0.01*AZ112*AZ95/1000</f>
        <v>0.31768369821257969</v>
      </c>
      <c r="BA130" s="11">
        <f>(1-'CC70 - %'!BA$5/100)*296*(44/28)*0.01*BA112*BA95/1000</f>
        <v>0.32480785195175338</v>
      </c>
      <c r="BB130" s="11">
        <f>(1-'CC70 - %'!BB$5/100)*296*(44/28)*0.01*BB112*BB95/1000</f>
        <v>0.33203345782684557</v>
      </c>
      <c r="BC130" s="11"/>
    </row>
    <row r="131" spans="1:56" ht="14.4" x14ac:dyDescent="0.3">
      <c r="A131" s="28"/>
      <c r="B131" s="364"/>
      <c r="C131" s="9" t="s">
        <v>274</v>
      </c>
      <c r="E131" s="364"/>
      <c r="F131" s="382"/>
      <c r="G131" s="11">
        <f>(1-'CC70 - %'!G$5/100)*296*(44/28)*0.01*G113*G96/1000</f>
        <v>2.931052907586492E-2</v>
      </c>
      <c r="H131" s="11">
        <f>(1-'CC70 - %'!H$5/100)*296*(44/28)*0.01*H113*H96/1000</f>
        <v>4.074157165315951E-2</v>
      </c>
      <c r="I131" s="11">
        <f>(1-'CC70 - %'!I$5/100)*296*(44/28)*0.01*I113*I96/1000</f>
        <v>5.2285473195513639E-2</v>
      </c>
      <c r="J131" s="11">
        <f>(1-'CC70 - %'!J$5/100)*296*(44/28)*0.01*J113*J96/1000</f>
        <v>6.390264647560745E-2</v>
      </c>
      <c r="K131" s="11">
        <f>(1-'CC70 - %'!K$5/100)*296*(44/28)*0.01*K113*K96/1000</f>
        <v>7.6196908728967533E-2</v>
      </c>
      <c r="L131" s="11">
        <f>(1-'CC70 - %'!L$5/100)*296*(44/28)*0.01*L113*L96/1000</f>
        <v>8.8535940658894932E-2</v>
      </c>
      <c r="M131" s="11">
        <f>(1-'CC70 - %'!M$5/100)*296*(44/28)*0.01*M113*M96/1000</f>
        <v>0.10026852535107511</v>
      </c>
      <c r="N131" s="11">
        <f>(1-'CC70 - %'!N$5/100)*296*(44/28)*0.01*N113*N96/1000</f>
        <v>0.11229456104148791</v>
      </c>
      <c r="O131" s="11">
        <f>(1-'CC70 - %'!O$5/100)*296*(44/28)*0.01*O113*O96/1000</f>
        <v>0.11392095312334324</v>
      </c>
      <c r="P131" s="11">
        <f>(1-'CC70 - %'!P$5/100)*296*(44/28)*0.01*P113*P96/1000</f>
        <v>0.11471550433516935</v>
      </c>
      <c r="Q131" s="11">
        <f>(1-'CC70 - %'!Q$5/100)*296*(44/28)*0.01*Q113*Q96/1000</f>
        <v>0.11592233782549856</v>
      </c>
      <c r="R131" s="11">
        <f>(1-'CC70 - %'!R$5/100)*296*(44/28)*0.01*R113*R96/1000</f>
        <v>0.11652354775295985</v>
      </c>
      <c r="S131" s="11">
        <f>(1-'CC70 - %'!S$5/100)*296*(44/28)*0.01*S113*S96/1000</f>
        <v>0.11716321959969114</v>
      </c>
      <c r="T131" s="11">
        <f>(1-'CC70 - %'!T$5/100)*296*(44/28)*0.01*T113*T96/1000</f>
        <v>0.11807185429078104</v>
      </c>
      <c r="U131" s="11">
        <f>(1-'CC70 - %'!U$5/100)*296*(44/28)*0.01*U113*U96/1000</f>
        <v>0.11877943601985526</v>
      </c>
      <c r="V131" s="11">
        <f>(1-'CC70 - %'!V$5/100)*296*(44/28)*0.01*V113*V96/1000</f>
        <v>0.11968167372504961</v>
      </c>
      <c r="W131" s="11">
        <f>(1-'CC70 - %'!W$5/100)*296*(44/28)*0.01*W113*W96/1000</f>
        <v>0.12097638941283792</v>
      </c>
      <c r="X131" s="11">
        <f>(1-'CC70 - %'!X$5/100)*296*(44/28)*0.01*X113*X96/1000</f>
        <v>0.12212149509151313</v>
      </c>
      <c r="Y131" s="11">
        <f>(1-'CC70 - %'!Y$5/100)*296*(44/28)*0.01*Y113*Y96/1000</f>
        <v>0.12348695507510295</v>
      </c>
      <c r="Z131" s="11">
        <f>(1-'CC70 - %'!Z$5/100)*296*(44/28)*0.01*Z113*Z96/1000</f>
        <v>0.1249355760380978</v>
      </c>
      <c r="AA131" s="11">
        <f>(1-'CC70 - %'!AA$5/100)*296*(44/28)*0.01*AA113*AA96/1000</f>
        <v>0.12599048997430204</v>
      </c>
      <c r="AB131" s="11">
        <f>(1-'CC70 - %'!AB$5/100)*296*(44/28)*0.01*AB113*AB96/1000</f>
        <v>0.12771547405928702</v>
      </c>
      <c r="AC131" s="11">
        <f>(1-'CC70 - %'!AC$5/100)*296*(44/28)*0.01*AC113*AC96/1000</f>
        <v>0.12918542993906687</v>
      </c>
      <c r="AD131" s="11">
        <f>(1-'CC70 - %'!AD$5/100)*296*(44/28)*0.01*AD113*AD96/1000</f>
        <v>0.1312863701844012</v>
      </c>
      <c r="AE131" s="11">
        <f>(1-'CC70 - %'!AE$5/100)*296*(44/28)*0.01*AE113*AE96/1000</f>
        <v>0.13293319077347052</v>
      </c>
      <c r="AF131" s="11">
        <f>(1-'CC70 - %'!AF$5/100)*296*(44/28)*0.01*AF113*AF96/1000</f>
        <v>0.13454771872722934</v>
      </c>
      <c r="AG131" s="11">
        <f>(1-'CC70 - %'!AG$5/100)*296*(44/28)*0.01*AG113*AG96/1000</f>
        <v>0.13625783424433396</v>
      </c>
      <c r="AH131" s="11">
        <f>(1-'CC70 - %'!AH$5/100)*296*(44/28)*0.01*AH113*AH96/1000</f>
        <v>0.13938305564155751</v>
      </c>
      <c r="AI131" s="11">
        <f>(1-'CC70 - %'!AI$5/100)*296*(44/28)*0.01*AI113*AI96/1000</f>
        <v>0.14215114078153737</v>
      </c>
      <c r="AJ131" s="11">
        <f>(1-'CC70 - %'!AJ$5/100)*296*(44/28)*0.01*AJ113*AJ96/1000</f>
        <v>0.14502776135147372</v>
      </c>
      <c r="AK131" s="11">
        <f>(1-'CC70 - %'!AK$5/100)*296*(44/28)*0.01*AK113*AK96/1000</f>
        <v>0.1479988103856259</v>
      </c>
      <c r="AL131" s="11">
        <f>(1-'CC70 - %'!AL$5/100)*296*(44/28)*0.01*AL113*AL96/1000</f>
        <v>0.15108522884137718</v>
      </c>
      <c r="AM131" s="11">
        <f>(1-'CC70 - %'!AM$5/100)*296*(44/28)*0.01*AM113*AM96/1000</f>
        <v>0.15427861372967125</v>
      </c>
      <c r="AN131" s="11">
        <f>(1-'CC70 - %'!AN$5/100)*296*(44/28)*0.01*AN113*AN96/1000</f>
        <v>0.15755306973966124</v>
      </c>
      <c r="AO131" s="11">
        <f>(1-'CC70 - %'!AO$5/100)*296*(44/28)*0.01*AO113*AO96/1000</f>
        <v>0.1609238028855513</v>
      </c>
      <c r="AP131" s="11">
        <f>(1-'CC70 - %'!AP$5/100)*296*(44/28)*0.01*AP113*AP96/1000</f>
        <v>0.16437685910242009</v>
      </c>
      <c r="AQ131" s="11">
        <f>(1-'CC70 - %'!AQ$5/100)*296*(44/28)*0.01*AQ113*AQ96/1000</f>
        <v>0.16790787103384022</v>
      </c>
      <c r="AR131" s="11">
        <f>(1-'CC70 - %'!AR$5/100)*296*(44/28)*0.01*AR113*AR96/1000</f>
        <v>0.17155213652689141</v>
      </c>
      <c r="AS131" s="11">
        <f>(1-'CC70 - %'!AS$5/100)*296*(44/28)*0.01*AS113*AS96/1000</f>
        <v>0.17525764928141579</v>
      </c>
      <c r="AT131" s="11">
        <f>(1-'CC70 - %'!AT$5/100)*296*(44/28)*0.01*AT113*AT96/1000</f>
        <v>0.17904618752723012</v>
      </c>
      <c r="AU131" s="11">
        <f>(1-'CC70 - %'!AU$5/100)*296*(44/28)*0.01*AU113*AU96/1000</f>
        <v>0.18286432223544491</v>
      </c>
      <c r="AV131" s="11">
        <f>(1-'CC70 - %'!AV$5/100)*296*(44/28)*0.01*AV113*AV96/1000</f>
        <v>0.1867480941988176</v>
      </c>
      <c r="AW131" s="11">
        <f>(1-'CC70 - %'!AW$5/100)*296*(44/28)*0.01*AW113*AW96/1000</f>
        <v>0.19069988070268218</v>
      </c>
      <c r="AX131" s="11">
        <f>(1-'CC70 - %'!AX$5/100)*296*(44/28)*0.01*AX113*AX96/1000</f>
        <v>0.19471065022527947</v>
      </c>
      <c r="AY131" s="11">
        <f>(1-'CC70 - %'!AY$5/100)*296*(44/28)*0.01*AY113*AY96/1000</f>
        <v>0.19878252647336275</v>
      </c>
      <c r="AZ131" s="11">
        <f>(1-'CC70 - %'!AZ$5/100)*296*(44/28)*0.01*AZ113*AZ96/1000</f>
        <v>0.20295254485782874</v>
      </c>
      <c r="BA131" s="11">
        <f>(1-'CC70 - %'!BA$5/100)*296*(44/28)*0.01*BA113*BA96/1000</f>
        <v>0.20721935117782966</v>
      </c>
      <c r="BB131" s="11">
        <f>(1-'CC70 - %'!BB$5/100)*296*(44/28)*0.01*BB113*BB96/1000</f>
        <v>0.21158272578082846</v>
      </c>
      <c r="BC131" s="11"/>
    </row>
    <row r="132" spans="1:56" ht="14.4" x14ac:dyDescent="0.3">
      <c r="A132" s="28"/>
      <c r="B132" s="364"/>
      <c r="C132" s="9" t="s">
        <v>275</v>
      </c>
      <c r="E132" s="364"/>
      <c r="F132" s="382"/>
      <c r="G132" s="11">
        <f>(1-'CC70 - %'!G$5/100)*296*(44/28)*0.01*G114*G97/1000</f>
        <v>9.3153357946928222E-2</v>
      </c>
      <c r="H132" s="11">
        <f>(1-'CC70 - %'!H$5/100)*296*(44/28)*0.01*H114*H97/1000</f>
        <v>0.10084219267222766</v>
      </c>
      <c r="I132" s="11">
        <f>(1-'CC70 - %'!I$5/100)*296*(44/28)*0.01*I114*I97/1000</f>
        <v>0.10231102020073582</v>
      </c>
      <c r="J132" s="11">
        <f>(1-'CC70 - %'!J$5/100)*296*(44/28)*0.01*J114*J97/1000</f>
        <v>0.10938851039155978</v>
      </c>
      <c r="K132" s="11">
        <f>(1-'CC70 - %'!K$5/100)*296*(44/28)*0.01*K114*K97/1000</f>
        <v>0.11372044472535536</v>
      </c>
      <c r="L132" s="11">
        <f>(1-'CC70 - %'!L$5/100)*296*(44/28)*0.01*L114*L97/1000</f>
        <v>0.11782112329147393</v>
      </c>
      <c r="M132" s="11">
        <f>(1-'CC70 - %'!M$5/100)*296*(44/28)*0.01*M114*M97/1000</f>
        <v>0.12058354694210964</v>
      </c>
      <c r="N132" s="11">
        <f>(1-'CC70 - %'!N$5/100)*296*(44/28)*0.01*N114*N97/1000</f>
        <v>0.12402778276930196</v>
      </c>
      <c r="O132" s="11">
        <f>(1-'CC70 - %'!O$5/100)*296*(44/28)*0.01*O114*O97/1000</f>
        <v>0.12364998910791156</v>
      </c>
      <c r="P132" s="11">
        <f>(1-'CC70 - %'!P$5/100)*296*(44/28)*0.01*P114*P97/1000</f>
        <v>0.12620660833610275</v>
      </c>
      <c r="Q132" s="11">
        <f>(1-'CC70 - %'!Q$5/100)*296*(44/28)*0.01*Q114*Q97/1000</f>
        <v>0.1297138185064691</v>
      </c>
      <c r="R132" s="11">
        <f>(1-'CC70 - %'!R$5/100)*296*(44/28)*0.01*R114*R97/1000</f>
        <v>0.13179852601430014</v>
      </c>
      <c r="S132" s="11">
        <f>(1-'CC70 - %'!S$5/100)*296*(44/28)*0.01*S114*S97/1000</f>
        <v>0.13383833058593095</v>
      </c>
      <c r="T132" s="11">
        <f>(1-'CC70 - %'!T$5/100)*296*(44/28)*0.01*T114*T97/1000</f>
        <v>0.13612308704107964</v>
      </c>
      <c r="U132" s="11">
        <f>(1-'CC70 - %'!U$5/100)*296*(44/28)*0.01*U114*U97/1000</f>
        <v>0.13792140266381234</v>
      </c>
      <c r="V132" s="11">
        <f>(1-'CC70 - %'!V$5/100)*296*(44/28)*0.01*V114*V97/1000</f>
        <v>0.13973892819389544</v>
      </c>
      <c r="W132" s="11">
        <f>(1-'CC70 - %'!W$5/100)*296*(44/28)*0.01*W114*W97/1000</f>
        <v>0.14265028847468827</v>
      </c>
      <c r="X132" s="11">
        <f>(1-'CC70 - %'!X$5/100)*296*(44/28)*0.01*X114*X97/1000</f>
        <v>0.1452464853401598</v>
      </c>
      <c r="Y132" s="11">
        <f>(1-'CC70 - %'!Y$5/100)*296*(44/28)*0.01*Y114*Y97/1000</f>
        <v>0.14801107576045319</v>
      </c>
      <c r="Z132" s="11">
        <f>(1-'CC70 - %'!Z$5/100)*296*(44/28)*0.01*Z114*Z97/1000</f>
        <v>0.15082770185415154</v>
      </c>
      <c r="AA132" s="11">
        <f>(1-'CC70 - %'!AA$5/100)*296*(44/28)*0.01*AA114*AA97/1000</f>
        <v>0.15293882843493492</v>
      </c>
      <c r="AB132" s="11">
        <f>(1-'CC70 - %'!AB$5/100)*296*(44/28)*0.01*AB114*AB97/1000</f>
        <v>0.15605427267757466</v>
      </c>
      <c r="AC132" s="11">
        <f>(1-'CC70 - %'!AC$5/100)*296*(44/28)*0.01*AC114*AC97/1000</f>
        <v>0.1587318615804903</v>
      </c>
      <c r="AD132" s="11">
        <f>(1-'CC70 - %'!AD$5/100)*296*(44/28)*0.01*AD114*AD97/1000</f>
        <v>0.16244755824502538</v>
      </c>
      <c r="AE132" s="11">
        <f>(1-'CC70 - %'!AE$5/100)*296*(44/28)*0.01*AE114*AE97/1000</f>
        <v>0.16538134595879111</v>
      </c>
      <c r="AF132" s="11">
        <f>(1-'CC70 - %'!AF$5/100)*296*(44/28)*0.01*AF114*AF97/1000</f>
        <v>0.16823136917060094</v>
      </c>
      <c r="AG132" s="11">
        <f>(1-'CC70 - %'!AG$5/100)*296*(44/28)*0.01*AG114*AG97/1000</f>
        <v>0.17121173206042875</v>
      </c>
      <c r="AH132" s="11">
        <f>(1-'CC70 - %'!AH$5/100)*296*(44/28)*0.01*AH114*AH97/1000</f>
        <v>0.17596883124626073</v>
      </c>
      <c r="AI132" s="11">
        <f>(1-'CC70 - %'!AI$5/100)*296*(44/28)*0.01*AI114*AI97/1000</f>
        <v>0.18039967518152686</v>
      </c>
      <c r="AJ132" s="11">
        <f>(1-'CC70 - %'!AJ$5/100)*296*(44/28)*0.01*AJ114*AJ97/1000</f>
        <v>0.18487442987266242</v>
      </c>
      <c r="AK132" s="11">
        <f>(1-'CC70 - %'!AK$5/100)*296*(44/28)*0.01*AK114*AK97/1000</f>
        <v>0.18946545116015309</v>
      </c>
      <c r="AL132" s="11">
        <f>(1-'CC70 - %'!AL$5/100)*296*(44/28)*0.01*AL114*AL97/1000</f>
        <v>0.19421994400068981</v>
      </c>
      <c r="AM132" s="11">
        <f>(1-'CC70 - %'!AM$5/100)*296*(44/28)*0.01*AM114*AM97/1000</f>
        <v>0.19910778503161805</v>
      </c>
      <c r="AN132" s="11">
        <f>(1-'CC70 - %'!AN$5/100)*296*(44/28)*0.01*AN114*AN97/1000</f>
        <v>0.2041161890693475</v>
      </c>
      <c r="AO132" s="11">
        <f>(1-'CC70 - %'!AO$5/100)*296*(44/28)*0.01*AO114*AO97/1000</f>
        <v>0.20920298857474187</v>
      </c>
      <c r="AP132" s="11">
        <f>(1-'CC70 - %'!AP$5/100)*296*(44/28)*0.01*AP114*AP97/1000</f>
        <v>0.2143914145720324</v>
      </c>
      <c r="AQ132" s="11">
        <f>(1-'CC70 - %'!AQ$5/100)*296*(44/28)*0.01*AQ114*AQ97/1000</f>
        <v>0.21967322531091477</v>
      </c>
      <c r="AR132" s="11">
        <f>(1-'CC70 - %'!AR$5/100)*296*(44/28)*0.01*AR114*AR97/1000</f>
        <v>0.22508715529749249</v>
      </c>
      <c r="AS132" s="11">
        <f>(1-'CC70 - %'!AS$5/100)*296*(44/28)*0.01*AS114*AS97/1000</f>
        <v>0.23055783333790264</v>
      </c>
      <c r="AT132" s="11">
        <f>(1-'CC70 - %'!AT$5/100)*296*(44/28)*0.01*AT114*AT97/1000</f>
        <v>0.236115210170256</v>
      </c>
      <c r="AU132" s="11">
        <f>(1-'CC70 - %'!AU$5/100)*296*(44/28)*0.01*AU114*AU97/1000</f>
        <v>0.24168796755547586</v>
      </c>
      <c r="AV132" s="11">
        <f>(1-'CC70 - %'!AV$5/100)*296*(44/28)*0.01*AV114*AV97/1000</f>
        <v>0.24732126207866037</v>
      </c>
      <c r="AW132" s="11">
        <f>(1-'CC70 - %'!AW$5/100)*296*(44/28)*0.01*AW114*AW97/1000</f>
        <v>0.25301235058778138</v>
      </c>
      <c r="AX132" s="11">
        <f>(1-'CC70 - %'!AX$5/100)*296*(44/28)*0.01*AX114*AX97/1000</f>
        <v>0.25874609671840909</v>
      </c>
      <c r="AY132" s="11">
        <f>(1-'CC70 - %'!AY$5/100)*296*(44/28)*0.01*AY114*AY97/1000</f>
        <v>0.26452077534109425</v>
      </c>
      <c r="AZ132" s="11">
        <f>(1-'CC70 - %'!AZ$5/100)*296*(44/28)*0.01*AZ114*AZ97/1000</f>
        <v>0.27038507999361316</v>
      </c>
      <c r="BA132" s="11">
        <f>(1-'CC70 - %'!BA$5/100)*296*(44/28)*0.01*BA114*BA97/1000</f>
        <v>0.27633363702026659</v>
      </c>
      <c r="BB132" s="11">
        <f>(1-'CC70 - %'!BB$5/100)*296*(44/28)*0.01*BB114*BB97/1000</f>
        <v>0.28236236093307193</v>
      </c>
      <c r="BC132" s="11"/>
    </row>
    <row r="133" spans="1:56" ht="14.4" x14ac:dyDescent="0.3">
      <c r="A133" s="28"/>
      <c r="B133" s="364"/>
      <c r="C133" s="9" t="s">
        <v>276</v>
      </c>
      <c r="E133" s="364"/>
      <c r="F133" s="382"/>
      <c r="G133" s="11">
        <f>(1-'CC70 - %'!G$5/100)*296*(44/28)*0.01*G115*G98/1000</f>
        <v>0.41413469037467937</v>
      </c>
      <c r="H133" s="11">
        <f>(1-'CC70 - %'!H$5/100)*296*(44/28)*0.01*H115*H98/1000</f>
        <v>0.44839884951211562</v>
      </c>
      <c r="I133" s="11">
        <f>(1-'CC70 - %'!I$5/100)*296*(44/28)*0.01*I115*I98/1000</f>
        <v>0.45494940905092068</v>
      </c>
      <c r="J133" s="11">
        <f>(1-'CC70 - %'!J$5/100)*296*(44/28)*0.01*J115*J98/1000</f>
        <v>0.48660369246666657</v>
      </c>
      <c r="K133" s="11">
        <f>(1-'CC70 - %'!K$5/100)*296*(44/28)*0.01*K115*K98/1000</f>
        <v>0.50601234572178799</v>
      </c>
      <c r="L133" s="11">
        <f>(1-'CC70 - %'!L$5/100)*296*(44/28)*0.01*L115*L98/1000</f>
        <v>0.52443409405745722</v>
      </c>
      <c r="M133" s="11">
        <f>(1-'CC70 - %'!M$5/100)*296*(44/28)*0.01*M115*M98/1000</f>
        <v>0.53692193670638166</v>
      </c>
      <c r="N133" s="11">
        <f>(1-'CC70 - %'!N$5/100)*296*(44/28)*0.01*N115*N98/1000</f>
        <v>0.55250617681351244</v>
      </c>
      <c r="O133" s="11">
        <f>(1-'CC70 - %'!O$5/100)*296*(44/28)*0.01*O115*O98/1000</f>
        <v>0.55079705545151891</v>
      </c>
      <c r="P133" s="11">
        <f>(1-'CC70 - %'!P$5/100)*296*(44/28)*0.01*P115*P98/1000</f>
        <v>0.56241491989487358</v>
      </c>
      <c r="Q133" s="11">
        <f>(1-'CC70 - %'!Q$5/100)*296*(44/28)*0.01*Q115*Q98/1000</f>
        <v>0.57833870307650315</v>
      </c>
      <c r="R133" s="11">
        <f>(1-'CC70 - %'!R$5/100)*296*(44/28)*0.01*R115*R98/1000</f>
        <v>0.58789827578616216</v>
      </c>
      <c r="S133" s="11">
        <f>(1-'CC70 - %'!S$5/100)*296*(44/28)*0.01*S115*S98/1000</f>
        <v>0.59727729914512806</v>
      </c>
      <c r="T133" s="11">
        <f>(1-'CC70 - %'!T$5/100)*296*(44/28)*0.01*T115*T98/1000</f>
        <v>0.60777097520470202</v>
      </c>
      <c r="U133" s="11">
        <f>(1-'CC70 - %'!U$5/100)*296*(44/28)*0.01*U115*U98/1000</f>
        <v>0.61609280777815534</v>
      </c>
      <c r="V133" s="11">
        <f>(1-'CC70 - %'!V$5/100)*296*(44/28)*0.01*V115*V98/1000</f>
        <v>0.62450032829702185</v>
      </c>
      <c r="W133" s="11">
        <f>(1-'CC70 - %'!W$5/100)*296*(44/28)*0.01*W115*W98/1000</f>
        <v>0.63789631011803172</v>
      </c>
      <c r="X133" s="11">
        <f>(1-'CC70 - %'!X$5/100)*296*(44/28)*0.01*X115*X98/1000</f>
        <v>0.64990075137904357</v>
      </c>
      <c r="Y133" s="11">
        <f>(1-'CC70 - %'!Y$5/100)*296*(44/28)*0.01*Y115*Y98/1000</f>
        <v>0.66267996979635768</v>
      </c>
      <c r="Z133" s="11">
        <f>(1-'CC70 - %'!Z$5/100)*296*(44/28)*0.01*Z115*Z98/1000</f>
        <v>0.67571930057280827</v>
      </c>
      <c r="AA133" s="11">
        <f>(1-'CC70 - %'!AA$5/100)*296*(44/28)*0.01*AA115*AA98/1000</f>
        <v>0.68559586364140201</v>
      </c>
      <c r="AB133" s="11">
        <f>(1-'CC70 - %'!AB$5/100)*296*(44/28)*0.01*AB115*AB98/1000</f>
        <v>0.70003624203163062</v>
      </c>
      <c r="AC133" s="11">
        <f>(1-'CC70 - %'!AC$5/100)*296*(44/28)*0.01*AC115*AC98/1000</f>
        <v>0.71252777681659751</v>
      </c>
      <c r="AD133" s="11">
        <f>(1-'CC70 - %'!AD$5/100)*296*(44/28)*0.01*AD115*AD98/1000</f>
        <v>0.72976258814458406</v>
      </c>
      <c r="AE133" s="11">
        <f>(1-'CC70 - %'!AE$5/100)*296*(44/28)*0.01*AE115*AE98/1000</f>
        <v>0.74348772269223862</v>
      </c>
      <c r="AF133" s="11">
        <f>(1-'CC70 - %'!AF$5/100)*296*(44/28)*0.01*AF115*AF98/1000</f>
        <v>0.75686687227825111</v>
      </c>
      <c r="AG133" s="11">
        <f>(1-'CC70 - %'!AG$5/100)*296*(44/28)*0.01*AG115*AG98/1000</f>
        <v>0.77087419923309741</v>
      </c>
      <c r="AH133" s="11">
        <f>(1-'CC70 - %'!AH$5/100)*296*(44/28)*0.01*AH115*AH98/1000</f>
        <v>0.79292697784632959</v>
      </c>
      <c r="AI133" s="11">
        <f>(1-'CC70 - %'!AI$5/100)*296*(44/28)*0.01*AI115*AI98/1000</f>
        <v>0.81358834984221251</v>
      </c>
      <c r="AJ133" s="11">
        <f>(1-'CC70 - %'!AJ$5/100)*296*(44/28)*0.01*AJ115*AJ98/1000</f>
        <v>0.83448165209794301</v>
      </c>
      <c r="AK133" s="11">
        <f>(1-'CC70 - %'!AK$5/100)*296*(44/28)*0.01*AK115*AK98/1000</f>
        <v>0.85595464466048021</v>
      </c>
      <c r="AL133" s="11">
        <f>(1-'CC70 - %'!AL$5/100)*296*(44/28)*0.01*AL115*AL98/1000</f>
        <v>0.87822878379181768</v>
      </c>
      <c r="AM133" s="11">
        <f>(1-'CC70 - %'!AM$5/100)*296*(44/28)*0.01*AM115*AM98/1000</f>
        <v>0.90116716051361234</v>
      </c>
      <c r="AN133" s="11">
        <f>(1-'CC70 - %'!AN$5/100)*296*(44/28)*0.01*AN115*AN98/1000</f>
        <v>0.92472088454524826</v>
      </c>
      <c r="AO133" s="11">
        <f>(1-'CC70 - %'!AO$5/100)*296*(44/28)*0.01*AO115*AO98/1000</f>
        <v>0.9486863139490832</v>
      </c>
      <c r="AP133" s="11">
        <f>(1-'CC70 - %'!AP$5/100)*296*(44/28)*0.01*AP115*AP98/1000</f>
        <v>0.97318262983890591</v>
      </c>
      <c r="AQ133" s="11">
        <f>(1-'CC70 - %'!AQ$5/100)*296*(44/28)*0.01*AQ115*AQ98/1000</f>
        <v>0.9981754889485247</v>
      </c>
      <c r="AR133" s="11">
        <f>(1-'CC70 - %'!AR$5/100)*296*(44/28)*0.01*AR115*AR98/1000</f>
        <v>1.0238426828023903</v>
      </c>
      <c r="AS133" s="11">
        <f>(1-'CC70 - %'!AS$5/100)*296*(44/28)*0.01*AS115*AS98/1000</f>
        <v>1.0498431623265905</v>
      </c>
      <c r="AT133" s="11">
        <f>(1-'CC70 - %'!AT$5/100)*296*(44/28)*0.01*AT115*AT98/1000</f>
        <v>1.0763172073176364</v>
      </c>
      <c r="AU133" s="11">
        <f>(1-'CC70 - %'!AU$5/100)*296*(44/28)*0.01*AU115*AU98/1000</f>
        <v>1.1029430983963431</v>
      </c>
      <c r="AV133" s="11">
        <f>(1-'CC70 - %'!AV$5/100)*296*(44/28)*0.01*AV115*AV98/1000</f>
        <v>1.1299294779431102</v>
      </c>
      <c r="AW133" s="11">
        <f>(1-'CC70 - %'!AW$5/100)*296*(44/28)*0.01*AW115*AW98/1000</f>
        <v>1.1572656710333211</v>
      </c>
      <c r="AX133" s="11">
        <f>(1-'CC70 - %'!AX$5/100)*296*(44/28)*0.01*AX115*AX98/1000</f>
        <v>1.1848851415332284</v>
      </c>
      <c r="AY133" s="11">
        <f>(1-'CC70 - %'!AY$5/100)*296*(44/28)*0.01*AY115*AY98/1000</f>
        <v>1.2127820915139471</v>
      </c>
      <c r="AZ133" s="11">
        <f>(1-'CC70 - %'!AZ$5/100)*296*(44/28)*0.01*AZ115*AZ98/1000</f>
        <v>1.241183614088998</v>
      </c>
      <c r="BA133" s="11">
        <f>(1-'CC70 - %'!BA$5/100)*296*(44/28)*0.01*BA115*BA98/1000</f>
        <v>1.2700684098912516</v>
      </c>
      <c r="BB133" s="11">
        <f>(1-'CC70 - %'!BB$5/100)*296*(44/28)*0.01*BB115*BB98/1000</f>
        <v>1.2994210121281313</v>
      </c>
      <c r="BC133" s="11"/>
    </row>
    <row r="134" spans="1:56" ht="14.4" x14ac:dyDescent="0.3">
      <c r="A134" s="28"/>
      <c r="B134" s="364"/>
      <c r="C134" s="9" t="s">
        <v>277</v>
      </c>
      <c r="E134" s="364"/>
      <c r="F134" s="382"/>
      <c r="G134" s="11">
        <f>(1-'CC70 - %'!G$5/100)*296*(44/28)*0.01*G116*G99/1000</f>
        <v>6.088555411942688E-2</v>
      </c>
      <c r="H134" s="11">
        <f>(1-'CC70 - %'!H$5/100)*296*(44/28)*0.01*H116*H99/1000</f>
        <v>6.5997865892665625E-2</v>
      </c>
      <c r="I134" s="11">
        <f>(1-'CC70 - %'!I$5/100)*296*(44/28)*0.01*I116*I99/1000</f>
        <v>6.701342623027208E-2</v>
      </c>
      <c r="J134" s="11">
        <f>(1-'CC70 - %'!J$5/100)*296*(44/28)*0.01*J116*J99/1000</f>
        <v>7.1784187683827869E-2</v>
      </c>
      <c r="K134" s="11">
        <f>(1-'CC70 - %'!K$5/100)*296*(44/28)*0.01*K116*K99/1000</f>
        <v>7.4739213656526901E-2</v>
      </c>
      <c r="L134" s="11">
        <f>(1-'CC70 - %'!L$5/100)*296*(44/28)*0.01*L116*L99/1000</f>
        <v>7.75633347229049E-2</v>
      </c>
      <c r="M134" s="11">
        <f>(1-'CC70 - %'!M$5/100)*296*(44/28)*0.01*M116*M99/1000</f>
        <v>7.9517245300481307E-2</v>
      </c>
      <c r="N134" s="11">
        <f>(1-'CC70 - %'!N$5/100)*296*(44/28)*0.01*N116*N99/1000</f>
        <v>8.1949552704435949E-2</v>
      </c>
      <c r="O134" s="11">
        <f>(1-'CC70 - %'!O$5/100)*296*(44/28)*0.01*O116*O99/1000</f>
        <v>8.1723867519197496E-2</v>
      </c>
      <c r="P134" s="11">
        <f>(1-'CC70 - %'!P$5/100)*296*(44/28)*0.01*P116*P99/1000</f>
        <v>8.356046271679532E-2</v>
      </c>
      <c r="Q134" s="11">
        <f>(1-'CC70 - %'!Q$5/100)*296*(44/28)*0.01*Q116*Q99/1000</f>
        <v>8.6059199979385548E-2</v>
      </c>
      <c r="R134" s="11">
        <f>(1-'CC70 - %'!R$5/100)*296*(44/28)*0.01*R116*R99/1000</f>
        <v>8.760193738298909E-2</v>
      </c>
      <c r="S134" s="11">
        <f>(1-'CC70 - %'!S$5/100)*296*(44/28)*0.01*S116*S99/1000</f>
        <v>8.9122438023226364E-2</v>
      </c>
      <c r="T134" s="11">
        <f>(1-'CC70 - %'!T$5/100)*296*(44/28)*0.01*T116*T99/1000</f>
        <v>9.0814455188428275E-2</v>
      </c>
      <c r="U134" s="11">
        <f>(1-'CC70 - %'!U$5/100)*296*(44/28)*0.01*U116*U99/1000</f>
        <v>9.2179784412202773E-2</v>
      </c>
      <c r="V134" s="11">
        <f>(1-'CC70 - %'!V$5/100)*296*(44/28)*0.01*V116*V99/1000</f>
        <v>9.3555571575289181E-2</v>
      </c>
      <c r="W134" s="11">
        <f>(1-'CC70 - %'!W$5/100)*296*(44/28)*0.01*W116*W99/1000</f>
        <v>9.5709915123246739E-2</v>
      </c>
      <c r="X134" s="11">
        <f>(1-'CC70 - %'!X$5/100)*296*(44/28)*0.01*X116*X99/1000</f>
        <v>9.7659099977978628E-2</v>
      </c>
      <c r="Y134" s="11">
        <f>(1-'CC70 - %'!Y$5/100)*296*(44/28)*0.01*Y116*Y99/1000</f>
        <v>9.9729362868606286E-2</v>
      </c>
      <c r="Z134" s="11">
        <f>(1-'CC70 - %'!Z$5/100)*296*(44/28)*0.01*Z116*Z99/1000</f>
        <v>0.10184525358952294</v>
      </c>
      <c r="AA134" s="11">
        <f>(1-'CC70 - %'!AA$5/100)*296*(44/28)*0.01*AA116*AA99/1000</f>
        <v>0.10348107119914494</v>
      </c>
      <c r="AB134" s="11">
        <f>(1-'CC70 - %'!AB$5/100)*296*(44/28)*0.01*AB116*AB99/1000</f>
        <v>0.10582336846671264</v>
      </c>
      <c r="AC134" s="11">
        <f>(1-'CC70 - %'!AC$5/100)*296*(44/28)*0.01*AC116*AC99/1000</f>
        <v>0.10787324017423935</v>
      </c>
      <c r="AD134" s="11">
        <f>(1-'CC70 - %'!AD$5/100)*296*(44/28)*0.01*AD116*AD99/1000</f>
        <v>0.11066568229990584</v>
      </c>
      <c r="AE134" s="11">
        <f>(1-'CC70 - %'!AE$5/100)*296*(44/28)*0.01*AE116*AE99/1000</f>
        <v>0.11292368445197663</v>
      </c>
      <c r="AF134" s="11">
        <f>(1-'CC70 - %'!AF$5/100)*296*(44/28)*0.01*AF116*AF99/1000</f>
        <v>0.11513591854233714</v>
      </c>
      <c r="AG134" s="11">
        <f>(1-'CC70 - %'!AG$5/100)*296*(44/28)*0.01*AG116*AG99/1000</f>
        <v>0.11745402048959507</v>
      </c>
      <c r="AH134" s="11">
        <f>(1-'CC70 - %'!AH$5/100)*296*(44/28)*0.01*AH116*AH99/1000</f>
        <v>0.12100929666485659</v>
      </c>
      <c r="AI134" s="11">
        <f>(1-'CC70 - %'!AI$5/100)*296*(44/28)*0.01*AI116*AI99/1000</f>
        <v>0.12437399432836332</v>
      </c>
      <c r="AJ134" s="11">
        <f>(1-'CC70 - %'!AJ$5/100)*296*(44/28)*0.01*AJ116*AJ99/1000</f>
        <v>0.12778109011108826</v>
      </c>
      <c r="AK134" s="11">
        <f>(1-'CC70 - %'!AK$5/100)*296*(44/28)*0.01*AK116*AK99/1000</f>
        <v>0.13129049041854107</v>
      </c>
      <c r="AL134" s="11">
        <f>(1-'CC70 - %'!AL$5/100)*296*(44/28)*0.01*AL116*AL99/1000</f>
        <v>0.13493855364015042</v>
      </c>
      <c r="AM134" s="11">
        <f>(1-'CC70 - %'!AM$5/100)*296*(44/28)*0.01*AM116*AM99/1000</f>
        <v>0.13870373068530747</v>
      </c>
      <c r="AN134" s="11">
        <f>(1-'CC70 - %'!AN$5/100)*296*(44/28)*0.01*AN116*AN99/1000</f>
        <v>0.14258110485594122</v>
      </c>
      <c r="AO134" s="11">
        <f>(1-'CC70 - %'!AO$5/100)*296*(44/28)*0.01*AO116*AO99/1000</f>
        <v>0.14653493384323016</v>
      </c>
      <c r="AP134" s="11">
        <f>(1-'CC70 - %'!AP$5/100)*296*(44/28)*0.01*AP116*AP99/1000</f>
        <v>0.15058779890907772</v>
      </c>
      <c r="AQ134" s="11">
        <f>(1-'CC70 - %'!AQ$5/100)*296*(44/28)*0.01*AQ116*AQ99/1000</f>
        <v>0.15473507504570247</v>
      </c>
      <c r="AR134" s="11">
        <f>(1-'CC70 - %'!AR$5/100)*296*(44/28)*0.01*AR116*AR99/1000</f>
        <v>0.15900458862261446</v>
      </c>
      <c r="AS134" s="11">
        <f>(1-'CC70 - %'!AS$5/100)*296*(44/28)*0.01*AS116*AS99/1000</f>
        <v>0.16334363395091137</v>
      </c>
      <c r="AT134" s="11">
        <f>(1-'CC70 - %'!AT$5/100)*296*(44/28)*0.01*AT116*AT99/1000</f>
        <v>0.16777499088568851</v>
      </c>
      <c r="AU134" s="11">
        <f>(1-'CC70 - %'!AU$5/100)*296*(44/28)*0.01*AU116*AU99/1000</f>
        <v>0.17224929551565876</v>
      </c>
      <c r="AV134" s="11">
        <f>(1-'CC70 - %'!AV$5/100)*296*(44/28)*0.01*AV116*AV99/1000</f>
        <v>0.17679968073829161</v>
      </c>
      <c r="AW134" s="11">
        <f>(1-'CC70 - %'!AW$5/100)*296*(44/28)*0.01*AW116*AW99/1000</f>
        <v>0.18142477262652271</v>
      </c>
      <c r="AX134" s="11">
        <f>(1-'CC70 - %'!AX$5/100)*296*(44/28)*0.01*AX116*AX99/1000</f>
        <v>0.18611470470359295</v>
      </c>
      <c r="AY134" s="11">
        <f>(1-'CC70 - %'!AY$5/100)*296*(44/28)*0.01*AY116*AY99/1000</f>
        <v>0.19086894965617762</v>
      </c>
      <c r="AZ134" s="11">
        <f>(1-'CC70 - %'!AZ$5/100)*296*(44/28)*0.01*AZ116*AZ99/1000</f>
        <v>0.19572416004390086</v>
      </c>
      <c r="BA134" s="11">
        <f>(1-'CC70 - %'!BA$5/100)*296*(44/28)*0.01*BA116*BA99/1000</f>
        <v>0.2006777038855494</v>
      </c>
      <c r="BB134" s="11">
        <f>(1-'CC70 - %'!BB$5/100)*296*(44/28)*0.01*BB116*BB99/1000</f>
        <v>0.2057278442460608</v>
      </c>
      <c r="BC134" s="11"/>
    </row>
    <row r="135" spans="1:56" ht="14.4" x14ac:dyDescent="0.3">
      <c r="A135" s="28"/>
      <c r="B135" s="364"/>
      <c r="C135" s="9" t="s">
        <v>278</v>
      </c>
      <c r="E135" s="364"/>
      <c r="F135" s="382"/>
      <c r="G135" s="11">
        <f>(1-'CC70 - %'!G$5/100)*296*(44/28)*0.01*G117*G100/1000</f>
        <v>0</v>
      </c>
      <c r="H135" s="11">
        <f>(1-'CC70 - %'!H$5/100)*296*(44/28)*0.01*H117*H100/1000</f>
        <v>0</v>
      </c>
      <c r="I135" s="11">
        <f>(1-'CC70 - %'!I$5/100)*296*(44/28)*0.01*I117*I100/1000</f>
        <v>0</v>
      </c>
      <c r="J135" s="11">
        <f>(1-'CC70 - %'!J$5/100)*296*(44/28)*0.01*J117*J100/1000</f>
        <v>0</v>
      </c>
      <c r="K135" s="11">
        <f>(1-'CC70 - %'!K$5/100)*296*(44/28)*0.01*K117*K100/1000</f>
        <v>0</v>
      </c>
      <c r="L135" s="11">
        <f>(1-'CC70 - %'!L$5/100)*296*(44/28)*0.01*L117*L100/1000</f>
        <v>0</v>
      </c>
      <c r="M135" s="11">
        <f>(1-'CC70 - %'!M$5/100)*296*(44/28)*0.01*M117*M100/1000</f>
        <v>0</v>
      </c>
      <c r="N135" s="11">
        <f>(1-'CC70 - %'!N$5/100)*296*(44/28)*0.01*N117*N100/1000</f>
        <v>0</v>
      </c>
      <c r="O135" s="11">
        <f>(1-'CC70 - %'!O$5/100)*296*(44/28)*0.01*O117*O100/1000</f>
        <v>0</v>
      </c>
      <c r="P135" s="11">
        <f>(1-'CC70 - %'!P$5/100)*296*(44/28)*0.01*P117*P100/1000</f>
        <v>0</v>
      </c>
      <c r="Q135" s="11">
        <f>(1-'CC70 - %'!Q$5/100)*296*(44/28)*0.01*Q117*Q100/1000</f>
        <v>0</v>
      </c>
      <c r="R135" s="11">
        <f>(1-'CC70 - %'!R$5/100)*296*(44/28)*0.01*R117*R100/1000</f>
        <v>0</v>
      </c>
      <c r="S135" s="11">
        <f>(1-'CC70 - %'!S$5/100)*296*(44/28)*0.01*S117*S100/1000</f>
        <v>0</v>
      </c>
      <c r="T135" s="11">
        <f>(1-'CC70 - %'!T$5/100)*296*(44/28)*0.01*T117*T100/1000</f>
        <v>0</v>
      </c>
      <c r="U135" s="11">
        <f>(1-'CC70 - %'!U$5/100)*296*(44/28)*0.01*U117*U100/1000</f>
        <v>0</v>
      </c>
      <c r="V135" s="11">
        <f>(1-'CC70 - %'!V$5/100)*296*(44/28)*0.01*V117*V100/1000</f>
        <v>0</v>
      </c>
      <c r="W135" s="11">
        <f>(1-'CC70 - %'!W$5/100)*296*(44/28)*0.01*W117*W100/1000</f>
        <v>0</v>
      </c>
      <c r="X135" s="11">
        <f>(1-'CC70 - %'!X$5/100)*296*(44/28)*0.01*X117*X100/1000</f>
        <v>0</v>
      </c>
      <c r="Y135" s="11">
        <f>(1-'CC70 - %'!Y$5/100)*296*(44/28)*0.01*Y117*Y100/1000</f>
        <v>0</v>
      </c>
      <c r="Z135" s="11">
        <f>(1-'CC70 - %'!Z$5/100)*296*(44/28)*0.01*Z117*Z100/1000</f>
        <v>0</v>
      </c>
      <c r="AA135" s="11">
        <f>(1-'CC70 - %'!AA$5/100)*296*(44/28)*0.01*AA117*AA100/1000</f>
        <v>0</v>
      </c>
      <c r="AB135" s="11">
        <f>(1-'CC70 - %'!AB$5/100)*296*(44/28)*0.01*AB117*AB100/1000</f>
        <v>0</v>
      </c>
      <c r="AC135" s="11">
        <f>(1-'CC70 - %'!AC$5/100)*296*(44/28)*0.01*AC117*AC100/1000</f>
        <v>0</v>
      </c>
      <c r="AD135" s="11">
        <f>(1-'CC70 - %'!AD$5/100)*296*(44/28)*0.01*AD117*AD100/1000</f>
        <v>0</v>
      </c>
      <c r="AE135" s="11">
        <f>(1-'CC70 - %'!AE$5/100)*296*(44/28)*0.01*AE117*AE100/1000</f>
        <v>0</v>
      </c>
      <c r="AF135" s="11">
        <f>(1-'CC70 - %'!AF$5/100)*296*(44/28)*0.01*AF117*AF100/1000</f>
        <v>0</v>
      </c>
      <c r="AG135" s="11">
        <f>(1-'CC70 - %'!AG$5/100)*296*(44/28)*0.01*AG117*AG100/1000</f>
        <v>0</v>
      </c>
      <c r="AH135" s="11">
        <f>(1-'CC70 - %'!AH$5/100)*296*(44/28)*0.01*AH117*AH100/1000</f>
        <v>0</v>
      </c>
      <c r="AI135" s="11">
        <f>(1-'CC70 - %'!AI$5/100)*296*(44/28)*0.01*AI117*AI100/1000</f>
        <v>0</v>
      </c>
      <c r="AJ135" s="11">
        <f>(1-'CC70 - %'!AJ$5/100)*296*(44/28)*0.01*AJ117*AJ100/1000</f>
        <v>0</v>
      </c>
      <c r="AK135" s="11">
        <f>(1-'CC70 - %'!AK$5/100)*296*(44/28)*0.01*AK117*AK100/1000</f>
        <v>0</v>
      </c>
      <c r="AL135" s="11">
        <f>(1-'CC70 - %'!AL$5/100)*296*(44/28)*0.01*AL117*AL100/1000</f>
        <v>0</v>
      </c>
      <c r="AM135" s="11">
        <f>(1-'CC70 - %'!AM$5/100)*296*(44/28)*0.01*AM117*AM100/1000</f>
        <v>0</v>
      </c>
      <c r="AN135" s="11">
        <f>(1-'CC70 - %'!AN$5/100)*296*(44/28)*0.01*AN117*AN100/1000</f>
        <v>0</v>
      </c>
      <c r="AO135" s="11">
        <f>(1-'CC70 - %'!AO$5/100)*296*(44/28)*0.01*AO117*AO100/1000</f>
        <v>0</v>
      </c>
      <c r="AP135" s="11">
        <f>(1-'CC70 - %'!AP$5/100)*296*(44/28)*0.01*AP117*AP100/1000</f>
        <v>0</v>
      </c>
      <c r="AQ135" s="11">
        <f>(1-'CC70 - %'!AQ$5/100)*296*(44/28)*0.01*AQ117*AQ100/1000</f>
        <v>0</v>
      </c>
      <c r="AR135" s="11">
        <f>(1-'CC70 - %'!AR$5/100)*296*(44/28)*0.01*AR117*AR100/1000</f>
        <v>0</v>
      </c>
      <c r="AS135" s="11">
        <f>(1-'CC70 - %'!AS$5/100)*296*(44/28)*0.01*AS117*AS100/1000</f>
        <v>0</v>
      </c>
      <c r="AT135" s="11">
        <f>(1-'CC70 - %'!AT$5/100)*296*(44/28)*0.01*AT117*AT100/1000</f>
        <v>0</v>
      </c>
      <c r="AU135" s="11">
        <f>(1-'CC70 - %'!AU$5/100)*296*(44/28)*0.01*AU117*AU100/1000</f>
        <v>0</v>
      </c>
      <c r="AV135" s="11">
        <f>(1-'CC70 - %'!AV$5/100)*296*(44/28)*0.01*AV117*AV100/1000</f>
        <v>0</v>
      </c>
      <c r="AW135" s="11">
        <f>(1-'CC70 - %'!AW$5/100)*296*(44/28)*0.01*AW117*AW100/1000</f>
        <v>0</v>
      </c>
      <c r="AX135" s="11">
        <f>(1-'CC70 - %'!AX$5/100)*296*(44/28)*0.01*AX117*AX100/1000</f>
        <v>0</v>
      </c>
      <c r="AY135" s="11">
        <f>(1-'CC70 - %'!AY$5/100)*296*(44/28)*0.01*AY117*AY100/1000</f>
        <v>0</v>
      </c>
      <c r="AZ135" s="11">
        <f>(1-'CC70 - %'!AZ$5/100)*296*(44/28)*0.01*AZ117*AZ100/1000</f>
        <v>0</v>
      </c>
      <c r="BA135" s="11">
        <f>(1-'CC70 - %'!BA$5/100)*296*(44/28)*0.01*BA117*BA100/1000</f>
        <v>0</v>
      </c>
      <c r="BB135" s="11">
        <f>(1-'CC70 - %'!BB$5/100)*296*(44/28)*0.01*BB117*BB100/1000</f>
        <v>0</v>
      </c>
      <c r="BC135" s="11"/>
    </row>
    <row r="136" spans="1:56" ht="14.4" x14ac:dyDescent="0.3">
      <c r="A136" s="28"/>
      <c r="B136" s="364"/>
      <c r="C136" s="9" t="s">
        <v>279</v>
      </c>
      <c r="E136" s="364"/>
      <c r="F136" s="382"/>
      <c r="G136" s="11">
        <f>(1-'CC70 - %'!G$5/100)*296*(44/28)*0.01*G118*G101/1000</f>
        <v>0.2592189753091777</v>
      </c>
      <c r="H136" s="11">
        <f>(1-'CC70 - %'!H$5/100)*296*(44/28)*0.01*H118*H101/1000</f>
        <v>0.27975785631632738</v>
      </c>
      <c r="I136" s="11">
        <f>(1-'CC70 - %'!I$5/100)*296*(44/28)*0.01*I118*I101/1000</f>
        <v>0.28300086227907045</v>
      </c>
      <c r="J136" s="11">
        <f>(1-'CC70 - %'!J$5/100)*296*(44/28)*0.01*J118*J101/1000</f>
        <v>0.30172740751586896</v>
      </c>
      <c r="K136" s="11">
        <f>(1-'CC70 - %'!K$5/100)*296*(44/28)*0.01*K118*K101/1000</f>
        <v>0.31283145297374576</v>
      </c>
      <c r="L136" s="11">
        <f>(1-'CC70 - %'!L$5/100)*296*(44/28)*0.01*L118*L101/1000</f>
        <v>0.32327621935196704</v>
      </c>
      <c r="M136" s="11">
        <f>(1-'CC70 - %'!M$5/100)*296*(44/28)*0.01*M118*M101/1000</f>
        <v>0.33003968932188565</v>
      </c>
      <c r="N136" s="11">
        <f>(1-'CC70 - %'!N$5/100)*296*(44/28)*0.01*N118*N101/1000</f>
        <v>0.33866652852368601</v>
      </c>
      <c r="O136" s="11">
        <f>(1-'CC70 - %'!O$5/100)*296*(44/28)*0.01*O118*O101/1000</f>
        <v>0.33687532866426784</v>
      </c>
      <c r="P136" s="11">
        <f>(1-'CC70 - %'!P$5/100)*296*(44/28)*0.01*P118*P101/1000</f>
        <v>0.34310305017341636</v>
      </c>
      <c r="Q136" s="11">
        <f>(1-'CC70 - %'!Q$5/100)*296*(44/28)*0.01*Q118*Q101/1000</f>
        <v>0.35191731069753496</v>
      </c>
      <c r="R136" s="11">
        <f>(1-'CC70 - %'!R$5/100)*296*(44/28)*0.01*R118*R101/1000</f>
        <v>0.35687854367173077</v>
      </c>
      <c r="S136" s="11">
        <f>(1-'CC70 - %'!S$5/100)*296*(44/28)*0.01*S118*S101/1000</f>
        <v>0.36173333968241267</v>
      </c>
      <c r="T136" s="11">
        <f>(1-'CC70 - %'!T$5/100)*296*(44/28)*0.01*T118*T101/1000</f>
        <v>0.3672651248211854</v>
      </c>
      <c r="U136" s="11">
        <f>(1-'CC70 - %'!U$5/100)*296*(44/28)*0.01*U118*U101/1000</f>
        <v>0.3715012648234074</v>
      </c>
      <c r="V136" s="11">
        <f>(1-'CC70 - %'!V$5/100)*296*(44/28)*0.01*V118*V101/1000</f>
        <v>0.37580865116350964</v>
      </c>
      <c r="W136" s="11">
        <f>(1-'CC70 - %'!W$5/100)*296*(44/28)*0.01*W118*W101/1000</f>
        <v>0.38307328803028584</v>
      </c>
      <c r="X136" s="11">
        <f>(1-'CC70 - %'!X$5/100)*296*(44/28)*0.01*X118*X101/1000</f>
        <v>0.38950501236405549</v>
      </c>
      <c r="Y136" s="11">
        <f>(1-'CC70 - %'!Y$5/100)*296*(44/28)*0.01*Y118*Y101/1000</f>
        <v>0.39640343337250711</v>
      </c>
      <c r="Z136" s="11">
        <f>(1-'CC70 - %'!Z$5/100)*296*(44/28)*0.01*Z118*Z101/1000</f>
        <v>0.4034566587555985</v>
      </c>
      <c r="AA136" s="11">
        <f>(1-'CC70 - %'!AA$5/100)*296*(44/28)*0.01*AA118*AA101/1000</f>
        <v>0.40864125210531255</v>
      </c>
      <c r="AB136" s="11">
        <f>(1-'CC70 - %'!AB$5/100)*296*(44/28)*0.01*AB118*AB101/1000</f>
        <v>0.41652791600913308</v>
      </c>
      <c r="AC136" s="11">
        <f>(1-'CC70 - %'!AC$5/100)*296*(44/28)*0.01*AC118*AC101/1000</f>
        <v>0.42326390227968086</v>
      </c>
      <c r="AD136" s="11">
        <f>(1-'CC70 - %'!AD$5/100)*296*(44/28)*0.01*AD118*AD101/1000</f>
        <v>0.4327857183369892</v>
      </c>
      <c r="AE136" s="11">
        <f>(1-'CC70 - %'!AE$5/100)*296*(44/28)*0.01*AE118*AE101/1000</f>
        <v>0.44024275430346649</v>
      </c>
      <c r="AF136" s="11">
        <f>(1-'CC70 - %'!AF$5/100)*296*(44/28)*0.01*AF118*AF101/1000</f>
        <v>0.44749823109735176</v>
      </c>
      <c r="AG136" s="11">
        <f>(1-'CC70 - %'!AG$5/100)*296*(44/28)*0.01*AG118*AG101/1000</f>
        <v>0.45512277507898985</v>
      </c>
      <c r="AH136" s="11">
        <f>(1-'CC70 - %'!AH$5/100)*296*(44/28)*0.01*AH118*AH101/1000</f>
        <v>0.46749067940732247</v>
      </c>
      <c r="AI136" s="11">
        <f>(1-'CC70 - %'!AI$5/100)*296*(44/28)*0.01*AI118*AI101/1000</f>
        <v>0.47901151852807983</v>
      </c>
      <c r="AJ136" s="11">
        <f>(1-'CC70 - %'!AJ$5/100)*296*(44/28)*0.01*AJ118*AJ101/1000</f>
        <v>0.49067096860568699</v>
      </c>
      <c r="AK136" s="11">
        <f>(1-'CC70 - %'!AK$5/100)*296*(44/28)*0.01*AK118*AK101/1000</f>
        <v>0.50266261758069597</v>
      </c>
      <c r="AL136" s="11">
        <f>(1-'CC70 - %'!AL$5/100)*296*(44/28)*0.01*AL118*AL101/1000</f>
        <v>0.51511312583907209</v>
      </c>
      <c r="AM136" s="11">
        <f>(1-'CC70 - %'!AM$5/100)*296*(44/28)*0.01*AM118*AM101/1000</f>
        <v>0.52794408347109545</v>
      </c>
      <c r="AN136" s="11">
        <f>(1-'CC70 - %'!AN$5/100)*296*(44/28)*0.01*AN118*AN101/1000</f>
        <v>0.54112322332715446</v>
      </c>
      <c r="AO136" s="11">
        <f>(1-'CC70 - %'!AO$5/100)*296*(44/28)*0.01*AO118*AO101/1000</f>
        <v>0.55454053571488826</v>
      </c>
      <c r="AP136" s="11">
        <f>(1-'CC70 - %'!AP$5/100)*296*(44/28)*0.01*AP118*AP101/1000</f>
        <v>0.56825942853283529</v>
      </c>
      <c r="AQ136" s="11">
        <f>(1-'CC70 - %'!AQ$5/100)*296*(44/28)*0.01*AQ118*AQ101/1000</f>
        <v>0.58225994235465495</v>
      </c>
      <c r="AR136" s="11">
        <f>(1-'CC70 - %'!AR$5/100)*296*(44/28)*0.01*AR118*AR101/1000</f>
        <v>0.59664669721380015</v>
      </c>
      <c r="AS136" s="11">
        <f>(1-'CC70 - %'!AS$5/100)*296*(44/28)*0.01*AS118*AS101/1000</f>
        <v>0.61122191458595321</v>
      </c>
      <c r="AT136" s="11">
        <f>(1-'CC70 - %'!AT$5/100)*296*(44/28)*0.01*AT118*AT101/1000</f>
        <v>0.62606702045413176</v>
      </c>
      <c r="AU136" s="11">
        <f>(1-'CC70 - %'!AU$5/100)*296*(44/28)*0.01*AU118*AU101/1000</f>
        <v>0.64099495182104105</v>
      </c>
      <c r="AV136" s="11">
        <f>(1-'CC70 - %'!AV$5/100)*296*(44/28)*0.01*AV118*AV101/1000</f>
        <v>0.65612746861443494</v>
      </c>
      <c r="AW136" s="11">
        <f>(1-'CC70 - %'!AW$5/100)*296*(44/28)*0.01*AW118*AW101/1000</f>
        <v>0.67145936077538848</v>
      </c>
      <c r="AX136" s="11">
        <f>(1-'CC70 - %'!AX$5/100)*296*(44/28)*0.01*AX118*AX101/1000</f>
        <v>0.68695252267146234</v>
      </c>
      <c r="AY136" s="11">
        <f>(1-'CC70 - %'!AY$5/100)*296*(44/28)*0.01*AY118*AY101/1000</f>
        <v>0.70260441674622331</v>
      </c>
      <c r="AZ136" s="11">
        <f>(1-'CC70 - %'!AZ$5/100)*296*(44/28)*0.01*AZ118*AZ101/1000</f>
        <v>0.71854648660239373</v>
      </c>
      <c r="BA136" s="11">
        <f>(1-'CC70 - %'!BA$5/100)*296*(44/28)*0.01*BA118*BA101/1000</f>
        <v>0.73476670916320475</v>
      </c>
      <c r="BB136" s="11">
        <f>(1-'CC70 - %'!BB$5/100)*296*(44/28)*0.01*BB118*BB101/1000</f>
        <v>0.75125649908253267</v>
      </c>
      <c r="BC136" s="11"/>
    </row>
    <row r="137" spans="1:56" ht="14.4" x14ac:dyDescent="0.3">
      <c r="A137" s="28"/>
      <c r="B137" s="352"/>
      <c r="C137" s="13" t="s">
        <v>283</v>
      </c>
      <c r="F137" s="382"/>
      <c r="G137" s="87">
        <f t="shared" ref="G137:BB137" si="37">SUM(G122:G136)</f>
        <v>3.8703202781666928</v>
      </c>
      <c r="H137" s="87">
        <f t="shared" si="37"/>
        <v>4.1871904164534337</v>
      </c>
      <c r="I137" s="87">
        <f t="shared" si="37"/>
        <v>4.2472567723760264</v>
      </c>
      <c r="J137" s="87">
        <f t="shared" si="37"/>
        <v>4.4942194377935296</v>
      </c>
      <c r="K137" s="87">
        <f t="shared" si="37"/>
        <v>4.6507819308258975</v>
      </c>
      <c r="L137" s="87">
        <f t="shared" si="37"/>
        <v>4.7961673074529383</v>
      </c>
      <c r="M137" s="87">
        <f t="shared" si="37"/>
        <v>4.8908083689120252</v>
      </c>
      <c r="N137" s="87">
        <f t="shared" si="37"/>
        <v>5.0082942588921684</v>
      </c>
      <c r="O137" s="87">
        <f t="shared" si="37"/>
        <v>5.012318510152733</v>
      </c>
      <c r="P137" s="87">
        <f t="shared" si="37"/>
        <v>5.0917621921509184</v>
      </c>
      <c r="Q137" s="87">
        <f t="shared" si="37"/>
        <v>5.2042427679085401</v>
      </c>
      <c r="R137" s="87">
        <f t="shared" si="37"/>
        <v>5.2681423704105486</v>
      </c>
      <c r="S137" s="87">
        <f t="shared" si="37"/>
        <v>5.331533580735428</v>
      </c>
      <c r="T137" s="87">
        <f t="shared" si="37"/>
        <v>5.4059497934452923</v>
      </c>
      <c r="U137" s="87">
        <f t="shared" si="37"/>
        <v>5.4541444969361068</v>
      </c>
      <c r="V137" s="87">
        <f t="shared" si="37"/>
        <v>5.5053027886648751</v>
      </c>
      <c r="W137" s="87">
        <f t="shared" si="37"/>
        <v>5.598447783188103</v>
      </c>
      <c r="X137" s="87">
        <f t="shared" si="37"/>
        <v>5.6806944774074868</v>
      </c>
      <c r="Y137" s="87">
        <f t="shared" si="37"/>
        <v>5.7705595210178249</v>
      </c>
      <c r="Z137" s="87">
        <f t="shared" si="37"/>
        <v>5.863032886396975</v>
      </c>
      <c r="AA137" s="87">
        <f t="shared" si="37"/>
        <v>5.930414088480366</v>
      </c>
      <c r="AB137" s="87">
        <f t="shared" si="37"/>
        <v>6.0430432725148338</v>
      </c>
      <c r="AC137" s="87">
        <f t="shared" si="37"/>
        <v>6.1402070933778612</v>
      </c>
      <c r="AD137" s="87">
        <f t="shared" si="37"/>
        <v>6.2754567835924879</v>
      </c>
      <c r="AE137" s="87">
        <f t="shared" si="37"/>
        <v>6.3828613798738747</v>
      </c>
      <c r="AF137" s="87">
        <f t="shared" si="37"/>
        <v>6.4877796553168805</v>
      </c>
      <c r="AG137" s="87">
        <f t="shared" si="37"/>
        <v>6.5979936527627956</v>
      </c>
      <c r="AH137" s="87">
        <f t="shared" si="37"/>
        <v>6.7771015792908633</v>
      </c>
      <c r="AI137" s="87">
        <f t="shared" si="37"/>
        <v>6.9430114431480279</v>
      </c>
      <c r="AJ137" s="87">
        <f t="shared" si="37"/>
        <v>7.1119008169273954</v>
      </c>
      <c r="AK137" s="87">
        <f t="shared" si="37"/>
        <v>7.2857928061782484</v>
      </c>
      <c r="AL137" s="87">
        <f t="shared" si="37"/>
        <v>7.4663586196327341</v>
      </c>
      <c r="AM137" s="87">
        <f t="shared" si="37"/>
        <v>7.6526372656645432</v>
      </c>
      <c r="AN137" s="87">
        <f t="shared" si="37"/>
        <v>7.8439973287783102</v>
      </c>
      <c r="AO137" s="87">
        <f t="shared" si="37"/>
        <v>8.0393637642486588</v>
      </c>
      <c r="AP137" s="87">
        <f t="shared" si="37"/>
        <v>8.2393165002257334</v>
      </c>
      <c r="AQ137" s="87">
        <f t="shared" si="37"/>
        <v>8.4435931462893858</v>
      </c>
      <c r="AR137" s="87">
        <f t="shared" si="37"/>
        <v>8.6537780055535549</v>
      </c>
      <c r="AS137" s="87">
        <f t="shared" si="37"/>
        <v>8.8670663677179888</v>
      </c>
      <c r="AT137" s="87">
        <f t="shared" si="37"/>
        <v>9.0846323211752971</v>
      </c>
      <c r="AU137" s="87">
        <f t="shared" si="37"/>
        <v>9.3037720873692553</v>
      </c>
      <c r="AV137" s="87">
        <f t="shared" si="37"/>
        <v>9.5262742692363318</v>
      </c>
      <c r="AW137" s="87">
        <f t="shared" si="37"/>
        <v>9.7521138862738042</v>
      </c>
      <c r="AX137" s="87">
        <f t="shared" si="37"/>
        <v>9.9807665210512653</v>
      </c>
      <c r="AY137" s="87">
        <f t="shared" si="37"/>
        <v>10.212234562918777</v>
      </c>
      <c r="AZ137" s="87">
        <f t="shared" si="37"/>
        <v>10.448439366567014</v>
      </c>
      <c r="BA137" s="87">
        <f t="shared" si="37"/>
        <v>10.689242640364537</v>
      </c>
      <c r="BB137" s="87">
        <f t="shared" si="37"/>
        <v>10.934557774450409</v>
      </c>
    </row>
    <row r="138" spans="1:56" ht="14.4" x14ac:dyDescent="0.3">
      <c r="F138" s="38"/>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c r="AV138" s="21"/>
      <c r="AW138" s="21"/>
      <c r="AX138" s="21"/>
      <c r="AY138" s="21"/>
      <c r="AZ138" s="21"/>
      <c r="BA138" s="21"/>
      <c r="BB138" s="21"/>
      <c r="BC138" s="21"/>
    </row>
    <row r="139" spans="1:56" ht="14.4" customHeight="1" x14ac:dyDescent="0.3">
      <c r="A139" s="16" t="s">
        <v>115</v>
      </c>
      <c r="B139" s="16"/>
      <c r="C139" s="31" t="s">
        <v>691</v>
      </c>
      <c r="D139" s="351"/>
      <c r="E139" s="351"/>
      <c r="F139" s="35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21"/>
    </row>
    <row r="140" spans="1:56" ht="14.4" x14ac:dyDescent="0.3">
      <c r="C140" s="9" t="s">
        <v>284</v>
      </c>
      <c r="E140" s="382" t="s">
        <v>208</v>
      </c>
      <c r="F140" s="38" t="s">
        <v>285</v>
      </c>
      <c r="G140" s="21">
        <v>0.217</v>
      </c>
      <c r="H140" s="21">
        <v>0.21704520833333332</v>
      </c>
      <c r="I140" s="21">
        <v>0.21709041666666665</v>
      </c>
      <c r="J140" s="21">
        <v>0.21713562499999997</v>
      </c>
      <c r="K140" s="21">
        <v>0.2171808333333333</v>
      </c>
      <c r="L140" s="21">
        <v>0.21722604166666662</v>
      </c>
      <c r="M140" s="21">
        <v>0.21727124999999994</v>
      </c>
      <c r="N140" s="21">
        <v>0.21731645833333327</v>
      </c>
      <c r="O140" s="21">
        <v>0.21736166666666659</v>
      </c>
      <c r="P140" s="21">
        <v>0.21740687499999992</v>
      </c>
      <c r="Q140" s="21">
        <v>0.21745208333333324</v>
      </c>
      <c r="R140" s="21">
        <v>0.21749729166666656</v>
      </c>
      <c r="S140" s="21">
        <v>0.21754249999999989</v>
      </c>
      <c r="T140" s="21">
        <v>0.21758770833333321</v>
      </c>
      <c r="U140" s="21">
        <v>0.21763291666666654</v>
      </c>
      <c r="V140" s="21">
        <v>0.21767812499999986</v>
      </c>
      <c r="W140" s="21">
        <v>0.21772333333333319</v>
      </c>
      <c r="X140" s="21">
        <v>0.21776854166666651</v>
      </c>
      <c r="Y140" s="21">
        <v>0.21781374999999983</v>
      </c>
      <c r="Z140" s="21">
        <v>0.21785895833333316</v>
      </c>
      <c r="AA140" s="21">
        <v>0.21790416666666648</v>
      </c>
      <c r="AB140" s="21">
        <v>0.21794937499999981</v>
      </c>
      <c r="AC140" s="21">
        <v>0.21799458333333313</v>
      </c>
      <c r="AD140" s="21">
        <v>0.21803979166666645</v>
      </c>
      <c r="AE140" s="21">
        <v>0.21808499999999978</v>
      </c>
      <c r="AF140" s="21">
        <v>0.2181302083333331</v>
      </c>
      <c r="AG140" s="21">
        <v>0.21817541666666643</v>
      </c>
      <c r="AH140" s="21">
        <v>0.21822062499999975</v>
      </c>
      <c r="AI140" s="21">
        <v>0.21826583333333308</v>
      </c>
      <c r="AJ140" s="21">
        <v>0.2183110416666664</v>
      </c>
      <c r="AK140" s="21">
        <v>0.21835624999999972</v>
      </c>
      <c r="AL140" s="21">
        <v>0.21840145833333305</v>
      </c>
      <c r="AM140" s="21">
        <v>0.21844666666666637</v>
      </c>
      <c r="AN140" s="21">
        <v>0.2184918749999997</v>
      </c>
      <c r="AO140" s="21">
        <v>0.21853708333333302</v>
      </c>
      <c r="AP140" s="21">
        <v>0.21858229166666635</v>
      </c>
      <c r="AQ140" s="21">
        <v>0.21862749999999967</v>
      </c>
      <c r="AR140" s="21">
        <v>0.21867270833333299</v>
      </c>
      <c r="AS140" s="21">
        <v>0.21871791666666632</v>
      </c>
      <c r="AT140" s="21">
        <v>0.21876312499999964</v>
      </c>
      <c r="AU140" s="21">
        <v>0.21880833333333297</v>
      </c>
      <c r="AV140" s="21">
        <v>0.21885354166666629</v>
      </c>
      <c r="AW140" s="21">
        <v>0.21889874999999961</v>
      </c>
      <c r="AX140" s="21">
        <v>0.21894395833333294</v>
      </c>
      <c r="AY140" s="21">
        <v>0.21898916666666626</v>
      </c>
      <c r="AZ140" s="21">
        <v>0.21903437499999959</v>
      </c>
      <c r="BA140" s="21">
        <v>0.21907958333333291</v>
      </c>
      <c r="BB140" s="21">
        <v>0.21912479166666624</v>
      </c>
      <c r="BC140" s="21"/>
    </row>
    <row r="141" spans="1:56" ht="14.4" x14ac:dyDescent="0.3">
      <c r="C141" s="9" t="s">
        <v>286</v>
      </c>
      <c r="E141" s="382"/>
      <c r="F141" s="38" t="s">
        <v>285</v>
      </c>
      <c r="G141" s="21">
        <v>2.4656534787083331</v>
      </c>
      <c r="H141" s="21">
        <v>2.4707795774166663</v>
      </c>
      <c r="I141" s="21">
        <v>2.4759056761249996</v>
      </c>
      <c r="J141" s="21">
        <v>2.4810317748333328</v>
      </c>
      <c r="K141" s="21">
        <v>2.4861578735416661</v>
      </c>
      <c r="L141" s="21">
        <v>2.4912839722499993</v>
      </c>
      <c r="M141" s="21">
        <v>2.4964100709583326</v>
      </c>
      <c r="N141" s="21">
        <v>2.5015361696666658</v>
      </c>
      <c r="O141" s="21">
        <v>2.5066622683749991</v>
      </c>
      <c r="P141" s="21">
        <v>2.5117883670833323</v>
      </c>
      <c r="Q141" s="21">
        <v>2.5169144657916656</v>
      </c>
      <c r="R141" s="21">
        <v>2.5220405644999988</v>
      </c>
      <c r="S141" s="21">
        <v>2.5712657214813173</v>
      </c>
      <c r="T141" s="21">
        <v>2.6043364909931945</v>
      </c>
      <c r="U141" s="21">
        <v>2.6375200346766547</v>
      </c>
      <c r="V141" s="21">
        <v>2.6708163525316988</v>
      </c>
      <c r="W141" s="21">
        <v>2.7042254445583254</v>
      </c>
      <c r="X141" s="21">
        <v>2.7377473107565353</v>
      </c>
      <c r="Y141" s="21">
        <v>2.7713819511263296</v>
      </c>
      <c r="Z141" s="21">
        <v>2.8051293656677059</v>
      </c>
      <c r="AA141" s="21">
        <v>2.8389895543806669</v>
      </c>
      <c r="AB141" s="21">
        <v>2.87296251726521</v>
      </c>
      <c r="AC141" s="21">
        <v>2.9070482543213374</v>
      </c>
      <c r="AD141" s="21">
        <v>2.9412467655490473</v>
      </c>
      <c r="AE141" s="21">
        <v>2.9755580509483406</v>
      </c>
      <c r="AF141" s="21">
        <v>3.0099821105192182</v>
      </c>
      <c r="AG141" s="21">
        <v>3.0445189442616787</v>
      </c>
      <c r="AH141" s="21">
        <v>3.0541044925413261</v>
      </c>
      <c r="AI141" s="21">
        <v>3.0637041375924219</v>
      </c>
      <c r="AJ141" s="21">
        <v>3.0733178794149656</v>
      </c>
      <c r="AK141" s="21">
        <v>3.0829457180089568</v>
      </c>
      <c r="AL141" s="21">
        <v>3.0925876533743968</v>
      </c>
      <c r="AM141" s="21">
        <v>3.1022436855112838</v>
      </c>
      <c r="AN141" s="21">
        <v>3.1119138144196188</v>
      </c>
      <c r="AO141" s="21">
        <v>3.1215980400994026</v>
      </c>
      <c r="AP141" s="21">
        <v>3.1312963625506334</v>
      </c>
      <c r="AQ141" s="21">
        <v>3.141008781773313</v>
      </c>
      <c r="AR141" s="21">
        <v>3.1507352977674397</v>
      </c>
      <c r="AS141" s="21">
        <v>3.1604759105330142</v>
      </c>
      <c r="AT141" s="21">
        <v>3.1702306200700372</v>
      </c>
      <c r="AU141" s="21">
        <v>3.1799994263785076</v>
      </c>
      <c r="AV141" s="21">
        <v>3.1897823294584269</v>
      </c>
      <c r="AW141" s="21">
        <v>3.1995793293097932</v>
      </c>
      <c r="AX141" s="21">
        <v>3.2093904259326074</v>
      </c>
      <c r="AY141" s="21">
        <v>3.2192156193268699</v>
      </c>
      <c r="AZ141" s="21">
        <v>3.22905490949258</v>
      </c>
      <c r="BA141" s="21">
        <v>3.2389082964297389</v>
      </c>
      <c r="BB141" s="21">
        <v>3.2487757801383443</v>
      </c>
      <c r="BC141" s="21"/>
    </row>
    <row r="142" spans="1:56" ht="14.4" customHeight="1" x14ac:dyDescent="0.3">
      <c r="A142" s="16" t="s">
        <v>115</v>
      </c>
      <c r="B142" s="16"/>
      <c r="C142" s="31" t="s">
        <v>692</v>
      </c>
      <c r="D142" s="351"/>
      <c r="E142" s="351"/>
      <c r="F142" s="35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row>
    <row r="143" spans="1:56" ht="14.4" x14ac:dyDescent="0.3">
      <c r="C143" s="9" t="s">
        <v>287</v>
      </c>
      <c r="D143" s="9" t="s">
        <v>207</v>
      </c>
      <c r="E143" s="364" t="s">
        <v>288</v>
      </c>
      <c r="F143" s="38" t="s">
        <v>207</v>
      </c>
      <c r="G143" s="21">
        <f t="shared" ref="G143:BB143" si="38">G146+G149-G152</f>
        <v>0.25604773695717575</v>
      </c>
      <c r="H143" s="21">
        <f t="shared" si="38"/>
        <v>0.25940046790346494</v>
      </c>
      <c r="I143" s="21">
        <f t="shared" si="38"/>
        <v>0.26272339255672111</v>
      </c>
      <c r="J143" s="21">
        <f t="shared" si="38"/>
        <v>0.26601282654933339</v>
      </c>
      <c r="K143" s="21">
        <f t="shared" si="38"/>
        <v>0.26926751914412433</v>
      </c>
      <c r="L143" s="21">
        <f t="shared" si="38"/>
        <v>0.27248514775802735</v>
      </c>
      <c r="M143" s="21">
        <f t="shared" si="38"/>
        <v>0.2756652339533503</v>
      </c>
      <c r="N143" s="21">
        <f t="shared" si="38"/>
        <v>0.27880424012075711</v>
      </c>
      <c r="O143" s="21">
        <f t="shared" si="38"/>
        <v>0.28190048664233736</v>
      </c>
      <c r="P143" s="21">
        <f t="shared" si="38"/>
        <v>0.28495181300777922</v>
      </c>
      <c r="Q143" s="21">
        <f t="shared" si="38"/>
        <v>0.28795571832934969</v>
      </c>
      <c r="R143" s="21">
        <f t="shared" si="38"/>
        <v>0.29091095528671473</v>
      </c>
      <c r="S143" s="21">
        <f t="shared" si="38"/>
        <v>0.29330132198069797</v>
      </c>
      <c r="T143" s="21">
        <f t="shared" si="38"/>
        <v>0.29585475584162396</v>
      </c>
      <c r="U143" s="21">
        <f t="shared" si="38"/>
        <v>0.29834822973429376</v>
      </c>
      <c r="V143" s="21">
        <f t="shared" si="38"/>
        <v>0.30078092579776755</v>
      </c>
      <c r="W143" s="21">
        <f t="shared" si="38"/>
        <v>0.30315121474719858</v>
      </c>
      <c r="X143" s="21">
        <f t="shared" si="38"/>
        <v>0.3054580062495913</v>
      </c>
      <c r="Y143" s="21">
        <f t="shared" si="38"/>
        <v>0.30770111147354329</v>
      </c>
      <c r="Z143" s="21">
        <f t="shared" si="38"/>
        <v>0.30987981040181745</v>
      </c>
      <c r="AA143" s="21">
        <f t="shared" si="38"/>
        <v>0.31199274188443848</v>
      </c>
      <c r="AB143" s="21">
        <f t="shared" si="38"/>
        <v>0.31403973887159886</v>
      </c>
      <c r="AC143" s="21">
        <f t="shared" si="38"/>
        <v>0.31601944729970638</v>
      </c>
      <c r="AD143" s="21">
        <f t="shared" si="38"/>
        <v>0.31793163552675968</v>
      </c>
      <c r="AE143" s="21">
        <f t="shared" si="38"/>
        <v>0.31977679916613955</v>
      </c>
      <c r="AF143" s="21">
        <f t="shared" si="38"/>
        <v>0.32155328523125193</v>
      </c>
      <c r="AG143" s="21">
        <f t="shared" si="38"/>
        <v>0.32326178785992005</v>
      </c>
      <c r="AH143" s="21">
        <f t="shared" si="38"/>
        <v>0.32514858086355347</v>
      </c>
      <c r="AI143" s="21">
        <f t="shared" si="38"/>
        <v>0.32696995982222121</v>
      </c>
      <c r="AJ143" s="21">
        <f t="shared" si="38"/>
        <v>0.32872468619403133</v>
      </c>
      <c r="AK143" s="21">
        <f t="shared" si="38"/>
        <v>0.3304115612195429</v>
      </c>
      <c r="AL143" s="21">
        <f t="shared" si="38"/>
        <v>0.33202942728219009</v>
      </c>
      <c r="AM143" s="21">
        <f t="shared" si="38"/>
        <v>0.33357716922826969</v>
      </c>
      <c r="AN143" s="21">
        <f t="shared" si="38"/>
        <v>0.33505371564439057</v>
      </c>
      <c r="AO143" s="21">
        <f t="shared" si="38"/>
        <v>0.33645804009034491</v>
      </c>
      <c r="AP143" s="21">
        <f t="shared" si="38"/>
        <v>0.33778916228541733</v>
      </c>
      <c r="AQ143" s="21">
        <f t="shared" si="38"/>
        <v>0.33904614924622067</v>
      </c>
      <c r="AR143" s="21">
        <f t="shared" si="38"/>
        <v>0.34022811637421074</v>
      </c>
      <c r="AS143" s="21">
        <f t="shared" si="38"/>
        <v>0.34133422849111078</v>
      </c>
      <c r="AT143" s="21">
        <f t="shared" si="38"/>
        <v>0.34236370082055362</v>
      </c>
      <c r="AU143" s="21">
        <f t="shared" si="38"/>
        <v>0.34331579991432565</v>
      </c>
      <c r="AV143" s="21">
        <f t="shared" si="38"/>
        <v>0.34418984452168866</v>
      </c>
      <c r="AW143" s="21">
        <f t="shared" si="38"/>
        <v>0.34498520640033831</v>
      </c>
      <c r="AX143" s="21">
        <f t="shared" si="38"/>
        <v>0.3457013110676494</v>
      </c>
      <c r="AY143" s="21">
        <f t="shared" si="38"/>
        <v>0.34633763849095334</v>
      </c>
      <c r="AZ143" s="21">
        <f t="shared" si="38"/>
        <v>0.34689372371568861</v>
      </c>
      <c r="BA143" s="21">
        <f t="shared" si="38"/>
        <v>0.34736915743036312</v>
      </c>
      <c r="BB143" s="21">
        <f t="shared" si="38"/>
        <v>0.34776358646737177</v>
      </c>
      <c r="BC143" s="21"/>
    </row>
    <row r="144" spans="1:56" ht="14.4" x14ac:dyDescent="0.3">
      <c r="C144" s="9" t="s">
        <v>289</v>
      </c>
      <c r="D144" s="9" t="s">
        <v>207</v>
      </c>
      <c r="E144" s="364"/>
      <c r="F144" s="38" t="s">
        <v>207</v>
      </c>
      <c r="G144" s="21">
        <f>G147+G150-G153</f>
        <v>2.0362525762614512</v>
      </c>
      <c r="H144" s="21">
        <f t="shared" ref="H144:BB144" si="39">H147+H150-H153</f>
        <v>2.0667960461557353</v>
      </c>
      <c r="I144" s="21">
        <f t="shared" si="39"/>
        <v>2.097176466847988</v>
      </c>
      <c r="J144" s="21">
        <f t="shared" si="39"/>
        <v>2.1273709657413513</v>
      </c>
      <c r="K144" s="21">
        <f t="shared" si="39"/>
        <v>2.1573716362087718</v>
      </c>
      <c r="L144" s="21">
        <f t="shared" si="39"/>
        <v>2.1871632938524042</v>
      </c>
      <c r="M144" s="21">
        <f t="shared" si="39"/>
        <v>2.2167437006819939</v>
      </c>
      <c r="N144" s="21">
        <f t="shared" si="39"/>
        <v>2.2460837947763204</v>
      </c>
      <c r="O144" s="21">
        <f t="shared" si="39"/>
        <v>2.2751689738244325</v>
      </c>
      <c r="P144" s="21">
        <f t="shared" si="39"/>
        <v>2.3039803746148237</v>
      </c>
      <c r="Q144" s="21">
        <f t="shared" si="39"/>
        <v>2.3324960277112416</v>
      </c>
      <c r="R144" s="21">
        <f t="shared" si="39"/>
        <v>2.3607038890381284</v>
      </c>
      <c r="S144" s="21">
        <f t="shared" si="39"/>
        <v>2.4259733514717765</v>
      </c>
      <c r="T144" s="21">
        <f t="shared" si="39"/>
        <v>2.4779905682383432</v>
      </c>
      <c r="U144" s="21">
        <f t="shared" si="39"/>
        <v>2.5301273417873706</v>
      </c>
      <c r="V144" s="21">
        <f t="shared" si="39"/>
        <v>2.5823601697796628</v>
      </c>
      <c r="W144" s="21">
        <f t="shared" si="39"/>
        <v>2.6346580447592771</v>
      </c>
      <c r="X144" s="21">
        <f t="shared" si="39"/>
        <v>2.6869938822667176</v>
      </c>
      <c r="Y144" s="21">
        <f t="shared" si="39"/>
        <v>2.7393480240194736</v>
      </c>
      <c r="Z144" s="21">
        <f t="shared" si="39"/>
        <v>2.7916958320465284</v>
      </c>
      <c r="AA144" s="21">
        <f t="shared" si="39"/>
        <v>2.8440064055078138</v>
      </c>
      <c r="AB144" s="21">
        <f t="shared" si="39"/>
        <v>2.8962591305003977</v>
      </c>
      <c r="AC144" s="21">
        <f t="shared" si="39"/>
        <v>2.9484221418863044</v>
      </c>
      <c r="AD144" s="21">
        <f t="shared" si="39"/>
        <v>3.0004734396295865</v>
      </c>
      <c r="AE144" s="21">
        <f t="shared" si="39"/>
        <v>3.0523977242574829</v>
      </c>
      <c r="AF144" s="21">
        <f t="shared" si="39"/>
        <v>3.1041590792824252</v>
      </c>
      <c r="AG144" s="21">
        <f t="shared" si="39"/>
        <v>3.1557436138215516</v>
      </c>
      <c r="AH144" s="21">
        <f t="shared" si="39"/>
        <v>3.1834596993645321</v>
      </c>
      <c r="AI144" s="21">
        <f t="shared" si="39"/>
        <v>3.2106534086090308</v>
      </c>
      <c r="AJ144" s="21">
        <f t="shared" si="39"/>
        <v>3.2373071381352476</v>
      </c>
      <c r="AK144" s="21">
        <f t="shared" si="39"/>
        <v>3.2634035209105909</v>
      </c>
      <c r="AL144" s="21">
        <f t="shared" si="39"/>
        <v>3.2889254449993923</v>
      </c>
      <c r="AM144" s="21">
        <f t="shared" si="39"/>
        <v>3.3138560721263586</v>
      </c>
      <c r="AN144" s="21">
        <f t="shared" si="39"/>
        <v>3.3381788560661803</v>
      </c>
      <c r="AO144" s="21">
        <f t="shared" si="39"/>
        <v>3.3618775608314651</v>
      </c>
      <c r="AP144" s="21">
        <f t="shared" si="39"/>
        <v>3.3849362786315109</v>
      </c>
      <c r="AQ144" s="21">
        <f t="shared" si="39"/>
        <v>3.4073394475742744</v>
      </c>
      <c r="AR144" s="21">
        <f t="shared" si="39"/>
        <v>3.4290718690841957</v>
      </c>
      <c r="AS144" s="21">
        <f t="shared" si="39"/>
        <v>3.4501187250087599</v>
      </c>
      <c r="AT144" s="21">
        <f t="shared" si="39"/>
        <v>3.4704655943869906</v>
      </c>
      <c r="AU144" s="21">
        <f t="shared" si="39"/>
        <v>3.4900984698534301</v>
      </c>
      <c r="AV144" s="21">
        <f t="shared" si="39"/>
        <v>3.509003773651612</v>
      </c>
      <c r="AW144" s="21">
        <f t="shared" si="39"/>
        <v>3.5271683732314951</v>
      </c>
      <c r="AX144" s="21">
        <f t="shared" si="39"/>
        <v>3.5445795964058666</v>
      </c>
      <c r="AY144" s="21">
        <f t="shared" si="39"/>
        <v>3.5612252460413072</v>
      </c>
      <c r="AZ144" s="21">
        <f t="shared" si="39"/>
        <v>3.577093614259943</v>
      </c>
      <c r="BA144" s="21">
        <f t="shared" si="39"/>
        <v>3.5921734961289169</v>
      </c>
      <c r="BB144" s="21">
        <f t="shared" si="39"/>
        <v>3.6064542028152151</v>
      </c>
      <c r="BC144" s="21"/>
      <c r="BD144" s="21"/>
    </row>
    <row r="145" spans="1:55" ht="14.4" customHeight="1" x14ac:dyDescent="0.3">
      <c r="A145" s="16" t="s">
        <v>115</v>
      </c>
      <c r="B145" s="16"/>
      <c r="C145" s="31" t="s">
        <v>693</v>
      </c>
      <c r="D145" s="351"/>
      <c r="E145" s="351"/>
      <c r="F145" s="35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c r="AV145" s="21"/>
      <c r="AW145" s="21"/>
      <c r="AX145" s="21"/>
      <c r="AY145" s="21"/>
      <c r="AZ145" s="21"/>
      <c r="BA145" s="21"/>
      <c r="BB145" s="21"/>
      <c r="BC145" s="21"/>
    </row>
    <row r="146" spans="1:55" ht="14.4" x14ac:dyDescent="0.3">
      <c r="B146" s="369" t="s">
        <v>290</v>
      </c>
      <c r="C146" s="9" t="s">
        <v>128</v>
      </c>
      <c r="D146" s="365" t="s">
        <v>207</v>
      </c>
      <c r="E146" s="364" t="s">
        <v>291</v>
      </c>
      <c r="F146" s="382" t="s">
        <v>207</v>
      </c>
      <c r="G146" s="21">
        <f t="shared" ref="G146:AK146" si="40">G140*0.28*G155/1000000</f>
        <v>0.25372217602768543</v>
      </c>
      <c r="H146" s="21">
        <f t="shared" si="40"/>
        <v>0.25703901416275537</v>
      </c>
      <c r="I146" s="21">
        <f t="shared" si="40"/>
        <v>0.26032629561756865</v>
      </c>
      <c r="J146" s="21">
        <f t="shared" si="40"/>
        <v>0.26358037948512436</v>
      </c>
      <c r="K146" s="21">
        <f t="shared" si="40"/>
        <v>0.2668000320958348</v>
      </c>
      <c r="L146" s="21">
        <f t="shared" si="40"/>
        <v>0.26998295971077058</v>
      </c>
      <c r="M146" s="21">
        <f t="shared" si="40"/>
        <v>0.27312869256522959</v>
      </c>
      <c r="N146" s="21">
        <f t="shared" si="40"/>
        <v>0.27623373536935036</v>
      </c>
      <c r="O146" s="21">
        <f t="shared" si="40"/>
        <v>0.2792964305133917</v>
      </c>
      <c r="P146" s="21">
        <f t="shared" si="40"/>
        <v>0.28231464484590224</v>
      </c>
      <c r="Q146" s="21">
        <f t="shared" si="40"/>
        <v>0.28528590867572179</v>
      </c>
      <c r="R146" s="21">
        <f t="shared" si="40"/>
        <v>0.28820899204539635</v>
      </c>
      <c r="S146" s="21">
        <f t="shared" si="40"/>
        <v>0.29056772045316076</v>
      </c>
      <c r="T146" s="21">
        <f t="shared" si="40"/>
        <v>0.29309004903941693</v>
      </c>
      <c r="U146" s="21">
        <f t="shared" si="40"/>
        <v>0.29555298112451117</v>
      </c>
      <c r="V146" s="21">
        <f t="shared" si="40"/>
        <v>0.29795571327465337</v>
      </c>
      <c r="W146" s="21">
        <f t="shared" si="40"/>
        <v>0.30029663975359638</v>
      </c>
      <c r="X146" s="21">
        <f t="shared" si="40"/>
        <v>0.30257468776874763</v>
      </c>
      <c r="Y146" s="21">
        <f t="shared" si="40"/>
        <v>0.30478967583985656</v>
      </c>
      <c r="Z146" s="21">
        <f t="shared" si="40"/>
        <v>0.30694089723723761</v>
      </c>
      <c r="AA146" s="21">
        <f t="shared" si="40"/>
        <v>0.30902701135691901</v>
      </c>
      <c r="AB146" s="21">
        <f t="shared" si="40"/>
        <v>0.31104785812457819</v>
      </c>
      <c r="AC146" s="21">
        <f t="shared" si="40"/>
        <v>0.31300210391783967</v>
      </c>
      <c r="AD146" s="21">
        <f t="shared" si="40"/>
        <v>0.31488952472010373</v>
      </c>
      <c r="AE146" s="21">
        <f t="shared" si="40"/>
        <v>0.31671061534550671</v>
      </c>
      <c r="AF146" s="21">
        <f t="shared" si="40"/>
        <v>0.31846374655110049</v>
      </c>
      <c r="AG146" s="21">
        <f t="shared" si="40"/>
        <v>0.32014960924076119</v>
      </c>
      <c r="AH146" s="21">
        <f t="shared" si="40"/>
        <v>0.32201447223445689</v>
      </c>
      <c r="AI146" s="21">
        <f t="shared" si="40"/>
        <v>0.32381464865771081</v>
      </c>
      <c r="AJ146" s="21">
        <f t="shared" si="40"/>
        <v>0.32554891702847655</v>
      </c>
      <c r="AK146" s="21">
        <f t="shared" si="40"/>
        <v>0.32721609513878819</v>
      </c>
      <c r="AL146" s="21">
        <f t="shared" ref="AL146:BB146" si="41">AL140*0.28*AL155/1000000</f>
        <v>0.32881504139296985</v>
      </c>
      <c r="AM146" s="21">
        <f t="shared" si="41"/>
        <v>0.33034465610599956</v>
      </c>
      <c r="AN146" s="21">
        <f t="shared" si="41"/>
        <v>0.33180388275996553</v>
      </c>
      <c r="AO146" s="21">
        <f t="shared" si="41"/>
        <v>0.33319170921661451</v>
      </c>
      <c r="AP146" s="21">
        <f t="shared" si="41"/>
        <v>0.3345071688840473</v>
      </c>
      <c r="AQ146" s="21">
        <f t="shared" si="41"/>
        <v>0.3357493418356875</v>
      </c>
      <c r="AR146" s="21">
        <f t="shared" si="41"/>
        <v>0.33691735587971222</v>
      </c>
      <c r="AS146" s="21">
        <f t="shared" si="41"/>
        <v>0.33801038757721019</v>
      </c>
      <c r="AT146" s="21">
        <f t="shared" si="41"/>
        <v>0.33902766320740885</v>
      </c>
      <c r="AU146" s="21">
        <f t="shared" si="41"/>
        <v>0.33996845967838724</v>
      </c>
      <c r="AV146" s="21">
        <f t="shared" si="41"/>
        <v>0.34083210538177988</v>
      </c>
      <c r="AW146" s="21">
        <f t="shared" si="41"/>
        <v>0.34161798099006063</v>
      </c>
      <c r="AX146" s="21">
        <f t="shared" si="41"/>
        <v>0.34232552019508267</v>
      </c>
      <c r="AY146" s="21">
        <f t="shared" si="41"/>
        <v>0.34295421038664609</v>
      </c>
      <c r="AZ146" s="21">
        <f t="shared" si="41"/>
        <v>0.3435035932699565</v>
      </c>
      <c r="BA146" s="21">
        <f t="shared" si="41"/>
        <v>0.34397326542093626</v>
      </c>
      <c r="BB146" s="21">
        <f t="shared" si="41"/>
        <v>0.3443628787784494</v>
      </c>
      <c r="BC146" s="21"/>
    </row>
    <row r="147" spans="1:55" ht="14.4" x14ac:dyDescent="0.3">
      <c r="B147" s="369"/>
      <c r="C147" s="9" t="s">
        <v>129</v>
      </c>
      <c r="D147" s="365"/>
      <c r="E147" s="364"/>
      <c r="F147" s="382"/>
      <c r="G147" s="21">
        <f t="shared" ref="G147:AK147" si="42">0.208195*0.95*G155*G141/1000000</f>
        <v>2.0364164844928982</v>
      </c>
      <c r="H147" s="21">
        <f t="shared" si="42"/>
        <v>2.0668964371626686</v>
      </c>
      <c r="I147" s="21">
        <f t="shared" si="42"/>
        <v>2.0972362273100917</v>
      </c>
      <c r="J147" s="21">
        <f t="shared" si="42"/>
        <v>2.1274050773997346</v>
      </c>
      <c r="K147" s="21">
        <f t="shared" si="42"/>
        <v>2.1573914580506814</v>
      </c>
      <c r="L147" s="21">
        <f t="shared" si="42"/>
        <v>2.1871751794319705</v>
      </c>
      <c r="M147" s="21">
        <f t="shared" si="42"/>
        <v>2.2167507192407556</v>
      </c>
      <c r="N147" s="21">
        <f t="shared" si="42"/>
        <v>2.2460879275710415</v>
      </c>
      <c r="O147" s="21">
        <f t="shared" si="42"/>
        <v>2.2751714165842447</v>
      </c>
      <c r="P147" s="21">
        <f t="shared" si="42"/>
        <v>2.3039818198936541</v>
      </c>
      <c r="Q147" s="21">
        <f t="shared" si="42"/>
        <v>2.3324968935872072</v>
      </c>
      <c r="R147" s="21">
        <f t="shared" si="42"/>
        <v>2.3607044023750836</v>
      </c>
      <c r="S147" s="21">
        <f t="shared" si="42"/>
        <v>2.4259736562286776</v>
      </c>
      <c r="T147" s="21">
        <f t="shared" si="42"/>
        <v>2.4779907497073292</v>
      </c>
      <c r="U147" s="21">
        <f t="shared" si="42"/>
        <v>2.5301274494776518</v>
      </c>
      <c r="V147" s="21">
        <f t="shared" si="42"/>
        <v>2.5823602338685454</v>
      </c>
      <c r="W147" s="21">
        <f t="shared" si="42"/>
        <v>2.634658082995482</v>
      </c>
      <c r="X147" s="21">
        <f t="shared" si="42"/>
        <v>2.6869939049753762</v>
      </c>
      <c r="Y147" s="21">
        <f t="shared" si="42"/>
        <v>2.739348037538162</v>
      </c>
      <c r="Z147" s="21">
        <f t="shared" si="42"/>
        <v>2.7916958400922196</v>
      </c>
      <c r="AA147" s="21">
        <f t="shared" si="42"/>
        <v>2.8440064102725739</v>
      </c>
      <c r="AB147" s="21">
        <f t="shared" si="42"/>
        <v>2.8962591333378436</v>
      </c>
      <c r="AC147" s="21">
        <f t="shared" si="42"/>
        <v>2.9484221435689673</v>
      </c>
      <c r="AD147" s="21">
        <f t="shared" si="42"/>
        <v>3.0004734406348663</v>
      </c>
      <c r="AE147" s="21">
        <f t="shared" si="42"/>
        <v>3.0523977248537464</v>
      </c>
      <c r="AF147" s="21">
        <f t="shared" si="42"/>
        <v>3.104159079636621</v>
      </c>
      <c r="AG147" s="21">
        <f t="shared" si="42"/>
        <v>3.1557436140321422</v>
      </c>
      <c r="AH147" s="21">
        <f t="shared" si="42"/>
        <v>3.1834596994897577</v>
      </c>
      <c r="AI147" s="21">
        <f t="shared" si="42"/>
        <v>3.2106534086834952</v>
      </c>
      <c r="AJ147" s="21">
        <f t="shared" si="42"/>
        <v>3.237307138179542</v>
      </c>
      <c r="AK147" s="21">
        <f t="shared" si="42"/>
        <v>3.263403520936941</v>
      </c>
      <c r="AL147" s="21">
        <f t="shared" ref="AL147:BB147" si="43">0.208195*0.95*AL155*AL141/1000000</f>
        <v>3.288925445015062</v>
      </c>
      <c r="AM147" s="21">
        <f t="shared" si="43"/>
        <v>3.3138560721356836</v>
      </c>
      <c r="AN147" s="21">
        <f t="shared" si="43"/>
        <v>3.3381788560717292</v>
      </c>
      <c r="AO147" s="21">
        <f t="shared" si="43"/>
        <v>3.3618775608347686</v>
      </c>
      <c r="AP147" s="21">
        <f t="shared" si="43"/>
        <v>3.3849362786334769</v>
      </c>
      <c r="AQ147" s="21">
        <f t="shared" si="43"/>
        <v>3.4073394475754446</v>
      </c>
      <c r="AR147" s="21">
        <f t="shared" si="43"/>
        <v>3.4290718690848925</v>
      </c>
      <c r="AS147" s="21">
        <f t="shared" si="43"/>
        <v>3.4501187250091747</v>
      </c>
      <c r="AT147" s="21">
        <f t="shared" si="43"/>
        <v>3.4704655943872376</v>
      </c>
      <c r="AU147" s="21">
        <f t="shared" si="43"/>
        <v>3.4900984698535771</v>
      </c>
      <c r="AV147" s="21">
        <f t="shared" si="43"/>
        <v>3.5090037736516995</v>
      </c>
      <c r="AW147" s="21">
        <f t="shared" si="43"/>
        <v>3.5271683732315471</v>
      </c>
      <c r="AX147" s="21">
        <f t="shared" si="43"/>
        <v>3.5445795964058977</v>
      </c>
      <c r="AY147" s="21">
        <f t="shared" si="43"/>
        <v>3.5612252460413258</v>
      </c>
      <c r="AZ147" s="21">
        <f t="shared" si="43"/>
        <v>3.5770936142599541</v>
      </c>
      <c r="BA147" s="21">
        <f t="shared" si="43"/>
        <v>3.5921734961289236</v>
      </c>
      <c r="BB147" s="21">
        <f t="shared" si="43"/>
        <v>3.6064542028152191</v>
      </c>
      <c r="BC147" s="21"/>
    </row>
    <row r="148" spans="1:55" ht="14.4" customHeight="1" x14ac:dyDescent="0.3">
      <c r="A148" s="16" t="s">
        <v>115</v>
      </c>
      <c r="B148" s="16"/>
      <c r="C148" s="31" t="s">
        <v>694</v>
      </c>
      <c r="D148" s="351"/>
      <c r="E148" s="351"/>
      <c r="F148" s="35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row>
    <row r="149" spans="1:55" ht="14.4" x14ac:dyDescent="0.3">
      <c r="B149" s="369" t="s">
        <v>292</v>
      </c>
      <c r="C149" s="9" t="s">
        <v>132</v>
      </c>
      <c r="D149" s="365" t="s">
        <v>207</v>
      </c>
      <c r="E149" s="364" t="s">
        <v>229</v>
      </c>
      <c r="F149" s="382" t="s">
        <v>207</v>
      </c>
      <c r="G149" s="21">
        <v>2.3255609294903163E-3</v>
      </c>
      <c r="H149" s="21">
        <v>2.3614537407095891E-3</v>
      </c>
      <c r="I149" s="21">
        <v>2.3970969391524672E-3</v>
      </c>
      <c r="J149" s="21">
        <v>2.4324470642090299E-3</v>
      </c>
      <c r="K149" s="21">
        <v>2.4674870482895282E-3</v>
      </c>
      <c r="L149" s="21">
        <v>2.5021880472567756E-3</v>
      </c>
      <c r="M149" s="21">
        <v>2.5365413881206912E-3</v>
      </c>
      <c r="N149" s="21">
        <v>2.5705047514067558E-3</v>
      </c>
      <c r="O149" s="21">
        <v>2.6040561289456402E-3</v>
      </c>
      <c r="P149" s="21">
        <v>2.6371681618769802E-3</v>
      </c>
      <c r="Q149" s="21">
        <v>2.669809653627884E-3</v>
      </c>
      <c r="R149" s="21">
        <v>2.7019632413183932E-3</v>
      </c>
      <c r="S149" s="21">
        <v>2.7336015275372214E-3</v>
      </c>
      <c r="T149" s="21">
        <v>2.7647068022070274E-3</v>
      </c>
      <c r="U149" s="21">
        <v>2.7952486097825762E-3</v>
      </c>
      <c r="V149" s="21">
        <v>2.8252125231141658E-3</v>
      </c>
      <c r="W149" s="21">
        <v>2.8545749936021987E-3</v>
      </c>
      <c r="X149" s="21">
        <v>2.8833184808436767E-3</v>
      </c>
      <c r="Y149" s="21">
        <v>2.9114356336867133E-3</v>
      </c>
      <c r="Z149" s="21">
        <v>2.9389131645798112E-3</v>
      </c>
      <c r="AA149" s="21">
        <v>2.9657305275194654E-3</v>
      </c>
      <c r="AB149" s="21">
        <v>2.991880747020679E-3</v>
      </c>
      <c r="AC149" s="21">
        <v>3.0173433818667206E-3</v>
      </c>
      <c r="AD149" s="21">
        <v>3.0421108066559358E-3</v>
      </c>
      <c r="AE149" s="21">
        <v>3.0661838206328604E-3</v>
      </c>
      <c r="AF149" s="21">
        <v>3.0895386801514328E-3</v>
      </c>
      <c r="AG149" s="21">
        <v>3.1121786191588758E-3</v>
      </c>
      <c r="AH149" s="21">
        <v>3.1341086290965535E-3</v>
      </c>
      <c r="AI149" s="21">
        <v>3.1553111645104197E-3</v>
      </c>
      <c r="AJ149" s="21">
        <v>3.1757691655547623E-3</v>
      </c>
      <c r="AK149" s="21">
        <v>3.1954660807547181E-3</v>
      </c>
      <c r="AL149" s="21">
        <v>3.2143858892202627E-3</v>
      </c>
      <c r="AM149" s="21">
        <v>3.2325131222701356E-3</v>
      </c>
      <c r="AN149" s="21">
        <v>3.249832884425043E-3</v>
      </c>
      <c r="AO149" s="21">
        <v>3.2663308737304127E-3</v>
      </c>
      <c r="AP149" s="21">
        <v>3.2819934013700496E-3</v>
      </c>
      <c r="AQ149" s="21">
        <v>3.2968074105331627E-3</v>
      </c>
      <c r="AR149" s="21">
        <v>3.3107604944984958E-3</v>
      </c>
      <c r="AS149" s="21">
        <v>3.3238409139006104E-3</v>
      </c>
      <c r="AT149" s="21">
        <v>3.3360376131447763E-3</v>
      </c>
      <c r="AU149" s="21">
        <v>3.3473402359384388E-3</v>
      </c>
      <c r="AV149" s="21">
        <v>3.3577391399087979E-3</v>
      </c>
      <c r="AW149" s="21">
        <v>3.3672254102776952E-3</v>
      </c>
      <c r="AX149" s="21">
        <v>3.3757908725667212E-3</v>
      </c>
      <c r="AY149" s="21">
        <v>3.3834281043072655E-3</v>
      </c>
      <c r="AZ149" s="21">
        <v>3.3901304457320857E-3</v>
      </c>
      <c r="BA149" s="21">
        <v>3.3958920094268852E-3</v>
      </c>
      <c r="BB149" s="21">
        <v>3.4007076889223786E-3</v>
      </c>
      <c r="BC149" s="21"/>
    </row>
    <row r="150" spans="1:55" ht="14.4" x14ac:dyDescent="0.3">
      <c r="B150" s="369"/>
      <c r="C150" s="9" t="s">
        <v>133</v>
      </c>
      <c r="D150" s="365"/>
      <c r="E150" s="364"/>
      <c r="F150" s="382"/>
      <c r="G150" s="21">
        <v>0</v>
      </c>
      <c r="H150" s="21">
        <v>0</v>
      </c>
      <c r="I150" s="21">
        <v>0</v>
      </c>
      <c r="J150" s="21">
        <v>0</v>
      </c>
      <c r="K150" s="21">
        <v>0</v>
      </c>
      <c r="L150" s="21">
        <v>0</v>
      </c>
      <c r="M150" s="21">
        <v>0</v>
      </c>
      <c r="N150" s="21">
        <v>0</v>
      </c>
      <c r="O150" s="21">
        <v>0</v>
      </c>
      <c r="P150" s="21">
        <v>0</v>
      </c>
      <c r="Q150" s="21">
        <v>0</v>
      </c>
      <c r="R150" s="21">
        <v>0</v>
      </c>
      <c r="S150" s="21">
        <v>0</v>
      </c>
      <c r="T150" s="21">
        <v>0</v>
      </c>
      <c r="U150" s="21">
        <v>0</v>
      </c>
      <c r="V150" s="21">
        <v>0</v>
      </c>
      <c r="W150" s="21">
        <v>0</v>
      </c>
      <c r="X150" s="21">
        <v>0</v>
      </c>
      <c r="Y150" s="21">
        <v>0</v>
      </c>
      <c r="Z150" s="21">
        <v>0</v>
      </c>
      <c r="AA150" s="21">
        <v>0</v>
      </c>
      <c r="AB150" s="21">
        <v>0</v>
      </c>
      <c r="AC150" s="21">
        <v>0</v>
      </c>
      <c r="AD150" s="21">
        <v>0</v>
      </c>
      <c r="AE150" s="21">
        <v>0</v>
      </c>
      <c r="AF150" s="21">
        <v>0</v>
      </c>
      <c r="AG150" s="21">
        <v>0</v>
      </c>
      <c r="AH150" s="21">
        <v>0</v>
      </c>
      <c r="AI150" s="21">
        <v>0</v>
      </c>
      <c r="AJ150" s="21">
        <v>0</v>
      </c>
      <c r="AK150" s="21">
        <v>0</v>
      </c>
      <c r="AL150" s="21">
        <v>0</v>
      </c>
      <c r="AM150" s="21">
        <v>0</v>
      </c>
      <c r="AN150" s="21">
        <v>0</v>
      </c>
      <c r="AO150" s="21">
        <v>0</v>
      </c>
      <c r="AP150" s="21">
        <v>0</v>
      </c>
      <c r="AQ150" s="21">
        <v>0</v>
      </c>
      <c r="AR150" s="21">
        <v>0</v>
      </c>
      <c r="AS150" s="21">
        <v>0</v>
      </c>
      <c r="AT150" s="21">
        <v>0</v>
      </c>
      <c r="AU150" s="21">
        <v>0</v>
      </c>
      <c r="AV150" s="21">
        <v>0</v>
      </c>
      <c r="AW150" s="21">
        <v>0</v>
      </c>
      <c r="AX150" s="21">
        <v>0</v>
      </c>
      <c r="AY150" s="21">
        <v>0</v>
      </c>
      <c r="AZ150" s="21">
        <v>0</v>
      </c>
      <c r="BA150" s="21">
        <v>0</v>
      </c>
      <c r="BB150" s="21">
        <v>0</v>
      </c>
      <c r="BC150" s="21"/>
    </row>
    <row r="151" spans="1:55" ht="14.4" customHeight="1" x14ac:dyDescent="0.3">
      <c r="A151" s="16" t="s">
        <v>115</v>
      </c>
      <c r="B151" s="16"/>
      <c r="C151" s="31" t="s">
        <v>695</v>
      </c>
      <c r="D151" s="351"/>
      <c r="E151" s="351"/>
      <c r="F151" s="35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row>
    <row r="152" spans="1:55" ht="14.4" x14ac:dyDescent="0.3">
      <c r="B152" s="369" t="s">
        <v>293</v>
      </c>
      <c r="C152" s="9" t="s">
        <v>294</v>
      </c>
      <c r="D152" s="365" t="s">
        <v>207</v>
      </c>
      <c r="E152" s="364" t="s">
        <v>229</v>
      </c>
      <c r="F152" s="382" t="s">
        <v>207</v>
      </c>
      <c r="G152" s="21">
        <v>0</v>
      </c>
      <c r="H152" s="21">
        <v>0</v>
      </c>
      <c r="I152" s="21">
        <v>0</v>
      </c>
      <c r="J152" s="21">
        <v>0</v>
      </c>
      <c r="K152" s="21">
        <v>0</v>
      </c>
      <c r="L152" s="21">
        <v>0</v>
      </c>
      <c r="M152" s="21">
        <v>0</v>
      </c>
      <c r="N152" s="21">
        <v>0</v>
      </c>
      <c r="O152" s="21">
        <v>0</v>
      </c>
      <c r="P152" s="21">
        <v>0</v>
      </c>
      <c r="Q152" s="21">
        <v>0</v>
      </c>
      <c r="R152" s="21">
        <v>0</v>
      </c>
      <c r="S152" s="21">
        <v>0</v>
      </c>
      <c r="T152" s="21">
        <v>0</v>
      </c>
      <c r="U152" s="21">
        <v>0</v>
      </c>
      <c r="V152" s="21">
        <v>0</v>
      </c>
      <c r="W152" s="21">
        <v>0</v>
      </c>
      <c r="X152" s="21">
        <v>0</v>
      </c>
      <c r="Y152" s="21">
        <v>0</v>
      </c>
      <c r="Z152" s="21">
        <v>0</v>
      </c>
      <c r="AA152" s="21">
        <v>0</v>
      </c>
      <c r="AB152" s="21">
        <v>0</v>
      </c>
      <c r="AC152" s="21">
        <v>0</v>
      </c>
      <c r="AD152" s="21">
        <v>0</v>
      </c>
      <c r="AE152" s="21">
        <v>0</v>
      </c>
      <c r="AF152" s="21">
        <v>0</v>
      </c>
      <c r="AG152" s="21">
        <v>0</v>
      </c>
      <c r="AH152" s="21">
        <v>0</v>
      </c>
      <c r="AI152" s="21">
        <v>0</v>
      </c>
      <c r="AJ152" s="21">
        <v>0</v>
      </c>
      <c r="AK152" s="21">
        <v>0</v>
      </c>
      <c r="AL152" s="21">
        <v>0</v>
      </c>
      <c r="AM152" s="21">
        <v>0</v>
      </c>
      <c r="AN152" s="21">
        <v>0</v>
      </c>
      <c r="AO152" s="21">
        <v>0</v>
      </c>
      <c r="AP152" s="21">
        <v>0</v>
      </c>
      <c r="AQ152" s="21">
        <v>0</v>
      </c>
      <c r="AR152" s="21">
        <v>0</v>
      </c>
      <c r="AS152" s="21">
        <v>0</v>
      </c>
      <c r="AT152" s="21">
        <v>0</v>
      </c>
      <c r="AU152" s="21">
        <v>0</v>
      </c>
      <c r="AV152" s="21">
        <v>0</v>
      </c>
      <c r="AW152" s="21">
        <v>0</v>
      </c>
      <c r="AX152" s="21">
        <v>0</v>
      </c>
      <c r="AY152" s="21">
        <v>0</v>
      </c>
      <c r="AZ152" s="21">
        <v>0</v>
      </c>
      <c r="BA152" s="21">
        <v>0</v>
      </c>
      <c r="BB152" s="21">
        <v>0</v>
      </c>
      <c r="BC152" s="21"/>
    </row>
    <row r="153" spans="1:55" ht="14.4" x14ac:dyDescent="0.3">
      <c r="B153" s="369"/>
      <c r="C153" s="9" t="s">
        <v>295</v>
      </c>
      <c r="D153" s="365"/>
      <c r="E153" s="364"/>
      <c r="F153" s="382"/>
      <c r="G153" s="21">
        <v>1.6390823144710998E-4</v>
      </c>
      <c r="H153" s="21">
        <v>1.0039100693319076E-4</v>
      </c>
      <c r="I153" s="21">
        <v>5.9760462103891296E-5</v>
      </c>
      <c r="J153" s="21">
        <v>3.4111658383427623E-5</v>
      </c>
      <c r="K153" s="21">
        <v>1.9821841909838098E-5</v>
      </c>
      <c r="L153" s="21">
        <v>1.1885579566359984E-5</v>
      </c>
      <c r="M153" s="21">
        <v>7.0185587616474176E-6</v>
      </c>
      <c r="N153" s="21">
        <v>4.1327947210574689E-6</v>
      </c>
      <c r="O153" s="21">
        <v>2.4427598123572697E-6</v>
      </c>
      <c r="P153" s="21">
        <v>1.4452788305170939E-6</v>
      </c>
      <c r="Q153" s="21">
        <v>8.6587596570455533E-7</v>
      </c>
      <c r="R153" s="21">
        <v>5.1333695526645934E-7</v>
      </c>
      <c r="S153" s="21">
        <v>3.0475690083013979E-7</v>
      </c>
      <c r="T153" s="21">
        <v>1.8146898613848811E-7</v>
      </c>
      <c r="U153" s="21">
        <v>1.0769028127056646E-7</v>
      </c>
      <c r="V153" s="21">
        <v>6.4088882585561349E-8</v>
      </c>
      <c r="W153" s="21">
        <v>3.8236205022763675E-8</v>
      </c>
      <c r="X153" s="21">
        <v>2.2708658414457104E-8</v>
      </c>
      <c r="Y153" s="21">
        <v>1.3518688173520437E-8</v>
      </c>
      <c r="Z153" s="21">
        <v>8.0456912102650324E-9</v>
      </c>
      <c r="AA153" s="21">
        <v>4.7647601196712463E-9</v>
      </c>
      <c r="AB153" s="21">
        <v>2.8374459361472753E-9</v>
      </c>
      <c r="AC153" s="21">
        <v>1.6826629053442615E-9</v>
      </c>
      <c r="AD153" s="21">
        <v>1.0052797542444014E-9</v>
      </c>
      <c r="AE153" s="21">
        <v>5.9626339341751456E-10</v>
      </c>
      <c r="AF153" s="21">
        <v>3.5419574453779298E-10</v>
      </c>
      <c r="AG153" s="21">
        <v>2.1059086432896619E-10</v>
      </c>
      <c r="AH153" s="21">
        <v>1.2522571391761652E-10</v>
      </c>
      <c r="AI153" s="21">
        <v>7.446449063934488E-11</v>
      </c>
      <c r="AJ153" s="21">
        <v>4.429455460267725E-11</v>
      </c>
      <c r="AK153" s="21">
        <v>2.6349922600089082E-11</v>
      </c>
      <c r="AL153" s="21">
        <v>1.5669573633846494E-11</v>
      </c>
      <c r="AM153" s="21">
        <v>9.3250621268568802E-12</v>
      </c>
      <c r="AN153" s="21">
        <v>5.5489999153658458E-12</v>
      </c>
      <c r="AO153" s="21">
        <v>3.3036478772582935E-12</v>
      </c>
      <c r="AP153" s="21">
        <v>1.9659324817497357E-12</v>
      </c>
      <c r="AQ153" s="21">
        <v>1.1701789297894381E-12</v>
      </c>
      <c r="AR153" s="21">
        <v>6.9664522285174474E-13</v>
      </c>
      <c r="AS153" s="21">
        <v>4.1477055854323377E-13</v>
      </c>
      <c r="AT153" s="21">
        <v>2.469570396967733E-13</v>
      </c>
      <c r="AU153" s="21">
        <v>1.4706452791270778E-13</v>
      </c>
      <c r="AV153" s="21">
        <v>8.7585267073343398E-14</v>
      </c>
      <c r="AW153" s="21">
        <v>5.2168643788830176E-14</v>
      </c>
      <c r="AX153" s="21">
        <v>3.1075484127952454E-14</v>
      </c>
      <c r="AY153" s="21">
        <v>1.8512472768837995E-14</v>
      </c>
      <c r="AZ153" s="21">
        <v>1.1029030256514195E-14</v>
      </c>
      <c r="BA153" s="21">
        <v>6.5713787808947727E-15</v>
      </c>
      <c r="BB153" s="21">
        <v>3.91573990450679E-15</v>
      </c>
      <c r="BC153" s="21"/>
    </row>
    <row r="154" spans="1:55" ht="14.4" customHeight="1" x14ac:dyDescent="0.3">
      <c r="A154" s="16" t="s">
        <v>115</v>
      </c>
      <c r="B154" s="16"/>
      <c r="C154" s="31" t="s">
        <v>696</v>
      </c>
      <c r="D154" s="351"/>
      <c r="E154" s="351"/>
      <c r="F154" s="35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c r="AV154" s="21"/>
      <c r="AW154" s="21"/>
      <c r="AX154" s="21"/>
      <c r="AY154" s="21"/>
      <c r="AZ154" s="21"/>
      <c r="BA154" s="21"/>
      <c r="BB154" s="21"/>
      <c r="BC154" s="21"/>
    </row>
    <row r="155" spans="1:55" ht="15" customHeight="1" x14ac:dyDescent="0.3">
      <c r="A155" s="383"/>
      <c r="B155" s="369" t="s">
        <v>296</v>
      </c>
      <c r="C155" s="9" t="s">
        <v>297</v>
      </c>
      <c r="E155" s="38" t="s">
        <v>208</v>
      </c>
      <c r="F155" s="38" t="s">
        <v>298</v>
      </c>
      <c r="G155" s="9">
        <v>4175809.3487110822</v>
      </c>
      <c r="H155" s="9">
        <v>4229517.3719885061</v>
      </c>
      <c r="I155" s="9">
        <v>4282716.7792041115</v>
      </c>
      <c r="J155" s="9">
        <v>4335348.0027110176</v>
      </c>
      <c r="K155" s="9">
        <v>4387391.1102581536</v>
      </c>
      <c r="L155" s="9">
        <v>4438808.7575130519</v>
      </c>
      <c r="M155" s="9">
        <v>4489593.6130730212</v>
      </c>
      <c r="N155" s="9">
        <v>4539688.6294608563</v>
      </c>
      <c r="O155" s="9">
        <v>4589067.0012354618</v>
      </c>
      <c r="P155" s="9">
        <v>4637694.1333403802</v>
      </c>
      <c r="Q155" s="9">
        <v>4685529.9321671342</v>
      </c>
      <c r="R155" s="9">
        <v>4732554.6945709884</v>
      </c>
      <c r="S155" s="9">
        <v>4770294.810261392</v>
      </c>
      <c r="T155" s="9">
        <v>4810704.5345466258</v>
      </c>
      <c r="U155" s="9">
        <v>4850122.7540670084</v>
      </c>
      <c r="V155" s="9">
        <v>4888536.9047049489</v>
      </c>
      <c r="W155" s="9">
        <v>4925921.2721955432</v>
      </c>
      <c r="X155" s="9">
        <v>4962258.903962682</v>
      </c>
      <c r="Y155" s="9">
        <v>4997547.4760932997</v>
      </c>
      <c r="Z155" s="9">
        <v>5031776.0560285682</v>
      </c>
      <c r="AA155" s="9">
        <v>5064923.3311430467</v>
      </c>
      <c r="AB155" s="9">
        <v>5096987.3512497116</v>
      </c>
      <c r="AC155" s="9">
        <v>5127946.9414160289</v>
      </c>
      <c r="AD155" s="9">
        <v>5157799.1192919919</v>
      </c>
      <c r="AE155" s="9">
        <v>5186552.6767988065</v>
      </c>
      <c r="AF155" s="9">
        <v>5214181.621551143</v>
      </c>
      <c r="AG155" s="9">
        <v>5240697.9624154801</v>
      </c>
      <c r="AH155" s="9">
        <v>5270132.8600430554</v>
      </c>
      <c r="AI155" s="9">
        <v>5298497.1142830607</v>
      </c>
      <c r="AJ155" s="9">
        <v>5325771.4076065328</v>
      </c>
      <c r="AK155" s="9">
        <v>5351937.0808481965</v>
      </c>
      <c r="AL155" s="9">
        <v>5376976.1544082584</v>
      </c>
      <c r="AM155" s="9">
        <v>5400871.3487764252</v>
      </c>
      <c r="AN155" s="9">
        <v>5423606.1043454297</v>
      </c>
      <c r="AO155" s="9">
        <v>5445164.6004824005</v>
      </c>
      <c r="AP155" s="9">
        <v>5465531.7738273805</v>
      </c>
      <c r="AQ155" s="9">
        <v>5484693.3357894784</v>
      </c>
      <c r="AR155" s="9">
        <v>5502635.7892122595</v>
      </c>
      <c r="AS155" s="9">
        <v>5519346.4441812402</v>
      </c>
      <c r="AT155" s="9">
        <v>5534813.4329476459</v>
      </c>
      <c r="AU155" s="9">
        <v>5549025.723943891</v>
      </c>
      <c r="AV155" s="9">
        <v>5561973.1348676803</v>
      </c>
      <c r="AW155" s="9">
        <v>5573646.3448130563</v>
      </c>
      <c r="AX155" s="9">
        <v>5584036.9054282056</v>
      </c>
      <c r="AY155" s="9">
        <v>5593137.2510813484</v>
      </c>
      <c r="AZ155" s="9">
        <v>5600940.7080176519</v>
      </c>
      <c r="BA155" s="9">
        <v>5607441.5024916781</v>
      </c>
      <c r="BB155" s="9">
        <v>5612634.7678615404</v>
      </c>
    </row>
    <row r="156" spans="1:55" ht="15" customHeight="1" x14ac:dyDescent="0.3">
      <c r="A156" s="383"/>
      <c r="B156" s="369"/>
      <c r="C156" s="9" t="s">
        <v>299</v>
      </c>
      <c r="E156" s="382" t="s">
        <v>300</v>
      </c>
      <c r="F156" s="38" t="s">
        <v>298</v>
      </c>
      <c r="G156" s="9">
        <f>G155*(35.9+'CC70 - %'!G69)/100</f>
        <v>1499115.5561872784</v>
      </c>
      <c r="H156" s="9">
        <f>H155*(35.9+'CC70 - %'!H69)/100</f>
        <v>1518396.7365438736</v>
      </c>
      <c r="I156" s="9">
        <f>I155*(35.9+'CC70 - %'!I69)/100</f>
        <v>1537495.323734276</v>
      </c>
      <c r="J156" s="9">
        <f>J155*(35.9+'CC70 - %'!J69)/100</f>
        <v>1556389.9329732552</v>
      </c>
      <c r="K156" s="9">
        <f>K155*(35.9+'CC70 - %'!K69)/100</f>
        <v>1575073.4085826769</v>
      </c>
      <c r="L156" s="9">
        <f>L155*(35.9+'CC70 - %'!L69)/100</f>
        <v>1593532.3439471857</v>
      </c>
      <c r="M156" s="9">
        <f>M155*(35.9+'CC70 - %'!M69)/100</f>
        <v>1611764.1070932143</v>
      </c>
      <c r="N156" s="9">
        <f>N155*(35.9+'CC70 - %'!N69)/100</f>
        <v>1629748.2179764474</v>
      </c>
      <c r="O156" s="9">
        <f>O155*(35.9+'CC70 - %'!O69)/100</f>
        <v>1658947.7209466195</v>
      </c>
      <c r="P156" s="9">
        <f>P155*(35.9+'CC70 - %'!P69)/100</f>
        <v>1688120.6645358982</v>
      </c>
      <c r="Q156" s="9">
        <f>Q155*(35.9+'CC70 - %'!Q69)/100</f>
        <v>1717246.7201392546</v>
      </c>
      <c r="R156" s="9">
        <f>R155*(35.9+'CC70 - %'!R69)/100</f>
        <v>1746312.6822966945</v>
      </c>
      <c r="S156" s="9">
        <f>S155*(35.9+'CC70 - %'!S69)/100</f>
        <v>1772164.5220121071</v>
      </c>
      <c r="T156" s="9">
        <f>T155*(35.9+'CC70 - %'!T69)/100</f>
        <v>1799203.4959204379</v>
      </c>
      <c r="U156" s="9">
        <f>U155*(35.9+'CC70 - %'!U69)/100</f>
        <v>1826071.2169062286</v>
      </c>
      <c r="V156" s="9">
        <f>V155*(35.9+'CC70 - %'!V69)/100</f>
        <v>1852755.4868831756</v>
      </c>
      <c r="W156" s="9">
        <f>W155*(35.9+'CC70 - %'!W69)/100</f>
        <v>1879238.9653425997</v>
      </c>
      <c r="X156" s="9">
        <f>X155*(35.9+'CC70 - %'!X69)/100</f>
        <v>1905507.4191216698</v>
      </c>
      <c r="Y156" s="9">
        <f>Y155*(35.9+'CC70 - %'!Y69)/100</f>
        <v>1931552.0995100602</v>
      </c>
      <c r="Z156" s="9">
        <f>Z155*(35.9+'CC70 - %'!Z69)/100</f>
        <v>1957360.8857951129</v>
      </c>
      <c r="AA156" s="9">
        <f>AA155*(35.9+'CC70 - %'!AA69)/100</f>
        <v>1982917.4841425028</v>
      </c>
      <c r="AB156" s="9">
        <f>AB155*(35.9+'CC70 - %'!AB69)/100</f>
        <v>2008213.0163923863</v>
      </c>
      <c r="AC156" s="9">
        <f>AC155*(35.9+'CC70 - %'!AC69)/100</f>
        <v>2033230.9622714554</v>
      </c>
      <c r="AD156" s="9">
        <f>AD155*(35.9+'CC70 - %'!AD69)/100</f>
        <v>2057961.8485975049</v>
      </c>
      <c r="AE156" s="9">
        <f>AE155*(35.9+'CC70 - %'!AE69)/100</f>
        <v>2082400.8997347208</v>
      </c>
      <c r="AF156" s="9">
        <f>AF155*(35.9+'CC70 - %'!AF69)/100</f>
        <v>2106529.3751066616</v>
      </c>
      <c r="AG156" s="9">
        <f>AG155*(35.9+'CC70 - %'!AG69)/100</f>
        <v>2130343.7217218927</v>
      </c>
      <c r="AH156" s="9">
        <f>AH155*(35.9+'CC70 - %'!AH69)/100</f>
        <v>2155484.3397576096</v>
      </c>
      <c r="AI156" s="9">
        <f>AI155*(35.9+'CC70 - %'!AI69)/100</f>
        <v>2180331.5625274796</v>
      </c>
      <c r="AJ156" s="9">
        <f>AJ155*(35.9+'CC70 - %'!AJ69)/100</f>
        <v>2204869.3627491044</v>
      </c>
      <c r="AK156" s="9">
        <f>AK155*(35.9+'CC70 - %'!AK69)/100</f>
        <v>2229081.7941732737</v>
      </c>
      <c r="AL156" s="9">
        <f>AL155*(35.9+'CC70 - %'!AL69)/100</f>
        <v>2252953.0086970599</v>
      </c>
      <c r="AM156" s="9">
        <f>AM155*(35.9+'CC70 - %'!AM69)/100</f>
        <v>2276467.2735092631</v>
      </c>
      <c r="AN156" s="9">
        <f>AN155*(35.9+'CC70 - %'!AN69)/100</f>
        <v>2299608.9882424618</v>
      </c>
      <c r="AO156" s="9">
        <f>AO155*(35.9+'CC70 - %'!AO69)/100</f>
        <v>2322362.7021057438</v>
      </c>
      <c r="AP156" s="9">
        <f>AP155*(35.9+'CC70 - %'!AP69)/100</f>
        <v>2344713.1309719463</v>
      </c>
      <c r="AQ156" s="9">
        <f>AQ155*(35.9+'CC70 - %'!AQ69)/100</f>
        <v>2366645.1743931598</v>
      </c>
      <c r="AR156" s="9">
        <f>AR155*(35.9+'CC70 - %'!AR69)/100</f>
        <v>2388143.9325181204</v>
      </c>
      <c r="AS156" s="9">
        <f>AS155*(35.9+'CC70 - %'!AS69)/100</f>
        <v>2409194.7228851113</v>
      </c>
      <c r="AT156" s="9">
        <f>AT155*(35.9+'CC70 - %'!AT69)/100</f>
        <v>2429783.0970640164</v>
      </c>
      <c r="AU156" s="9">
        <f>AU155*(35.9+'CC70 - %'!AU69)/100</f>
        <v>2449894.8571212278</v>
      </c>
      <c r="AV156" s="9">
        <f>AV155*(35.9+'CC70 - %'!AV69)/100</f>
        <v>2469516.07188125</v>
      </c>
      <c r="AW156" s="9">
        <f>AW155*(35.9+'CC70 - %'!AW69)/100</f>
        <v>2488633.0929590296</v>
      </c>
      <c r="AX156" s="9">
        <f>AX155*(35.9+'CC70 - %'!AX69)/100</f>
        <v>2507232.5705372645</v>
      </c>
      <c r="AY156" s="9">
        <f>AY155*(35.9+'CC70 - %'!AY69)/100</f>
        <v>2525301.4688632288</v>
      </c>
      <c r="AZ156" s="9">
        <f>AZ155*(35.9+'CC70 - %'!AZ69)/100</f>
        <v>2542827.0814400138</v>
      </c>
      <c r="BA156" s="9">
        <f>BA155*(35.9+'CC70 - %'!BA69)/100</f>
        <v>2559797.0458874507</v>
      </c>
      <c r="BB156" s="9">
        <f>BB155*(35.9+'CC70 - %'!BB69)/100</f>
        <v>2576199.3584484472</v>
      </c>
    </row>
    <row r="157" spans="1:55" ht="15" customHeight="1" x14ac:dyDescent="0.3">
      <c r="A157" s="383"/>
      <c r="B157" s="369"/>
      <c r="C157" s="9" t="s">
        <v>301</v>
      </c>
      <c r="E157" s="382"/>
      <c r="F157" s="38" t="s">
        <v>298</v>
      </c>
      <c r="G157" s="9">
        <f>G155*(24.8-'CC70 - %'!G70)/100</f>
        <v>1035600.7184803485</v>
      </c>
      <c r="H157" s="9">
        <f>H155*(24.8-'CC70 - %'!H70)/100</f>
        <v>1048920.3082531495</v>
      </c>
      <c r="I157" s="9">
        <f>I155*(24.8-'CC70 - %'!I70)/100</f>
        <v>1062113.7612426197</v>
      </c>
      <c r="J157" s="9">
        <f>J155*(24.8-'CC70 - %'!J70)/100</f>
        <v>1075166.3046723325</v>
      </c>
      <c r="K157" s="9">
        <f>K155*(24.8-'CC70 - %'!K70)/100</f>
        <v>1088072.9953440221</v>
      </c>
      <c r="L157" s="9">
        <f>L155*(24.8-'CC70 - %'!L70)/100</f>
        <v>1100824.5718632368</v>
      </c>
      <c r="M157" s="9">
        <f>M155*(24.8-'CC70 - %'!M70)/100</f>
        <v>1113419.2160421093</v>
      </c>
      <c r="N157" s="9">
        <f>N155*(24.8-'CC70 - %'!N70)/100</f>
        <v>1125842.7801062923</v>
      </c>
      <c r="O157" s="9">
        <f>O155*(24.8-'CC70 - %'!O70)/100</f>
        <v>1132352.2825548502</v>
      </c>
      <c r="P157" s="9">
        <f>P155*(24.8-'CC70 - %'!P70)/100</f>
        <v>1138553.9097350633</v>
      </c>
      <c r="Q157" s="9">
        <f>Q155*(24.8-'CC70 - %'!Q70)/100</f>
        <v>1144440.6859318225</v>
      </c>
      <c r="R157" s="9">
        <f>R155*(24.8-'CC70 - %'!R70)/100</f>
        <v>1150010.7907807501</v>
      </c>
      <c r="S157" s="9">
        <f>S155*(24.8-'CC70 - %'!S70)/100</f>
        <v>1153218.7703806916</v>
      </c>
      <c r="T157" s="9">
        <f>T155*(24.8-'CC70 - %'!T70)/100</f>
        <v>1156974.4405584636</v>
      </c>
      <c r="U157" s="9">
        <f>U155*(24.8-'CC70 - %'!U70)/100</f>
        <v>1160391.8689105317</v>
      </c>
      <c r="V157" s="9">
        <f>V155*(24.8-'CC70 - %'!V70)/100</f>
        <v>1163471.7833197778</v>
      </c>
      <c r="W157" s="9">
        <f>W155*(24.8-'CC70 - %'!W70)/100</f>
        <v>1166211.8611922949</v>
      </c>
      <c r="X157" s="9">
        <f>X155*(24.8-'CC70 - %'!X70)/100</f>
        <v>1168611.9718832115</v>
      </c>
      <c r="Y157" s="9">
        <f>Y155*(24.8-'CC70 - %'!Y70)/100</f>
        <v>1170675.4962748555</v>
      </c>
      <c r="Z157" s="9">
        <f>Z155*(24.8-'CC70 - %'!Z70)/100</f>
        <v>1172403.8210546563</v>
      </c>
      <c r="AA157" s="9">
        <f>AA155*(24.8-'CC70 - %'!AA70)/100</f>
        <v>1173795.9819924012</v>
      </c>
      <c r="AB157" s="9">
        <f>AB155*(24.8-'CC70 - %'!AB70)/100</f>
        <v>1174855.5844630585</v>
      </c>
      <c r="AC157" s="9">
        <f>AC155*(24.8-'CC70 - %'!AC70)/100</f>
        <v>1175581.8363196247</v>
      </c>
      <c r="AD157" s="9">
        <f>AD155*(24.8-'CC70 - %'!AD70)/100</f>
        <v>1175978.1991985741</v>
      </c>
      <c r="AE157" s="9">
        <f>AE155*(24.8-'CC70 - %'!AE70)/100</f>
        <v>1176050.8194641294</v>
      </c>
      <c r="AF157" s="9">
        <f>AF155*(24.8-'CC70 - %'!AF70)/100</f>
        <v>1175797.9556597827</v>
      </c>
      <c r="AG157" s="9">
        <f>AG155*(24.8-'CC70 - %'!AG70)/100</f>
        <v>1175226.5180716715</v>
      </c>
      <c r="AH157" s="9">
        <f>AH155*(24.8-'CC70 - %'!AH70)/100</f>
        <v>1175239.6277896015</v>
      </c>
      <c r="AI157" s="9">
        <f>AI155*(24.8-'CC70 - %'!AI70)/100</f>
        <v>1174941.7350922688</v>
      </c>
      <c r="AJ157" s="9">
        <f>AJ155*(24.8-'CC70 - %'!AJ70)/100</f>
        <v>1174332.5953772406</v>
      </c>
      <c r="AK157" s="9">
        <f>AK155*(24.8-'CC70 - %'!AK70)/100</f>
        <v>1173412.2049759671</v>
      </c>
      <c r="AL157" s="9">
        <f>AL155*(24.8-'CC70 - %'!AL70)/100</f>
        <v>1172180.8016610004</v>
      </c>
      <c r="AM157" s="9">
        <f>AM155*(24.8-'CC70 - %'!AM70)/100</f>
        <v>1170638.8648472903</v>
      </c>
      <c r="AN157" s="9">
        <f>AN155*(24.8-'CC70 - %'!AN70)/100</f>
        <v>1168787.11548644</v>
      </c>
      <c r="AO157" s="9">
        <f>AO155*(24.8-'CC70 - %'!AO70)/100</f>
        <v>1166626.5156533543</v>
      </c>
      <c r="AP157" s="9">
        <f>AP155*(24.8-'CC70 - %'!AP70)/100</f>
        <v>1164158.2678252321</v>
      </c>
      <c r="AQ157" s="9">
        <f>AQ155*(24.8-'CC70 - %'!AQ70)/100</f>
        <v>1161383.8138534222</v>
      </c>
      <c r="AR157" s="9">
        <f>AR155*(24.8-'CC70 - %'!AR70)/100</f>
        <v>1158304.8336291807</v>
      </c>
      <c r="AS157" s="9">
        <f>AS155*(24.8-'CC70 - %'!AS70)/100</f>
        <v>1154923.2434449245</v>
      </c>
      <c r="AT157" s="9">
        <f>AT155*(24.8-'CC70 - %'!AT70)/100</f>
        <v>1151241.1940531104</v>
      </c>
      <c r="AU157" s="9">
        <f>AU155*(24.8-'CC70 - %'!AU70)/100</f>
        <v>1147261.0684253995</v>
      </c>
      <c r="AV157" s="9">
        <f>AV155*(24.8-'CC70 - %'!AV70)/100</f>
        <v>1142985.4792153083</v>
      </c>
      <c r="AW157" s="9">
        <f>AW155*(24.8-'CC70 - %'!AW70)/100</f>
        <v>1138417.2659280668</v>
      </c>
      <c r="AX157" s="9">
        <f>AX155*(24.8-'CC70 - %'!AX70)/100</f>
        <v>1133559.4918019257</v>
      </c>
      <c r="AY157" s="9">
        <f>AY155*(24.8-'CC70 - %'!AY70)/100</f>
        <v>1128415.4404056622</v>
      </c>
      <c r="AZ157" s="9">
        <f>AZ155*(24.8-'CC70 - %'!AZ70)/100</f>
        <v>1122988.6119575393</v>
      </c>
      <c r="BA157" s="9">
        <f>BA155*(24.8-'CC70 - %'!BA70)/100</f>
        <v>1117282.7193714669</v>
      </c>
      <c r="BB157" s="9">
        <f>BB155*(24.8-'CC70 - %'!BB70)/100</f>
        <v>1111301.684036585</v>
      </c>
    </row>
    <row r="158" spans="1:55" ht="15" customHeight="1" x14ac:dyDescent="0.3">
      <c r="A158" s="383"/>
      <c r="B158" s="369"/>
      <c r="C158" s="9" t="s">
        <v>302</v>
      </c>
      <c r="E158" s="382"/>
      <c r="F158" s="38" t="s">
        <v>298</v>
      </c>
      <c r="G158" s="9">
        <f>G155*(39.3-'CC70 - %'!G71)/100</f>
        <v>1641093.0740434551</v>
      </c>
      <c r="H158" s="9">
        <f>H155*(39.3-'CC70 - %'!H71)/100</f>
        <v>1662200.3271914828</v>
      </c>
      <c r="I158" s="9">
        <f>I155*(39.3-'CC70 - %'!I71)/100</f>
        <v>1683107.6942272156</v>
      </c>
      <c r="J158" s="9">
        <f>J155*(39.3-'CC70 - %'!J71)/100</f>
        <v>1703791.7650654297</v>
      </c>
      <c r="K158" s="9">
        <f>K155*(39.3-'CC70 - %'!K71)/100</f>
        <v>1724244.7063314542</v>
      </c>
      <c r="L158" s="9">
        <f>L155*(39.3-'CC70 - %'!L71)/100</f>
        <v>1744451.8417026293</v>
      </c>
      <c r="M158" s="9">
        <f>M155*(39.3-'CC70 - %'!M71)/100</f>
        <v>1764410.2899376971</v>
      </c>
      <c r="N158" s="9">
        <f>N155*(39.3-'CC70 - %'!N71)/100</f>
        <v>1784097.6313781163</v>
      </c>
      <c r="O158" s="9">
        <f>O155*(39.3-'CC70 - %'!O71)/100</f>
        <v>1797766.9977339921</v>
      </c>
      <c r="P158" s="9">
        <f>P155*(39.3-'CC70 - %'!P71)/100</f>
        <v>1811019.5590694183</v>
      </c>
      <c r="Q158" s="9">
        <f>Q155*(39.3-'CC70 - %'!Q71)/100</f>
        <v>1823842.5260960569</v>
      </c>
      <c r="R158" s="9">
        <f>R155*(39.3-'CC70 - %'!R71)/100</f>
        <v>1836231.2214935434</v>
      </c>
      <c r="S158" s="9">
        <f>S155*(39.3-'CC70 - %'!S71)/100</f>
        <v>1844911.5178685933</v>
      </c>
      <c r="T158" s="9">
        <f>T155*(39.3-'CC70 - %'!T71)/100</f>
        <v>1854526.5980677241</v>
      </c>
      <c r="U158" s="9">
        <f>U155*(39.3-'CC70 - %'!U71)/100</f>
        <v>1863659.6682502478</v>
      </c>
      <c r="V158" s="9">
        <f>V155*(39.3-'CC70 - %'!V71)/100</f>
        <v>1872309.6345019951</v>
      </c>
      <c r="W158" s="9">
        <f>W155*(39.3-'CC70 - %'!W71)/100</f>
        <v>1880470.4456606484</v>
      </c>
      <c r="X158" s="9">
        <f>X155*(39.3-'CC70 - %'!X71)/100</f>
        <v>1888139.5129578004</v>
      </c>
      <c r="Y158" s="9">
        <f>Y155*(39.3-'CC70 - %'!Y71)/100</f>
        <v>1895319.8803083836</v>
      </c>
      <c r="Z158" s="9">
        <f>Z155*(39.3-'CC70 - %'!Z71)/100</f>
        <v>1902011.3491787985</v>
      </c>
      <c r="AA158" s="9">
        <f>AA155*(39.3-'CC70 - %'!AA71)/100</f>
        <v>1908209.8650081425</v>
      </c>
      <c r="AB158" s="9">
        <f>AB155*(39.3-'CC70 - %'!AB71)/100</f>
        <v>1913918.7503942666</v>
      </c>
      <c r="AC158" s="9">
        <f>AC155*(39.3-'CC70 - %'!AC71)/100</f>
        <v>1919134.1428249488</v>
      </c>
      <c r="AD158" s="9">
        <f>AD155*(39.3-'CC70 - %'!AD71)/100</f>
        <v>1923859.071495913</v>
      </c>
      <c r="AE158" s="9">
        <f>AE155*(39.3-'CC70 - %'!AE71)/100</f>
        <v>1928100.9575999561</v>
      </c>
      <c r="AF158" s="9">
        <f>AF155*(39.3-'CC70 - %'!AF71)/100</f>
        <v>1931854.2907846984</v>
      </c>
      <c r="AG158" s="9">
        <f>AG155*(39.3-'CC70 - %'!AG71)/100</f>
        <v>1935127.7226219159</v>
      </c>
      <c r="AH158" s="9">
        <f>AH155*(39.3-'CC70 - %'!AH71)/100</f>
        <v>1939408.8924958443</v>
      </c>
      <c r="AI158" s="9">
        <f>AI155*(39.3-'CC70 - %'!AI71)/100</f>
        <v>1943223.8166633123</v>
      </c>
      <c r="AJ158" s="9">
        <f>AJ155*(39.3-'CC70 - %'!AJ71)/100</f>
        <v>1946569.4494801876</v>
      </c>
      <c r="AK158" s="9">
        <f>AK155*(39.3-'CC70 - %'!AK71)/100</f>
        <v>1949443.0816989553</v>
      </c>
      <c r="AL158" s="9">
        <f>AL155*(39.3-'CC70 - %'!AL71)/100</f>
        <v>1951842.3440501976</v>
      </c>
      <c r="AM158" s="9">
        <f>AM155*(39.3-'CC70 - %'!AM71)/100</f>
        <v>1953765.2104198718</v>
      </c>
      <c r="AN158" s="9">
        <f>AN155*(39.3-'CC70 - %'!AN71)/100</f>
        <v>1955210.0006165272</v>
      </c>
      <c r="AO158" s="9">
        <f>AO155*(39.3-'CC70 - %'!AO71)/100</f>
        <v>1956175.3827233023</v>
      </c>
      <c r="AP158" s="9">
        <f>AP155*(39.3-'CC70 - %'!AP71)/100</f>
        <v>1956660.3750302019</v>
      </c>
      <c r="AQ158" s="9">
        <f>AQ155*(39.3-'CC70 - %'!AQ71)/100</f>
        <v>1956664.3475428962</v>
      </c>
      <c r="AR158" s="9">
        <f>AR155*(39.3-'CC70 - %'!AR71)/100</f>
        <v>1956187.0230649582</v>
      </c>
      <c r="AS158" s="9">
        <f>AS155*(39.3-'CC70 - %'!AS71)/100</f>
        <v>1955228.4778512043</v>
      </c>
      <c r="AT158" s="9">
        <f>AT155*(39.3-'CC70 - %'!AT71)/100</f>
        <v>1953789.1418305188</v>
      </c>
      <c r="AU158" s="9">
        <f>AU155*(39.3-'CC70 - %'!AU71)/100</f>
        <v>1951869.7983972635</v>
      </c>
      <c r="AV158" s="9">
        <f>AV155*(39.3-'CC70 - %'!AV71)/100</f>
        <v>1949471.5837711217</v>
      </c>
      <c r="AW158" s="9">
        <f>AW155*(39.3-'CC70 - %'!AW71)/100</f>
        <v>1946595.9859259597</v>
      </c>
      <c r="AX158" s="9">
        <f>AX155*(39.3-'CC70 - %'!AX71)/100</f>
        <v>1943244.8430890155</v>
      </c>
      <c r="AY158" s="9">
        <f>AY155*(39.3-'CC70 - %'!AY71)/100</f>
        <v>1939420.3418124574</v>
      </c>
      <c r="AZ158" s="9">
        <f>AZ155*(39.3-'CC70 - %'!AZ71)/100</f>
        <v>1935125.0146200985</v>
      </c>
      <c r="BA158" s="9">
        <f>BA155*(39.3-'CC70 - %'!BA71)/100</f>
        <v>1930361.7372327598</v>
      </c>
      <c r="BB158" s="9">
        <f>BB155*(39.3-'CC70 - %'!BB71)/100</f>
        <v>1925133.7253765082</v>
      </c>
    </row>
    <row r="159" spans="1:55" ht="15" customHeight="1" x14ac:dyDescent="0.3">
      <c r="A159" s="383"/>
      <c r="B159" s="369"/>
      <c r="C159" s="9" t="s">
        <v>303</v>
      </c>
      <c r="E159" s="38" t="s">
        <v>208</v>
      </c>
      <c r="F159" s="38" t="s">
        <v>304</v>
      </c>
      <c r="G159" s="9">
        <f>(2-Tendencial!$S286)/(2070-2022)+Tendencial!$S286</f>
        <v>1.3591032187665071</v>
      </c>
      <c r="H159" s="9">
        <f>(2-Tendencial!$S286)/(2070-2022)+G159</f>
        <v>1.3727393204948792</v>
      </c>
      <c r="I159" s="9">
        <f>(2-Tendencial!$S286)/(2070-2022)+H159</f>
        <v>1.3863754222232514</v>
      </c>
      <c r="J159" s="9">
        <f>(2-Tendencial!$S286)/(2070-2022)+I159</f>
        <v>1.4000115239516235</v>
      </c>
      <c r="K159" s="9">
        <f>(2-Tendencial!$S286)/(2070-2022)+J159</f>
        <v>1.4136476256799957</v>
      </c>
      <c r="L159" s="9">
        <f>(2-Tendencial!$S286)/(2070-2022)+K159</f>
        <v>1.4272837274083678</v>
      </c>
      <c r="M159" s="9">
        <f>(2-Tendencial!$S286)/(2070-2022)+L159</f>
        <v>1.44091982913674</v>
      </c>
      <c r="N159" s="9">
        <f>(2-Tendencial!$S286)/(2070-2022)+M159</f>
        <v>1.4545559308651121</v>
      </c>
      <c r="O159" s="9">
        <f>(2-Tendencial!$S286)/(2070-2022)+N159</f>
        <v>1.4681920325934843</v>
      </c>
      <c r="P159" s="9">
        <f>(2-Tendencial!$S286)/(2070-2022)+O159</f>
        <v>1.4818281343218564</v>
      </c>
      <c r="Q159" s="9">
        <f>(2-Tendencial!$S286)/(2070-2022)+P159</f>
        <v>1.4954642360502286</v>
      </c>
      <c r="R159" s="9">
        <f>(2-Tendencial!$S286)/(2070-2022)+Q159</f>
        <v>1.5091003377786008</v>
      </c>
      <c r="S159" s="9">
        <f>(2-Tendencial!$S286)/(2070-2022)+R159</f>
        <v>1.5227364395069729</v>
      </c>
      <c r="T159" s="9">
        <f>(2-Tendencial!$S286)/(2070-2022)+S159</f>
        <v>1.5363725412353451</v>
      </c>
      <c r="U159" s="9">
        <f>(2-Tendencial!$S286)/(2070-2022)+T159</f>
        <v>1.5500086429637172</v>
      </c>
      <c r="V159" s="9">
        <f>(2-Tendencial!$S286)/(2070-2022)+U159</f>
        <v>1.5636447446920894</v>
      </c>
      <c r="W159" s="9">
        <f>(2-Tendencial!$S286)/(2070-2022)+V159</f>
        <v>1.5772808464204615</v>
      </c>
      <c r="X159" s="9">
        <f>(2-Tendencial!$S286)/(2070-2022)+W159</f>
        <v>1.5909169481488337</v>
      </c>
      <c r="Y159" s="9">
        <f>(2-Tendencial!$S286)/(2070-2022)+X159</f>
        <v>1.6045530498772058</v>
      </c>
      <c r="Z159" s="9">
        <f>(2-Tendencial!$S286)/(2070-2022)+Y159</f>
        <v>1.618189151605578</v>
      </c>
      <c r="AA159" s="9">
        <f>(2-Tendencial!$S286)/(2070-2022)+Z159</f>
        <v>1.6318252533339501</v>
      </c>
      <c r="AB159" s="9">
        <f>(2-Tendencial!$S286)/(2070-2022)+AA159</f>
        <v>1.6454613550623223</v>
      </c>
      <c r="AC159" s="9">
        <f>(2-Tendencial!$S286)/(2070-2022)+AB159</f>
        <v>1.6590974567906944</v>
      </c>
      <c r="AD159" s="9">
        <f>(2-Tendencial!$S286)/(2070-2022)+AC159</f>
        <v>1.6727335585190666</v>
      </c>
      <c r="AE159" s="9">
        <f>(2-Tendencial!$S286)/(2070-2022)+AD159</f>
        <v>1.6863696602474387</v>
      </c>
      <c r="AF159" s="9">
        <f>(2-Tendencial!$S286)/(2070-2022)+AE159</f>
        <v>1.7000057619758109</v>
      </c>
      <c r="AG159" s="9">
        <f>(2-Tendencial!$S286)/(2070-2022)+AF159</f>
        <v>1.713641863704183</v>
      </c>
      <c r="AH159" s="9">
        <f>(2-Tendencial!$S286)/(2070-2022)+AG159</f>
        <v>1.7272779654325552</v>
      </c>
      <c r="AI159" s="9">
        <f>(2-Tendencial!$S286)/(2070-2022)+AH159</f>
        <v>1.7409140671609273</v>
      </c>
      <c r="AJ159" s="9">
        <f>(2-Tendencial!$S286)/(2070-2022)+AI159</f>
        <v>1.7545501688892995</v>
      </c>
      <c r="AK159" s="9">
        <f>(2-Tendencial!$S286)/(2070-2022)+AJ159</f>
        <v>1.7681862706176716</v>
      </c>
      <c r="AL159" s="9">
        <f>(2-Tendencial!$S286)/(2070-2022)+AK159</f>
        <v>1.7818223723460438</v>
      </c>
      <c r="AM159" s="9">
        <f>(2-Tendencial!$S286)/(2070-2022)+AL159</f>
        <v>1.7954584740744159</v>
      </c>
      <c r="AN159" s="9">
        <f>(2-Tendencial!$S286)/(2070-2022)+AM159</f>
        <v>1.8090945758027881</v>
      </c>
      <c r="AO159" s="9">
        <f>(2-Tendencial!$S286)/(2070-2022)+AN159</f>
        <v>1.8227306775311602</v>
      </c>
      <c r="AP159" s="9">
        <f>(2-Tendencial!$S286)/(2070-2022)+AO159</f>
        <v>1.8363667792595324</v>
      </c>
      <c r="AQ159" s="9">
        <f>(2-Tendencial!$S286)/(2070-2022)+AP159</f>
        <v>1.8500028809879046</v>
      </c>
      <c r="AR159" s="9">
        <f>(2-Tendencial!$S286)/(2070-2022)+AQ159</f>
        <v>1.8636389827162767</v>
      </c>
      <c r="AS159" s="9">
        <f>(2-Tendencial!$S286)/(2070-2022)+AR159</f>
        <v>1.8772750844446489</v>
      </c>
      <c r="AT159" s="9">
        <f>(2-Tendencial!$S286)/(2070-2022)+AS159</f>
        <v>1.890911186173021</v>
      </c>
      <c r="AU159" s="9">
        <f>(2-Tendencial!$S286)/(2070-2022)+AT159</f>
        <v>1.9045472879013932</v>
      </c>
      <c r="AV159" s="9">
        <f>(2-Tendencial!$S286)/(2070-2022)+AU159</f>
        <v>1.9181833896297653</v>
      </c>
      <c r="AW159" s="9">
        <f>(2-Tendencial!$S286)/(2070-2022)+AV159</f>
        <v>1.9318194913581375</v>
      </c>
      <c r="AX159" s="9">
        <f>(2-Tendencial!$S286)/(2070-2022)+AW159</f>
        <v>1.9454555930865096</v>
      </c>
      <c r="AY159" s="9">
        <f>(2-Tendencial!$S286)/(2070-2022)+AX159</f>
        <v>1.9590916948148818</v>
      </c>
      <c r="AZ159" s="9">
        <f>(2-Tendencial!$S286)/(2070-2022)+AY159</f>
        <v>1.9727277965432539</v>
      </c>
      <c r="BA159" s="9">
        <f>(2-Tendencial!$S286)/(2070-2022)+AZ159</f>
        <v>1.9863638982716261</v>
      </c>
      <c r="BB159" s="9">
        <f>(2-Tendencial!$S286)/(2070-2022)+BA159</f>
        <v>1.9999999999999982</v>
      </c>
    </row>
    <row r="160" spans="1:55" s="93" customFormat="1" ht="46.95" customHeight="1" x14ac:dyDescent="0.3">
      <c r="A160" s="92"/>
      <c r="B160" s="369"/>
      <c r="C160" s="92" t="s">
        <v>305</v>
      </c>
      <c r="D160" s="92"/>
      <c r="E160" s="352" t="s">
        <v>306</v>
      </c>
      <c r="F160" s="354" t="s">
        <v>20</v>
      </c>
      <c r="G160" s="92">
        <f>(G164/100*G155/G159+(1-G164/100)*G155/Tendencial!$S286)/1000000</f>
        <v>3.1036130841336096</v>
      </c>
      <c r="H160" s="92">
        <f>(H164/100*H155/H159+(1-H164/100)*H155/Tendencial!$S286)/1000000</f>
        <v>3.1435308365612236</v>
      </c>
      <c r="I160" s="92">
        <f>(I164/100*I155/I159+(1-I164/100)*I155/Tendencial!$S286)/1000000</f>
        <v>3.1830705670696262</v>
      </c>
      <c r="J160" s="92">
        <f>(J164/100*J155/J159+(1-J164/100)*J155/Tendencial!$S286)/1000000</f>
        <v>3.222188002821432</v>
      </c>
      <c r="K160" s="92">
        <f>(K164/100*K155/K159+(1-K164/100)*K155/Tendencial!$S286)/1000000</f>
        <v>3.2608683294441305</v>
      </c>
      <c r="L160" s="92">
        <f>(L164/100*L155/L159+(1-L164/100)*L155/Tendencial!$S286)/1000000</f>
        <v>3.2990837912742843</v>
      </c>
      <c r="M160" s="92">
        <f>(M164/100*M155/M159+(1-M164/100)*M155/Tendencial!$S286)/1000000</f>
        <v>3.3368289393472943</v>
      </c>
      <c r="N160" s="92">
        <f>(N164/100*N155/N159+(1-N164/100)*N155/Tendencial!$S286)/1000000</f>
        <v>3.3685066634648599</v>
      </c>
      <c r="O160" s="92">
        <f>(O164/100*O155/O159+(1-O164/100)*O155/Tendencial!$S286)/1000000</f>
        <v>3.398244472335227</v>
      </c>
      <c r="P160" s="92">
        <f>(P164/100*P155/P159+(1-P164/100)*P155/Tendencial!$S286)/1000000</f>
        <v>3.4260144073763832</v>
      </c>
      <c r="Q160" s="92">
        <f>(Q164/100*Q155/Q159+(1-Q164/100)*Q155/Tendencial!$S286)/1000000</f>
        <v>3.451786108745428</v>
      </c>
      <c r="R160" s="92">
        <f>(R164/100*R155/R159+(1-R164/100)*R155/Tendencial!$S286)/1000000</f>
        <v>3.4755459187004214</v>
      </c>
      <c r="S160" s="92">
        <f>(S164/100*S155/S159+(1-S164/100)*S155/Tendencial!$S286)/1000000</f>
        <v>3.4910948273637201</v>
      </c>
      <c r="T160" s="92">
        <f>(T164/100*T155/T159+(1-T164/100)*T155/Tendencial!$S286)/1000000</f>
        <v>3.5072227287428723</v>
      </c>
      <c r="U160" s="92">
        <f>(U164/100*U155/U159+(1-U164/100)*U155/Tendencial!$S286)/1000000</f>
        <v>3.5212509031975601</v>
      </c>
      <c r="V160" s="92">
        <f>(V164/100*V155/V159+(1-V164/100)*V155/Tendencial!$S286)/1000000</f>
        <v>3.5331815844336028</v>
      </c>
      <c r="W160" s="92">
        <f>(W164/100*W155/W159+(1-W164/100)*W155/Tendencial!$S286)/1000000</f>
        <v>3.5430090101373604</v>
      </c>
      <c r="X160" s="92">
        <f>(X164/100*X155/X159+(1-X164/100)*X155/Tendencial!$S286)/1000000</f>
        <v>3.5507353173526326</v>
      </c>
      <c r="Y160" s="92">
        <f>(Y164/100*Y155/Y159+(1-Y164/100)*Y155/Tendencial!$S286)/1000000</f>
        <v>3.5563745476928581</v>
      </c>
      <c r="Z160" s="92">
        <f>(Z164/100*Z155/Z159+(1-Z164/100)*Z155/Tendencial!$S286)/1000000</f>
        <v>3.5599358884978534</v>
      </c>
      <c r="AA160" s="92">
        <f>(AA164/100*AA155/AA159+(1-AA164/100)*AA155/Tendencial!$S286)/1000000</f>
        <v>3.5614225685975693</v>
      </c>
      <c r="AB160" s="92">
        <f>(AB164/100*AB155/AB159+(1-AB164/100)*AB155/Tendencial!$S286)/1000000</f>
        <v>3.5608528463988014</v>
      </c>
      <c r="AC160" s="92">
        <f>(AC164/100*AC155/AC159+(1-AC164/100)*AC155/Tendencial!$S286)/1000000</f>
        <v>3.5582327722137164</v>
      </c>
      <c r="AD160" s="92">
        <f>(AD164/100*AD155/AD159+(1-AD164/100)*AD155/Tendencial!$S286)/1000000</f>
        <v>3.5535823995388385</v>
      </c>
      <c r="AE160" s="92">
        <f>(AE164/100*AE155/AE159+(1-AE164/100)*AE155/Tendencial!$S286)/1000000</f>
        <v>3.5469309281438153</v>
      </c>
      <c r="AF160" s="92">
        <f>(AF164/100*AF155/AF159+(1-AF164/100)*AF155/Tendencial!$S286)/1000000</f>
        <v>3.5382847629156089</v>
      </c>
      <c r="AG160" s="92">
        <f>(AG164/100*AG155/AG159+(1-AG164/100)*AG155/Tendencial!$S286)/1000000</f>
        <v>3.5276774022350272</v>
      </c>
      <c r="AH160" s="92">
        <f>(AH164/100*AH155/AH159+(1-AH164/100)*AH155/Tendencial!$S286)/1000000</f>
        <v>3.5178258027898512</v>
      </c>
      <c r="AI160" s="92">
        <f>(AI164/100*AI155/AI159+(1-AI164/100)*AI155/Tendencial!$S286)/1000000</f>
        <v>3.5060472239119966</v>
      </c>
      <c r="AJ160" s="92">
        <f>(AJ164/100*AJ155/AJ159+(1-AJ164/100)*AJ155/Tendencial!$S286)/1000000</f>
        <v>3.4923541577919957</v>
      </c>
      <c r="AK160" s="92">
        <f>(AK164/100*AK155/AK159+(1-AK164/100)*AK155/Tendencial!$S286)/1000000</f>
        <v>3.4767608375468724</v>
      </c>
      <c r="AL160" s="92">
        <f>(AL164/100*AL155/AL159+(1-AL164/100)*AL155/Tendencial!$S286)/1000000</f>
        <v>3.4592832281903769</v>
      </c>
      <c r="AM160" s="92">
        <f>(AM164/100*AM155/AM159+(1-AM164/100)*AM155/Tendencial!$S286)/1000000</f>
        <v>3.4399390149395446</v>
      </c>
      <c r="AN160" s="92">
        <f>(AN164/100*AN155/AN159+(1-AN164/100)*AN155/Tendencial!$S286)/1000000</f>
        <v>3.4187475888764256</v>
      </c>
      <c r="AO160" s="92">
        <f>(AO164/100*AO155/AO159+(1-AO164/100)*AO155/Tendencial!$S286)/1000000</f>
        <v>3.395730029988508</v>
      </c>
      <c r="AP160" s="92">
        <f>(AP164/100*AP155/AP159+(1-AP164/100)*AP155/Tendencial!$S286)/1000000</f>
        <v>3.3709090876159538</v>
      </c>
      <c r="AQ160" s="92">
        <f>(AQ164/100*AQ155/AQ159+(1-AQ164/100)*AQ155/Tendencial!$S286)/1000000</f>
        <v>3.344309158338421</v>
      </c>
      <c r="AR160" s="92">
        <f>(AR164/100*AR155/AR159+(1-AR164/100)*AR155/Tendencial!$S286)/1000000</f>
        <v>3.3159562613388114</v>
      </c>
      <c r="AS160" s="92">
        <f>(AS164/100*AS155/AS159+(1-AS164/100)*AS155/Tendencial!$S286)/1000000</f>
        <v>3.2858780112858379</v>
      </c>
      <c r="AT160" s="92">
        <f>(AT164/100*AT155/AT159+(1-AT164/100)*AT155/Tendencial!$S286)/1000000</f>
        <v>3.2541035887817924</v>
      </c>
      <c r="AU160" s="92">
        <f>(AU164/100*AU155/AU159+(1-AU164/100)*AU155/Tendencial!$S286)/1000000</f>
        <v>3.2206637084263217</v>
      </c>
      <c r="AV160" s="92">
        <f>(AV164/100*AV155/AV159+(1-AV164/100)*AV155/Tendencial!$S286)/1000000</f>
        <v>3.1855905845513428</v>
      </c>
      <c r="AW160" s="92">
        <f>(AW164/100*AW155/AW159+(1-AW164/100)*AW155/Tendencial!$S286)/1000000</f>
        <v>3.148917894686508</v>
      </c>
      <c r="AX160" s="92">
        <f>(AX164/100*AX155/AX159+(1-AX164/100)*AX155/Tendencial!$S286)/1000000</f>
        <v>3.1106807408187467</v>
      </c>
      <c r="AY160" s="92">
        <f>(AY164/100*AY155/AY159+(1-AY164/100)*AY155/Tendencial!$S286)/1000000</f>
        <v>3.070915608513467</v>
      </c>
      <c r="AZ160" s="92">
        <f>(AZ164/100*AZ155/AZ159+(1-AZ164/100)*AZ155/Tendencial!$S286)/1000000</f>
        <v>3.02966032396888</v>
      </c>
      <c r="BA160" s="92">
        <f>(BA164/100*BA155/BA159+(1-BA164/100)*BA155/Tendencial!$S286)/1000000</f>
        <v>2.9869540090787146</v>
      </c>
      <c r="BB160" s="92">
        <f>(BB164/100*BB155/BB159+(1-BB164/100)*BB155/Tendencial!$S286)/1000000</f>
        <v>2.9428370345821939</v>
      </c>
      <c r="BC160" s="92"/>
    </row>
    <row r="161" spans="1:55" ht="14.4" customHeight="1" x14ac:dyDescent="0.3">
      <c r="A161" s="16" t="s">
        <v>115</v>
      </c>
      <c r="B161" s="16"/>
      <c r="C161" s="31" t="s">
        <v>697</v>
      </c>
      <c r="D161" s="351"/>
      <c r="E161" s="351"/>
      <c r="F161" s="35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c r="AV161" s="21"/>
      <c r="AW161" s="21"/>
      <c r="AX161" s="21"/>
      <c r="AY161" s="21"/>
      <c r="AZ161" s="21"/>
      <c r="BA161" s="21"/>
      <c r="BB161" s="21"/>
      <c r="BC161" s="21"/>
    </row>
    <row r="162" spans="1:55" ht="14.4" x14ac:dyDescent="0.3">
      <c r="A162" s="16"/>
      <c r="B162" s="16"/>
      <c r="C162" s="9" t="s">
        <v>307</v>
      </c>
      <c r="D162" s="9" t="s">
        <v>282</v>
      </c>
      <c r="E162" s="382" t="s">
        <v>208</v>
      </c>
      <c r="F162" s="382" t="s">
        <v>308</v>
      </c>
      <c r="G162" s="21">
        <f>(1-'CC70 - %'!G56/100)*85</f>
        <v>85</v>
      </c>
      <c r="H162" s="21">
        <f>(1-'CC70 - %'!H56/100)*85</f>
        <v>85</v>
      </c>
      <c r="I162" s="21">
        <f>(1-'CC70 - %'!I56/100)*85</f>
        <v>85</v>
      </c>
      <c r="J162" s="21">
        <f>(1-'CC70 - %'!J56/100)*85</f>
        <v>85</v>
      </c>
      <c r="K162" s="21">
        <f>(1-'CC70 - %'!K56/100)*85</f>
        <v>85</v>
      </c>
      <c r="L162" s="21">
        <f>(1-'CC70 - %'!L56/100)*85</f>
        <v>85</v>
      </c>
      <c r="M162" s="21">
        <f>(1-'CC70 - %'!M56/100)*85</f>
        <v>85</v>
      </c>
      <c r="N162" s="21">
        <f>(1-'CC70 - %'!N56/100)*85</f>
        <v>85</v>
      </c>
      <c r="O162" s="21">
        <f>(1-'CC70 - %'!O56/100)*85</f>
        <v>85</v>
      </c>
      <c r="P162" s="21">
        <f>(1-'CC70 - %'!P56/100)*85</f>
        <v>85</v>
      </c>
      <c r="Q162" s="21">
        <f>(1-'CC70 - %'!Q56/100)*85</f>
        <v>85</v>
      </c>
      <c r="R162" s="21">
        <f>(1-'CC70 - %'!R56/100)*85</f>
        <v>85</v>
      </c>
      <c r="S162" s="21">
        <f>(1-'CC70 - %'!S56/100)*85</f>
        <v>84.15</v>
      </c>
      <c r="T162" s="21">
        <f>(1-'CC70 - %'!T56/100)*85</f>
        <v>83.350999999999999</v>
      </c>
      <c r="U162" s="21">
        <f>(1-'CC70 - %'!U56/100)*85</f>
        <v>82.551999999999992</v>
      </c>
      <c r="V162" s="21">
        <f>(1-'CC70 - %'!V56/100)*85</f>
        <v>81.753</v>
      </c>
      <c r="W162" s="21">
        <f>(1-'CC70 - %'!W56/100)*85</f>
        <v>80.954000000000008</v>
      </c>
      <c r="X162" s="21">
        <f>(1-'CC70 - %'!X56/100)*85</f>
        <v>80.155000000000001</v>
      </c>
      <c r="Y162" s="21">
        <f>(1-'CC70 - %'!Y56/100)*85</f>
        <v>79.355999999999995</v>
      </c>
      <c r="Z162" s="21">
        <f>(1-'CC70 - %'!Z56/100)*85</f>
        <v>78.557000000000002</v>
      </c>
      <c r="AA162" s="21">
        <f>(1-'CC70 - %'!AA56/100)*85</f>
        <v>77.75800000000001</v>
      </c>
      <c r="AB162" s="21">
        <f>(1-'CC70 - %'!AB56/100)*85</f>
        <v>76.959000000000003</v>
      </c>
      <c r="AC162" s="21">
        <f>(1-'CC70 - %'!AC56/100)*85</f>
        <v>76.16</v>
      </c>
      <c r="AD162" s="21">
        <f>(1-'CC70 - %'!AD56/100)*85</f>
        <v>75.361000000000004</v>
      </c>
      <c r="AE162" s="21">
        <f>(1-'CC70 - %'!AE56/100)*85</f>
        <v>74.561999999999998</v>
      </c>
      <c r="AF162" s="21">
        <f>(1-'CC70 - %'!AF56/100)*85</f>
        <v>73.763000000000005</v>
      </c>
      <c r="AG162" s="21">
        <f>(1-'CC70 - %'!AG56/100)*85</f>
        <v>72.963999999999999</v>
      </c>
      <c r="AH162" s="21">
        <f>(1-'CC70 - %'!AH56/100)*85</f>
        <v>72.4846</v>
      </c>
      <c r="AI162" s="21">
        <f>(1-'CC70 - %'!AI56/100)*85</f>
        <v>72.005200000000002</v>
      </c>
      <c r="AJ162" s="21">
        <f>(1-'CC70 - %'!AJ56/100)*85</f>
        <v>71.525800000000004</v>
      </c>
      <c r="AK162" s="21">
        <f>(1-'CC70 - %'!AK56/100)*85</f>
        <v>71.046400000000006</v>
      </c>
      <c r="AL162" s="21">
        <f>(1-'CC70 - %'!AL56/100)*85</f>
        <v>70.567000000000007</v>
      </c>
      <c r="AM162" s="21">
        <f>(1-'CC70 - %'!AM56/100)*85</f>
        <v>70.087600000000009</v>
      </c>
      <c r="AN162" s="21">
        <f>(1-'CC70 - %'!AN56/100)*85</f>
        <v>69.608200000000011</v>
      </c>
      <c r="AO162" s="21">
        <f>(1-'CC70 - %'!AO56/100)*85</f>
        <v>69.128799999999998</v>
      </c>
      <c r="AP162" s="21">
        <f>(1-'CC70 - %'!AP56/100)*85</f>
        <v>68.6494</v>
      </c>
      <c r="AQ162" s="21">
        <f>(1-'CC70 - %'!AQ56/100)*85</f>
        <v>68.17</v>
      </c>
      <c r="AR162" s="21">
        <f>(1-'CC70 - %'!AR56/100)*85</f>
        <v>67.690600000000003</v>
      </c>
      <c r="AS162" s="21">
        <f>(1-'CC70 - %'!AS56/100)*85</f>
        <v>67.211200000000005</v>
      </c>
      <c r="AT162" s="21">
        <f>(1-'CC70 - %'!AT56/100)*85</f>
        <v>66.731800000000007</v>
      </c>
      <c r="AU162" s="21">
        <f>(1-'CC70 - %'!AU56/100)*85</f>
        <v>66.252400000000009</v>
      </c>
      <c r="AV162" s="21">
        <f>(1-'CC70 - %'!AV56/100)*85</f>
        <v>65.77300000000001</v>
      </c>
      <c r="AW162" s="21">
        <f>(1-'CC70 - %'!AW56/100)*85</f>
        <v>65.293600000000012</v>
      </c>
      <c r="AX162" s="21">
        <f>(1-'CC70 - %'!AX56/100)*85</f>
        <v>64.814200000000014</v>
      </c>
      <c r="AY162" s="21">
        <f>(1-'CC70 - %'!AY56/100)*85</f>
        <v>64.334800000000001</v>
      </c>
      <c r="AZ162" s="21">
        <f>(1-'CC70 - %'!AZ56/100)*85</f>
        <v>63.855400000000003</v>
      </c>
      <c r="BA162" s="21">
        <f>(1-'CC70 - %'!BA56/100)*85</f>
        <v>63.376000000000005</v>
      </c>
      <c r="BB162" s="21">
        <f>(1-'CC70 - %'!BB56/100)*85</f>
        <v>62.896600000000007</v>
      </c>
      <c r="BC162" s="21"/>
    </row>
    <row r="163" spans="1:55" ht="14.4" x14ac:dyDescent="0.3">
      <c r="C163" s="9" t="s">
        <v>309</v>
      </c>
      <c r="D163" s="9" t="s">
        <v>282</v>
      </c>
      <c r="E163" s="382"/>
      <c r="F163" s="382"/>
      <c r="G163" s="21">
        <f>(1-'CC70 - %'!G57/100)*1.0825</f>
        <v>1.0825</v>
      </c>
      <c r="H163" s="21">
        <f>(1-'CC70 - %'!H57/100)*1.0825</f>
        <v>1.0825</v>
      </c>
      <c r="I163" s="21">
        <f>(1-'CC70 - %'!I57/100)*1.0825</f>
        <v>1.0825</v>
      </c>
      <c r="J163" s="21">
        <f>(1-'CC70 - %'!J57/100)*1.0825</f>
        <v>1.0825</v>
      </c>
      <c r="K163" s="21">
        <f>(1-'CC70 - %'!K57/100)*1.0825</f>
        <v>1.0825</v>
      </c>
      <c r="L163" s="21">
        <f>(1-'CC70 - %'!L57/100)*1.0825</f>
        <v>1.0825</v>
      </c>
      <c r="M163" s="21">
        <f>(1-'CC70 - %'!M57/100)*1.0825</f>
        <v>1.0825</v>
      </c>
      <c r="N163" s="21">
        <f>(1-'CC70 - %'!N57/100)*1.0825</f>
        <v>1.0825</v>
      </c>
      <c r="O163" s="21">
        <f>(1-'CC70 - %'!O57/100)*1.0825</f>
        <v>1.0825</v>
      </c>
      <c r="P163" s="21">
        <f>(1-'CC70 - %'!P57/100)*1.0825</f>
        <v>1.0825</v>
      </c>
      <c r="Q163" s="21">
        <f>(1-'CC70 - %'!Q57/100)*1.0825</f>
        <v>1.0825</v>
      </c>
      <c r="R163" s="21">
        <f>(1-'CC70 - %'!R57/100)*1.0825</f>
        <v>1.0825</v>
      </c>
      <c r="S163" s="21">
        <f>(1-'CC70 - %'!S57/100)*1.0825</f>
        <v>1.0716749999999999</v>
      </c>
      <c r="T163" s="21">
        <f>(1-'CC70 - %'!T57/100)*1.0825</f>
        <v>1.0614995</v>
      </c>
      <c r="U163" s="21">
        <f>(1-'CC70 - %'!U57/100)*1.0825</f>
        <v>1.0513239999999999</v>
      </c>
      <c r="V163" s="21">
        <f>(1-'CC70 - %'!V57/100)*1.0825</f>
        <v>1.0411485</v>
      </c>
      <c r="W163" s="21">
        <f>(1-'CC70 - %'!W57/100)*1.0825</f>
        <v>1.0309730000000001</v>
      </c>
      <c r="X163" s="21">
        <f>(1-'CC70 - %'!X57/100)*1.0825</f>
        <v>1.0207975</v>
      </c>
      <c r="Y163" s="21">
        <f>(1-'CC70 - %'!Y57/100)*1.0825</f>
        <v>1.0106219999999999</v>
      </c>
      <c r="Z163" s="21">
        <f>(1-'CC70 - %'!Z57/100)*1.0825</f>
        <v>1.0004465</v>
      </c>
      <c r="AA163" s="21">
        <f>(1-'CC70 - %'!AA57/100)*1.0825</f>
        <v>0.99027100000000012</v>
      </c>
      <c r="AB163" s="21">
        <f>(1-'CC70 - %'!AB57/100)*1.0825</f>
        <v>0.98009550000000001</v>
      </c>
      <c r="AC163" s="21">
        <f>(1-'CC70 - %'!AC57/100)*1.0825</f>
        <v>0.96992</v>
      </c>
      <c r="AD163" s="21">
        <f>(1-'CC70 - %'!AD57/100)*1.0825</f>
        <v>0.95974450000000011</v>
      </c>
      <c r="AE163" s="21">
        <f>(1-'CC70 - %'!AE57/100)*1.0825</f>
        <v>0.949569</v>
      </c>
      <c r="AF163" s="21">
        <f>(1-'CC70 - %'!AF57/100)*1.0825</f>
        <v>0.93939349999999999</v>
      </c>
      <c r="AG163" s="21">
        <f>(1-'CC70 - %'!AG57/100)*1.0825</f>
        <v>0.9292180000000001</v>
      </c>
      <c r="AH163" s="21">
        <f>(1-'CC70 - %'!AH57/100)*1.0825</f>
        <v>0.92311270000000012</v>
      </c>
      <c r="AI163" s="21">
        <f>(1-'CC70 - %'!AI57/100)*1.0825</f>
        <v>0.91700740000000014</v>
      </c>
      <c r="AJ163" s="21">
        <f>(1-'CC70 - %'!AJ57/100)*1.0825</f>
        <v>0.91090210000000005</v>
      </c>
      <c r="AK163" s="21">
        <f>(1-'CC70 - %'!AK57/100)*1.0825</f>
        <v>0.90479680000000007</v>
      </c>
      <c r="AL163" s="21">
        <f>(1-'CC70 - %'!AL57/100)*1.0825</f>
        <v>0.89869150000000009</v>
      </c>
      <c r="AM163" s="21">
        <f>(1-'CC70 - %'!AM57/100)*1.0825</f>
        <v>0.89258620000000011</v>
      </c>
      <c r="AN163" s="21">
        <f>(1-'CC70 - %'!AN57/100)*1.0825</f>
        <v>0.88648090000000013</v>
      </c>
      <c r="AO163" s="21">
        <f>(1-'CC70 - %'!AO57/100)*1.0825</f>
        <v>0.88037560000000004</v>
      </c>
      <c r="AP163" s="21">
        <f>(1-'CC70 - %'!AP57/100)*1.0825</f>
        <v>0.87427030000000006</v>
      </c>
      <c r="AQ163" s="21">
        <f>(1-'CC70 - %'!AQ57/100)*1.0825</f>
        <v>0.86816500000000008</v>
      </c>
      <c r="AR163" s="21">
        <f>(1-'CC70 - %'!AR57/100)*1.0825</f>
        <v>0.8620597000000001</v>
      </c>
      <c r="AS163" s="21">
        <f>(1-'CC70 - %'!AS57/100)*1.0825</f>
        <v>0.85595440000000012</v>
      </c>
      <c r="AT163" s="21">
        <f>(1-'CC70 - %'!AT57/100)*1.0825</f>
        <v>0.84984910000000002</v>
      </c>
      <c r="AU163" s="21">
        <f>(1-'CC70 - %'!AU57/100)*1.0825</f>
        <v>0.84374380000000004</v>
      </c>
      <c r="AV163" s="21">
        <f>(1-'CC70 - %'!AV57/100)*1.0825</f>
        <v>0.83763850000000006</v>
      </c>
      <c r="AW163" s="21">
        <f>(1-'CC70 - %'!AW57/100)*1.0825</f>
        <v>0.83153320000000008</v>
      </c>
      <c r="AX163" s="21">
        <f>(1-'CC70 - %'!AX57/100)*1.0825</f>
        <v>0.8254279000000001</v>
      </c>
      <c r="AY163" s="21">
        <f>(1-'CC70 - %'!AY57/100)*1.0825</f>
        <v>0.81932260000000001</v>
      </c>
      <c r="AZ163" s="21">
        <f>(1-'CC70 - %'!AZ57/100)*1.0825</f>
        <v>0.81321730000000003</v>
      </c>
      <c r="BA163" s="21">
        <f>(1-'CC70 - %'!BA57/100)*1.0825</f>
        <v>0.80711200000000005</v>
      </c>
      <c r="BB163" s="21">
        <f>(1-'CC70 - %'!BB57/100)*1.0825</f>
        <v>0.80100670000000007</v>
      </c>
      <c r="BC163" s="21"/>
    </row>
    <row r="164" spans="1:55" ht="14.4" x14ac:dyDescent="0.3">
      <c r="C164" s="9" t="s">
        <v>310</v>
      </c>
      <c r="F164" s="38" t="s">
        <v>311</v>
      </c>
      <c r="G164" s="21">
        <v>0</v>
      </c>
      <c r="H164" s="21">
        <v>0</v>
      </c>
      <c r="I164" s="21">
        <v>0</v>
      </c>
      <c r="J164" s="21">
        <v>0</v>
      </c>
      <c r="K164" s="21">
        <v>0</v>
      </c>
      <c r="L164" s="21">
        <v>0</v>
      </c>
      <c r="M164" s="21">
        <v>0</v>
      </c>
      <c r="N164" s="21">
        <f>90/(2070-2029)+M164</f>
        <v>2.1951219512195124</v>
      </c>
      <c r="O164" s="21">
        <f t="shared" ref="O164:BB164" si="44">90/(2070-2029)+N164</f>
        <v>4.3902439024390247</v>
      </c>
      <c r="P164" s="21">
        <f t="shared" si="44"/>
        <v>6.5853658536585371</v>
      </c>
      <c r="Q164" s="21">
        <f t="shared" si="44"/>
        <v>8.7804878048780495</v>
      </c>
      <c r="R164" s="21">
        <f t="shared" si="44"/>
        <v>10.975609756097562</v>
      </c>
      <c r="S164" s="21">
        <f t="shared" si="44"/>
        <v>13.170731707317074</v>
      </c>
      <c r="T164" s="21">
        <f t="shared" si="44"/>
        <v>15.365853658536587</v>
      </c>
      <c r="U164" s="21">
        <f t="shared" si="44"/>
        <v>17.560975609756099</v>
      </c>
      <c r="V164" s="21">
        <f t="shared" si="44"/>
        <v>19.756097560975611</v>
      </c>
      <c r="W164" s="21">
        <f t="shared" si="44"/>
        <v>21.951219512195124</v>
      </c>
      <c r="X164" s="21">
        <f t="shared" si="44"/>
        <v>24.146341463414636</v>
      </c>
      <c r="Y164" s="21">
        <f t="shared" si="44"/>
        <v>26.341463414634148</v>
      </c>
      <c r="Z164" s="21">
        <f t="shared" si="44"/>
        <v>28.536585365853661</v>
      </c>
      <c r="AA164" s="21">
        <f t="shared" si="44"/>
        <v>30.731707317073173</v>
      </c>
      <c r="AB164" s="21">
        <f t="shared" si="44"/>
        <v>32.926829268292686</v>
      </c>
      <c r="AC164" s="21">
        <f t="shared" si="44"/>
        <v>35.121951219512198</v>
      </c>
      <c r="AD164" s="21">
        <f t="shared" si="44"/>
        <v>37.31707317073171</v>
      </c>
      <c r="AE164" s="21">
        <f t="shared" si="44"/>
        <v>39.512195121951223</v>
      </c>
      <c r="AF164" s="21">
        <f t="shared" si="44"/>
        <v>41.707317073170735</v>
      </c>
      <c r="AG164" s="21">
        <f t="shared" si="44"/>
        <v>43.902439024390247</v>
      </c>
      <c r="AH164" s="21">
        <f t="shared" si="44"/>
        <v>46.09756097560976</v>
      </c>
      <c r="AI164" s="21">
        <f t="shared" si="44"/>
        <v>48.292682926829272</v>
      </c>
      <c r="AJ164" s="21">
        <f t="shared" si="44"/>
        <v>50.487804878048784</v>
      </c>
      <c r="AK164" s="21">
        <f t="shared" si="44"/>
        <v>52.682926829268297</v>
      </c>
      <c r="AL164" s="21">
        <f t="shared" si="44"/>
        <v>54.878048780487809</v>
      </c>
      <c r="AM164" s="21">
        <f t="shared" si="44"/>
        <v>57.073170731707322</v>
      </c>
      <c r="AN164" s="21">
        <f t="shared" si="44"/>
        <v>59.268292682926834</v>
      </c>
      <c r="AO164" s="21">
        <f t="shared" si="44"/>
        <v>61.463414634146346</v>
      </c>
      <c r="AP164" s="21">
        <f t="shared" si="44"/>
        <v>63.658536585365859</v>
      </c>
      <c r="AQ164" s="21">
        <f t="shared" si="44"/>
        <v>65.853658536585371</v>
      </c>
      <c r="AR164" s="21">
        <f t="shared" si="44"/>
        <v>68.048780487804891</v>
      </c>
      <c r="AS164" s="21">
        <f t="shared" si="44"/>
        <v>70.243902439024396</v>
      </c>
      <c r="AT164" s="21">
        <f t="shared" si="44"/>
        <v>72.439024390243901</v>
      </c>
      <c r="AU164" s="21">
        <f t="shared" si="44"/>
        <v>74.634146341463406</v>
      </c>
      <c r="AV164" s="21">
        <f t="shared" si="44"/>
        <v>76.829268292682912</v>
      </c>
      <c r="AW164" s="21">
        <f t="shared" si="44"/>
        <v>79.024390243902417</v>
      </c>
      <c r="AX164" s="21">
        <f t="shared" si="44"/>
        <v>81.219512195121922</v>
      </c>
      <c r="AY164" s="21">
        <f t="shared" si="44"/>
        <v>83.414634146341427</v>
      </c>
      <c r="AZ164" s="21">
        <f t="shared" si="44"/>
        <v>85.609756097560933</v>
      </c>
      <c r="BA164" s="21">
        <f t="shared" si="44"/>
        <v>87.804878048780438</v>
      </c>
      <c r="BB164" s="21">
        <f t="shared" si="44"/>
        <v>89.999999999999943</v>
      </c>
      <c r="BC164" s="21"/>
    </row>
    <row r="165" spans="1:55" ht="14.4" customHeight="1" x14ac:dyDescent="0.3">
      <c r="A165" s="16" t="s">
        <v>115</v>
      </c>
      <c r="B165" s="16"/>
      <c r="C165" s="31" t="s">
        <v>698</v>
      </c>
      <c r="D165" s="351"/>
      <c r="E165" s="351"/>
      <c r="F165" s="35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c r="AV165" s="21"/>
      <c r="AW165" s="21"/>
      <c r="AX165" s="21"/>
      <c r="AY165" s="21"/>
      <c r="AZ165" s="21"/>
      <c r="BA165" s="21"/>
      <c r="BB165" s="21"/>
      <c r="BC165" s="21"/>
    </row>
    <row r="166" spans="1:55" s="93" customFormat="1" ht="48.6" customHeight="1" x14ac:dyDescent="0.3">
      <c r="A166" s="16"/>
      <c r="B166" s="16"/>
      <c r="C166" s="92" t="s">
        <v>307</v>
      </c>
      <c r="D166" s="92" t="s">
        <v>282</v>
      </c>
      <c r="E166" s="364" t="s">
        <v>312</v>
      </c>
      <c r="F166" s="382" t="s">
        <v>282</v>
      </c>
      <c r="G166" s="21">
        <f t="shared" ref="G166:AK166" si="45">G155*25*(85*(1-G164/100)+G162*G164/100)/1000000000</f>
        <v>8.8735948660110484</v>
      </c>
      <c r="H166" s="21">
        <f t="shared" si="45"/>
        <v>8.9877244154755758</v>
      </c>
      <c r="I166" s="21">
        <f t="shared" si="45"/>
        <v>9.1007731558087368</v>
      </c>
      <c r="J166" s="21">
        <f t="shared" si="45"/>
        <v>9.2126145057609126</v>
      </c>
      <c r="K166" s="21">
        <f t="shared" si="45"/>
        <v>9.3232061092985763</v>
      </c>
      <c r="L166" s="21">
        <f t="shared" si="45"/>
        <v>9.4324686097152348</v>
      </c>
      <c r="M166" s="21">
        <f t="shared" si="45"/>
        <v>9.5403864277801702</v>
      </c>
      <c r="N166" s="21">
        <f t="shared" si="45"/>
        <v>9.6468383376043185</v>
      </c>
      <c r="O166" s="21">
        <f t="shared" si="45"/>
        <v>9.7517673776253559</v>
      </c>
      <c r="P166" s="21">
        <f t="shared" si="45"/>
        <v>9.8551000333483074</v>
      </c>
      <c r="Q166" s="21">
        <f t="shared" si="45"/>
        <v>9.9567511058551617</v>
      </c>
      <c r="R166" s="21">
        <f t="shared" si="45"/>
        <v>10.05667872596335</v>
      </c>
      <c r="S166" s="21">
        <f t="shared" si="45"/>
        <v>10.12352546376942</v>
      </c>
      <c r="T166" s="21">
        <f t="shared" si="45"/>
        <v>10.192273376034722</v>
      </c>
      <c r="U166" s="21">
        <f t="shared" si="45"/>
        <v>10.254385045310634</v>
      </c>
      <c r="V166" s="21">
        <f t="shared" si="45"/>
        <v>10.309743396540961</v>
      </c>
      <c r="W166" s="21">
        <f t="shared" si="45"/>
        <v>10.358209229509598</v>
      </c>
      <c r="X166" s="21">
        <f t="shared" si="45"/>
        <v>10.399667713934099</v>
      </c>
      <c r="Y166" s="21">
        <f t="shared" si="45"/>
        <v>10.43404051723804</v>
      </c>
      <c r="Z166" s="21">
        <f t="shared" si="45"/>
        <v>10.461236998567287</v>
      </c>
      <c r="AA166" s="21">
        <f t="shared" si="45"/>
        <v>10.481150979881329</v>
      </c>
      <c r="AB166" s="21">
        <f t="shared" si="45"/>
        <v>10.493722623580098</v>
      </c>
      <c r="AC166" s="21">
        <f t="shared" si="45"/>
        <v>10.498858510353882</v>
      </c>
      <c r="AD166" s="21">
        <f t="shared" si="45"/>
        <v>10.496508986192989</v>
      </c>
      <c r="AE166" s="21">
        <f t="shared" si="45"/>
        <v>10.486654171846917</v>
      </c>
      <c r="AF166" s="21">
        <f t="shared" si="45"/>
        <v>10.469209679411161</v>
      </c>
      <c r="AG166" s="21">
        <f t="shared" si="45"/>
        <v>10.444174187107658</v>
      </c>
      <c r="AH166" s="21">
        <f t="shared" si="45"/>
        <v>10.43890866109429</v>
      </c>
      <c r="AI166" s="21">
        <f t="shared" si="45"/>
        <v>10.428033426416398</v>
      </c>
      <c r="AJ166" s="21">
        <f t="shared" si="45"/>
        <v>10.411506595811629</v>
      </c>
      <c r="AK166" s="21">
        <f t="shared" si="45"/>
        <v>10.389291999345964</v>
      </c>
      <c r="AL166" s="21">
        <f t="shared" ref="AL166:BB166" si="46">AL155*25*(85*(1-AL164/100)+AL162*AL164/100)/1000000000</f>
        <v>10.361359280054792</v>
      </c>
      <c r="AM166" s="21">
        <f t="shared" si="46"/>
        <v>10.327683981213958</v>
      </c>
      <c r="AN166" s="21">
        <f t="shared" si="46"/>
        <v>10.288247625017092</v>
      </c>
      <c r="AO166" s="21">
        <f t="shared" si="46"/>
        <v>10.243037782451418</v>
      </c>
      <c r="AP166" s="21">
        <f t="shared" si="46"/>
        <v>10.192048134180862</v>
      </c>
      <c r="AQ166" s="21">
        <f t="shared" si="46"/>
        <v>10.135278522262338</v>
      </c>
      <c r="AR166" s="21">
        <f t="shared" si="46"/>
        <v>10.072734992538757</v>
      </c>
      <c r="AS166" s="21">
        <f t="shared" si="46"/>
        <v>10.004429827570478</v>
      </c>
      <c r="AT166" s="21">
        <f t="shared" si="46"/>
        <v>9.9303815699854017</v>
      </c>
      <c r="AU166" s="21">
        <f t="shared" si="46"/>
        <v>9.8506150361468414</v>
      </c>
      <c r="AV166" s="21">
        <f t="shared" si="46"/>
        <v>9.7651613200577394</v>
      </c>
      <c r="AW166" s="21">
        <f t="shared" si="46"/>
        <v>9.6740577874391249</v>
      </c>
      <c r="AX166" s="21">
        <f t="shared" si="46"/>
        <v>9.5773480599408938</v>
      </c>
      <c r="AY166" s="21">
        <f t="shared" si="46"/>
        <v>9.4750819894626304</v>
      </c>
      <c r="AZ166" s="21">
        <f t="shared" si="46"/>
        <v>9.3673156225828027</v>
      </c>
      <c r="BA166" s="21">
        <f t="shared" si="46"/>
        <v>9.2541111551145256</v>
      </c>
      <c r="BB166" s="21">
        <f t="shared" si="46"/>
        <v>9.1355368768268814</v>
      </c>
      <c r="BC166" s="21"/>
    </row>
    <row r="167" spans="1:55" ht="14.4" x14ac:dyDescent="0.3">
      <c r="C167" s="9" t="s">
        <v>309</v>
      </c>
      <c r="D167" s="9" t="s">
        <v>282</v>
      </c>
      <c r="E167" s="364"/>
      <c r="F167" s="382"/>
      <c r="G167" s="21">
        <f t="shared" ref="G167:AK167" si="47">G155*25*(1.0825*(1-G165/100)+G163*G165/100)/1000000000</f>
        <v>0.11300784049949367</v>
      </c>
      <c r="H167" s="21">
        <f t="shared" si="47"/>
        <v>0.11446131387943895</v>
      </c>
      <c r="I167" s="21">
        <f t="shared" si="47"/>
        <v>0.11590102283721128</v>
      </c>
      <c r="J167" s="21">
        <f t="shared" si="47"/>
        <v>0.11732535532336692</v>
      </c>
      <c r="K167" s="21">
        <f t="shared" si="47"/>
        <v>0.11873377192136128</v>
      </c>
      <c r="L167" s="21">
        <f t="shared" si="47"/>
        <v>0.12012526200019696</v>
      </c>
      <c r="M167" s="21">
        <f t="shared" si="47"/>
        <v>0.12149962715378865</v>
      </c>
      <c r="N167" s="21">
        <f t="shared" si="47"/>
        <v>0.12285532353478443</v>
      </c>
      <c r="O167" s="21">
        <f t="shared" si="47"/>
        <v>0.12419162572093469</v>
      </c>
      <c r="P167" s="21">
        <f t="shared" si="47"/>
        <v>0.12550759748352405</v>
      </c>
      <c r="Q167" s="21">
        <f t="shared" si="47"/>
        <v>0.12680215378927306</v>
      </c>
      <c r="R167" s="21">
        <f t="shared" si="47"/>
        <v>0.12807476142182739</v>
      </c>
      <c r="S167" s="21">
        <f t="shared" si="47"/>
        <v>0.12909610330269891</v>
      </c>
      <c r="T167" s="21">
        <f t="shared" si="47"/>
        <v>0.13018969146616807</v>
      </c>
      <c r="U167" s="21">
        <f t="shared" si="47"/>
        <v>0.13125644703193842</v>
      </c>
      <c r="V167" s="21">
        <f t="shared" si="47"/>
        <v>0.13229602998357767</v>
      </c>
      <c r="W167" s="21">
        <f t="shared" si="47"/>
        <v>0.13330774442879187</v>
      </c>
      <c r="X167" s="21">
        <f t="shared" si="47"/>
        <v>0.13429113158849007</v>
      </c>
      <c r="Y167" s="21">
        <f t="shared" si="47"/>
        <v>0.13524612857177493</v>
      </c>
      <c r="Z167" s="21">
        <f t="shared" si="47"/>
        <v>0.13617243951627314</v>
      </c>
      <c r="AA167" s="21">
        <f t="shared" si="47"/>
        <v>0.13706948764905871</v>
      </c>
      <c r="AB167" s="21">
        <f t="shared" si="47"/>
        <v>0.13793722019319532</v>
      </c>
      <c r="AC167" s="21">
        <f t="shared" si="47"/>
        <v>0.13877506410207127</v>
      </c>
      <c r="AD167" s="21">
        <f t="shared" si="47"/>
        <v>0.13958293866583954</v>
      </c>
      <c r="AE167" s="21">
        <f t="shared" si="47"/>
        <v>0.14036108181586773</v>
      </c>
      <c r="AF167" s="21">
        <f t="shared" si="47"/>
        <v>0.1411087901332278</v>
      </c>
      <c r="AG167" s="21">
        <f t="shared" si="47"/>
        <v>0.14182638860786895</v>
      </c>
      <c r="AH167" s="21">
        <f t="shared" si="47"/>
        <v>0.14262297052491518</v>
      </c>
      <c r="AI167" s="21">
        <f t="shared" si="47"/>
        <v>0.14339057815528533</v>
      </c>
      <c r="AJ167" s="21">
        <f t="shared" si="47"/>
        <v>0.14412868871835177</v>
      </c>
      <c r="AK167" s="21">
        <f t="shared" si="47"/>
        <v>0.14483679725045434</v>
      </c>
      <c r="AL167" s="21">
        <f t="shared" ref="AL167:BB167" si="48">AL155*25*(1.0825*(1-AL165/100)+AL163*AL165/100)/1000000000</f>
        <v>0.14551441717867347</v>
      </c>
      <c r="AM167" s="21">
        <f t="shared" si="48"/>
        <v>0.14616108087626201</v>
      </c>
      <c r="AN167" s="21">
        <f t="shared" si="48"/>
        <v>0.14677634019884822</v>
      </c>
      <c r="AO167" s="21">
        <f t="shared" si="48"/>
        <v>0.14735976700055498</v>
      </c>
      <c r="AP167" s="21">
        <f t="shared" si="48"/>
        <v>0.14791095362920348</v>
      </c>
      <c r="AQ167" s="21">
        <f t="shared" si="48"/>
        <v>0.14842951339980273</v>
      </c>
      <c r="AR167" s="21">
        <f t="shared" si="48"/>
        <v>0.14891508104555676</v>
      </c>
      <c r="AS167" s="21">
        <f t="shared" si="48"/>
        <v>0.1493673131456548</v>
      </c>
      <c r="AT167" s="21">
        <f t="shared" si="48"/>
        <v>0.14978588852914568</v>
      </c>
      <c r="AU167" s="21">
        <f t="shared" si="48"/>
        <v>0.15017050865423157</v>
      </c>
      <c r="AV167" s="21">
        <f t="shared" si="48"/>
        <v>0.1505208979623566</v>
      </c>
      <c r="AW167" s="21">
        <f t="shared" si="48"/>
        <v>0.15083680420650333</v>
      </c>
      <c r="AX167" s="21">
        <f t="shared" si="48"/>
        <v>0.15111799875315082</v>
      </c>
      <c r="AY167" s="21">
        <f t="shared" si="48"/>
        <v>0.15136427685738901</v>
      </c>
      <c r="AZ167" s="21">
        <f t="shared" si="48"/>
        <v>0.15157545791072771</v>
      </c>
      <c r="BA167" s="21">
        <f t="shared" si="48"/>
        <v>0.15175138566118104</v>
      </c>
      <c r="BB167" s="21">
        <f t="shared" si="48"/>
        <v>0.15189192840525292</v>
      </c>
      <c r="BC167" s="21"/>
    </row>
    <row r="168" spans="1:55" ht="14.4" x14ac:dyDescent="0.3">
      <c r="C168" s="13" t="s">
        <v>283</v>
      </c>
      <c r="F168" s="382"/>
      <c r="G168" s="27">
        <f t="shared" ref="G168:BB168" si="49">G166+G167</f>
        <v>8.986602706510542</v>
      </c>
      <c r="H168" s="27">
        <f t="shared" si="49"/>
        <v>9.1021857293550141</v>
      </c>
      <c r="I168" s="27">
        <f t="shared" si="49"/>
        <v>9.216674178645949</v>
      </c>
      <c r="J168" s="27">
        <f t="shared" si="49"/>
        <v>9.329939861084279</v>
      </c>
      <c r="K168" s="27">
        <f t="shared" si="49"/>
        <v>9.4419398812199375</v>
      </c>
      <c r="L168" s="27">
        <f t="shared" si="49"/>
        <v>9.5525938717154322</v>
      </c>
      <c r="M168" s="27">
        <f t="shared" si="49"/>
        <v>9.6618860549339587</v>
      </c>
      <c r="N168" s="27">
        <f t="shared" si="49"/>
        <v>9.7696936611391028</v>
      </c>
      <c r="O168" s="27">
        <f t="shared" si="49"/>
        <v>9.8759590033462903</v>
      </c>
      <c r="P168" s="27">
        <f t="shared" si="49"/>
        <v>9.9806076308318321</v>
      </c>
      <c r="Q168" s="27">
        <f t="shared" si="49"/>
        <v>10.083553259644434</v>
      </c>
      <c r="R168" s="27">
        <f t="shared" si="49"/>
        <v>10.184753487385176</v>
      </c>
      <c r="S168" s="27">
        <f t="shared" si="49"/>
        <v>10.252621567072119</v>
      </c>
      <c r="T168" s="27">
        <f t="shared" si="49"/>
        <v>10.322463067500889</v>
      </c>
      <c r="U168" s="27">
        <f t="shared" si="49"/>
        <v>10.385641492342573</v>
      </c>
      <c r="V168" s="27">
        <f t="shared" si="49"/>
        <v>10.44203942652454</v>
      </c>
      <c r="W168" s="27">
        <f t="shared" si="49"/>
        <v>10.49151697393839</v>
      </c>
      <c r="X168" s="27">
        <f t="shared" si="49"/>
        <v>10.533958845522589</v>
      </c>
      <c r="Y168" s="27">
        <f t="shared" si="49"/>
        <v>10.569286645809814</v>
      </c>
      <c r="Z168" s="27">
        <f t="shared" si="49"/>
        <v>10.59740943808356</v>
      </c>
      <c r="AA168" s="27">
        <f t="shared" si="49"/>
        <v>10.618220467530389</v>
      </c>
      <c r="AB168" s="27">
        <f t="shared" si="49"/>
        <v>10.631659843773294</v>
      </c>
      <c r="AC168" s="27">
        <f t="shared" si="49"/>
        <v>10.637633574455954</v>
      </c>
      <c r="AD168" s="27">
        <f t="shared" si="49"/>
        <v>10.636091924858828</v>
      </c>
      <c r="AE168" s="27">
        <f t="shared" si="49"/>
        <v>10.627015253662785</v>
      </c>
      <c r="AF168" s="27">
        <f t="shared" si="49"/>
        <v>10.610318469544389</v>
      </c>
      <c r="AG168" s="27">
        <f t="shared" si="49"/>
        <v>10.586000575715527</v>
      </c>
      <c r="AH168" s="27">
        <f t="shared" si="49"/>
        <v>10.581531631619205</v>
      </c>
      <c r="AI168" s="27">
        <f t="shared" si="49"/>
        <v>10.571424004571684</v>
      </c>
      <c r="AJ168" s="27">
        <f t="shared" si="49"/>
        <v>10.555635284529981</v>
      </c>
      <c r="AK168" s="27">
        <f t="shared" si="49"/>
        <v>10.534128796596418</v>
      </c>
      <c r="AL168" s="27">
        <f t="shared" si="49"/>
        <v>10.506873697233466</v>
      </c>
      <c r="AM168" s="27">
        <f t="shared" si="49"/>
        <v>10.47384506209022</v>
      </c>
      <c r="AN168" s="27">
        <f t="shared" si="49"/>
        <v>10.43502396521594</v>
      </c>
      <c r="AO168" s="27">
        <f t="shared" si="49"/>
        <v>10.390397549451974</v>
      </c>
      <c r="AP168" s="27">
        <f t="shared" si="49"/>
        <v>10.339959087810065</v>
      </c>
      <c r="AQ168" s="27">
        <f t="shared" si="49"/>
        <v>10.283708035662141</v>
      </c>
      <c r="AR168" s="27">
        <f t="shared" si="49"/>
        <v>10.221650073584314</v>
      </c>
      <c r="AS168" s="27">
        <f t="shared" si="49"/>
        <v>10.153797140716133</v>
      </c>
      <c r="AT168" s="27">
        <f t="shared" si="49"/>
        <v>10.080167458514547</v>
      </c>
      <c r="AU168" s="27">
        <f t="shared" si="49"/>
        <v>10.000785544801072</v>
      </c>
      <c r="AV168" s="27">
        <f t="shared" si="49"/>
        <v>9.9156822180200965</v>
      </c>
      <c r="AW168" s="27">
        <f t="shared" si="49"/>
        <v>9.8248945916456289</v>
      </c>
      <c r="AX168" s="27">
        <f t="shared" si="49"/>
        <v>9.7284660586940443</v>
      </c>
      <c r="AY168" s="27">
        <f t="shared" si="49"/>
        <v>9.6264462663200199</v>
      </c>
      <c r="AZ168" s="27">
        <f t="shared" si="49"/>
        <v>9.5188910804935301</v>
      </c>
      <c r="BA168" s="27">
        <f t="shared" si="49"/>
        <v>9.4058625407757059</v>
      </c>
      <c r="BB168" s="27">
        <f t="shared" si="49"/>
        <v>9.2874288052321337</v>
      </c>
      <c r="BC168" s="21"/>
    </row>
    <row r="169" spans="1:55" ht="14.4" x14ac:dyDescent="0.3">
      <c r="C169" s="13"/>
      <c r="F169" s="354"/>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1"/>
    </row>
    <row r="170" spans="1:55" ht="14.4" customHeight="1" x14ac:dyDescent="0.3">
      <c r="A170" s="16" t="s">
        <v>313</v>
      </c>
      <c r="B170" s="16"/>
      <c r="C170" s="31" t="s">
        <v>314</v>
      </c>
      <c r="D170" s="351"/>
      <c r="E170" s="351"/>
      <c r="F170" s="35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c r="AV170" s="21"/>
      <c r="AW170" s="21"/>
      <c r="AX170" s="21"/>
      <c r="AY170" s="21"/>
      <c r="AZ170" s="21"/>
      <c r="BA170" s="21"/>
      <c r="BB170" s="21"/>
      <c r="BC170" s="21"/>
    </row>
    <row r="171" spans="1:55" ht="15" customHeight="1" x14ac:dyDescent="0.3">
      <c r="A171" s="45"/>
      <c r="C171" s="13" t="s">
        <v>315</v>
      </c>
    </row>
    <row r="172" spans="1:55" ht="14.4" x14ac:dyDescent="0.3">
      <c r="C172" s="46" t="s">
        <v>316</v>
      </c>
      <c r="E172" s="382" t="s">
        <v>208</v>
      </c>
      <c r="F172" s="382" t="s">
        <v>317</v>
      </c>
      <c r="G172" s="9">
        <v>258.02037170828669</v>
      </c>
      <c r="H172" s="9">
        <v>258.02037170828669</v>
      </c>
      <c r="I172" s="9">
        <v>258.02037170828669</v>
      </c>
      <c r="J172" s="9">
        <v>258.02037170828669</v>
      </c>
      <c r="K172" s="9">
        <v>258.02037170828669</v>
      </c>
      <c r="L172" s="9">
        <v>258.02037170828669</v>
      </c>
      <c r="M172" s="9">
        <v>258.02037170828669</v>
      </c>
      <c r="N172" s="9">
        <v>258.02037170828669</v>
      </c>
      <c r="O172" s="9">
        <v>258.02037170828669</v>
      </c>
      <c r="P172" s="9">
        <v>258.02037170828669</v>
      </c>
      <c r="Q172" s="9">
        <v>258.02037170828669</v>
      </c>
      <c r="R172" s="9">
        <v>258.02037170828669</v>
      </c>
      <c r="S172" s="9">
        <v>258.02037170828669</v>
      </c>
      <c r="T172" s="9">
        <v>258.02037170828669</v>
      </c>
      <c r="U172" s="9">
        <v>258.02037170828669</v>
      </c>
      <c r="V172" s="9">
        <v>258.02037170828669</v>
      </c>
      <c r="W172" s="9">
        <v>258.02037170828669</v>
      </c>
      <c r="X172" s="9">
        <v>258.02037170828669</v>
      </c>
      <c r="Y172" s="9">
        <v>258.02037170828669</v>
      </c>
      <c r="Z172" s="9">
        <v>258.02037170828669</v>
      </c>
      <c r="AA172" s="9">
        <v>258.02037170828669</v>
      </c>
      <c r="AB172" s="9">
        <v>258.02037170828669</v>
      </c>
      <c r="AC172" s="9">
        <v>258.02037170828669</v>
      </c>
      <c r="AD172" s="9">
        <v>258.02037170828669</v>
      </c>
      <c r="AE172" s="9">
        <v>258.02037170828669</v>
      </c>
      <c r="AF172" s="9">
        <v>258.02037170828669</v>
      </c>
      <c r="AG172" s="9">
        <v>258.02037170828669</v>
      </c>
      <c r="AH172" s="9">
        <v>258.02037170828669</v>
      </c>
      <c r="AI172" s="9">
        <v>258.02037170828669</v>
      </c>
      <c r="AJ172" s="9">
        <v>258.02037170828669</v>
      </c>
      <c r="AK172" s="9">
        <v>258.02037170828669</v>
      </c>
      <c r="AL172" s="9">
        <v>258.02037170828669</v>
      </c>
      <c r="AM172" s="9">
        <v>258.02037170828669</v>
      </c>
      <c r="AN172" s="9">
        <v>258.02037170828669</v>
      </c>
      <c r="AO172" s="9">
        <v>258.02037170828669</v>
      </c>
      <c r="AP172" s="9">
        <v>258.02037170828669</v>
      </c>
      <c r="AQ172" s="9">
        <v>258.02037170828669</v>
      </c>
      <c r="AR172" s="9">
        <v>258.02037170828669</v>
      </c>
      <c r="AS172" s="9">
        <v>258.02037170828669</v>
      </c>
      <c r="AT172" s="9">
        <v>258.02037170828669</v>
      </c>
      <c r="AU172" s="9">
        <v>258.02037170828669</v>
      </c>
      <c r="AV172" s="9">
        <v>258.02037170828669</v>
      </c>
      <c r="AW172" s="9">
        <v>258.02037170828669</v>
      </c>
      <c r="AX172" s="9">
        <v>258.02037170828669</v>
      </c>
      <c r="AY172" s="9">
        <v>258.02037170828669</v>
      </c>
      <c r="AZ172" s="9">
        <v>258.02037170828669</v>
      </c>
      <c r="BA172" s="9">
        <v>258.02037170828669</v>
      </c>
      <c r="BB172" s="9">
        <v>258.02037170828669</v>
      </c>
    </row>
    <row r="173" spans="1:55" ht="14.4" x14ac:dyDescent="0.3">
      <c r="C173" s="46" t="s">
        <v>318</v>
      </c>
      <c r="E173" s="382"/>
      <c r="F173" s="382"/>
      <c r="G173" s="9">
        <v>36.404557670617372</v>
      </c>
      <c r="H173" s="9">
        <v>36.404557670617372</v>
      </c>
      <c r="I173" s="9">
        <v>36.404557670617372</v>
      </c>
      <c r="J173" s="9">
        <v>36.404557670617372</v>
      </c>
      <c r="K173" s="9">
        <v>36.404557670617372</v>
      </c>
      <c r="L173" s="9">
        <v>36.404557670617372</v>
      </c>
      <c r="M173" s="9">
        <v>36.404557670617372</v>
      </c>
      <c r="N173" s="9">
        <v>36.404557670617372</v>
      </c>
      <c r="O173" s="9">
        <v>36.404557670617372</v>
      </c>
      <c r="P173" s="9">
        <v>36.404557670617372</v>
      </c>
      <c r="Q173" s="9">
        <v>36.404557670617372</v>
      </c>
      <c r="R173" s="9">
        <v>36.404557670617372</v>
      </c>
      <c r="S173" s="9">
        <v>36.404557670617372</v>
      </c>
      <c r="T173" s="9">
        <v>36.404557670617372</v>
      </c>
      <c r="U173" s="9">
        <v>36.404557670617372</v>
      </c>
      <c r="V173" s="9">
        <v>36.404557670617372</v>
      </c>
      <c r="W173" s="9">
        <v>36.404557670617372</v>
      </c>
      <c r="X173" s="9">
        <v>36.404557670617372</v>
      </c>
      <c r="Y173" s="9">
        <v>36.404557670617372</v>
      </c>
      <c r="Z173" s="9">
        <v>36.404557670617372</v>
      </c>
      <c r="AA173" s="9">
        <v>36.404557670617372</v>
      </c>
      <c r="AB173" s="9">
        <v>36.404557670617372</v>
      </c>
      <c r="AC173" s="9">
        <v>36.404557670617372</v>
      </c>
      <c r="AD173" s="9">
        <v>36.404557670617372</v>
      </c>
      <c r="AE173" s="9">
        <v>36.404557670617372</v>
      </c>
      <c r="AF173" s="9">
        <v>36.404557670617372</v>
      </c>
      <c r="AG173" s="9">
        <v>36.404557670617372</v>
      </c>
      <c r="AH173" s="9">
        <v>36.404557670617372</v>
      </c>
      <c r="AI173" s="9">
        <v>36.404557670617372</v>
      </c>
      <c r="AJ173" s="9">
        <v>36.404557670617372</v>
      </c>
      <c r="AK173" s="9">
        <v>36.404557670617372</v>
      </c>
      <c r="AL173" s="9">
        <v>36.404557670617372</v>
      </c>
      <c r="AM173" s="9">
        <v>36.404557670617372</v>
      </c>
      <c r="AN173" s="9">
        <v>36.404557670617372</v>
      </c>
      <c r="AO173" s="9">
        <v>36.404557670617372</v>
      </c>
      <c r="AP173" s="9">
        <v>36.404557670617372</v>
      </c>
      <c r="AQ173" s="9">
        <v>36.404557670617372</v>
      </c>
      <c r="AR173" s="9">
        <v>36.404557670617372</v>
      </c>
      <c r="AS173" s="9">
        <v>36.404557670617372</v>
      </c>
      <c r="AT173" s="9">
        <v>36.404557670617372</v>
      </c>
      <c r="AU173" s="9">
        <v>36.404557670617372</v>
      </c>
      <c r="AV173" s="9">
        <v>36.404557670617372</v>
      </c>
      <c r="AW173" s="9">
        <v>36.404557670617372</v>
      </c>
      <c r="AX173" s="9">
        <v>36.404557670617372</v>
      </c>
      <c r="AY173" s="9">
        <v>36.404557670617372</v>
      </c>
      <c r="AZ173" s="9">
        <v>36.404557670617372</v>
      </c>
      <c r="BA173" s="9">
        <v>36.404557670617372</v>
      </c>
      <c r="BB173" s="9">
        <v>36.404557670617372</v>
      </c>
    </row>
    <row r="174" spans="1:55" ht="14.4" x14ac:dyDescent="0.3">
      <c r="C174" s="46" t="s">
        <v>319</v>
      </c>
      <c r="E174" s="382"/>
      <c r="F174" s="382"/>
      <c r="G174" s="9">
        <v>11.684574059861857</v>
      </c>
      <c r="H174" s="9">
        <v>11.684574059861857</v>
      </c>
      <c r="I174" s="9">
        <v>11.684574059861857</v>
      </c>
      <c r="J174" s="9">
        <v>11.684574059861857</v>
      </c>
      <c r="K174" s="9">
        <v>11.684574059861857</v>
      </c>
      <c r="L174" s="9">
        <v>11.684574059861857</v>
      </c>
      <c r="M174" s="9">
        <v>11.684574059861857</v>
      </c>
      <c r="N174" s="9">
        <v>11.684574059861857</v>
      </c>
      <c r="O174" s="9">
        <v>11.684574059861857</v>
      </c>
      <c r="P174" s="9">
        <v>11.684574059861857</v>
      </c>
      <c r="Q174" s="9">
        <v>11.684574059861857</v>
      </c>
      <c r="R174" s="9">
        <v>11.684574059861857</v>
      </c>
      <c r="S174" s="9">
        <v>11.684574059861857</v>
      </c>
      <c r="T174" s="9">
        <v>11.684574059861857</v>
      </c>
      <c r="U174" s="9">
        <v>11.684574059861857</v>
      </c>
      <c r="V174" s="9">
        <v>11.684574059861857</v>
      </c>
      <c r="W174" s="9">
        <v>11.684574059861857</v>
      </c>
      <c r="X174" s="9">
        <v>11.684574059861857</v>
      </c>
      <c r="Y174" s="9">
        <v>11.684574059861857</v>
      </c>
      <c r="Z174" s="9">
        <v>11.684574059861857</v>
      </c>
      <c r="AA174" s="9">
        <v>11.684574059861857</v>
      </c>
      <c r="AB174" s="9">
        <v>11.684574059861857</v>
      </c>
      <c r="AC174" s="9">
        <v>11.684574059861857</v>
      </c>
      <c r="AD174" s="9">
        <v>11.684574059861857</v>
      </c>
      <c r="AE174" s="9">
        <v>11.684574059861857</v>
      </c>
      <c r="AF174" s="9">
        <v>11.684574059861857</v>
      </c>
      <c r="AG174" s="9">
        <v>11.684574059861857</v>
      </c>
      <c r="AH174" s="9">
        <v>11.684574059861857</v>
      </c>
      <c r="AI174" s="9">
        <v>11.684574059861857</v>
      </c>
      <c r="AJ174" s="9">
        <v>11.684574059861857</v>
      </c>
      <c r="AK174" s="9">
        <v>11.684574059861857</v>
      </c>
      <c r="AL174" s="9">
        <v>11.684574059861857</v>
      </c>
      <c r="AM174" s="9">
        <v>11.684574059861857</v>
      </c>
      <c r="AN174" s="9">
        <v>11.684574059861857</v>
      </c>
      <c r="AO174" s="9">
        <v>11.684574059861857</v>
      </c>
      <c r="AP174" s="9">
        <v>11.684574059861857</v>
      </c>
      <c r="AQ174" s="9">
        <v>11.684574059861857</v>
      </c>
      <c r="AR174" s="9">
        <v>11.684574059861857</v>
      </c>
      <c r="AS174" s="9">
        <v>11.684574059861857</v>
      </c>
      <c r="AT174" s="9">
        <v>11.684574059861857</v>
      </c>
      <c r="AU174" s="9">
        <v>11.684574059861857</v>
      </c>
      <c r="AV174" s="9">
        <v>11.684574059861857</v>
      </c>
      <c r="AW174" s="9">
        <v>11.684574059861857</v>
      </c>
      <c r="AX174" s="9">
        <v>11.684574059861857</v>
      </c>
      <c r="AY174" s="9">
        <v>11.684574059861857</v>
      </c>
      <c r="AZ174" s="9">
        <v>11.684574059861857</v>
      </c>
      <c r="BA174" s="9">
        <v>11.684574059861857</v>
      </c>
      <c r="BB174" s="9">
        <v>11.684574059861857</v>
      </c>
    </row>
    <row r="175" spans="1:55" ht="14.4" x14ac:dyDescent="0.3">
      <c r="C175" s="46" t="s">
        <v>320</v>
      </c>
      <c r="E175" s="382"/>
      <c r="F175" s="382"/>
      <c r="G175" s="9">
        <v>254.24143465958934</v>
      </c>
      <c r="H175" s="9">
        <v>254.24143465958934</v>
      </c>
      <c r="I175" s="9">
        <v>254.24143465958934</v>
      </c>
      <c r="J175" s="9">
        <v>254.24143465958934</v>
      </c>
      <c r="K175" s="9">
        <v>254.24143465958934</v>
      </c>
      <c r="L175" s="9">
        <v>254.24143465958934</v>
      </c>
      <c r="M175" s="9">
        <v>254.24143465958934</v>
      </c>
      <c r="N175" s="9">
        <v>254.24143465958934</v>
      </c>
      <c r="O175" s="9">
        <v>254.24143465958934</v>
      </c>
      <c r="P175" s="9">
        <v>254.24143465958934</v>
      </c>
      <c r="Q175" s="9">
        <v>254.24143465958934</v>
      </c>
      <c r="R175" s="9">
        <v>254.24143465958934</v>
      </c>
      <c r="S175" s="9">
        <v>254.24143465958934</v>
      </c>
      <c r="T175" s="9">
        <v>254.24143465958934</v>
      </c>
      <c r="U175" s="9">
        <v>254.24143465958934</v>
      </c>
      <c r="V175" s="9">
        <v>254.24143465958934</v>
      </c>
      <c r="W175" s="9">
        <v>254.24143465958934</v>
      </c>
      <c r="X175" s="9">
        <v>254.24143465958934</v>
      </c>
      <c r="Y175" s="9">
        <v>254.24143465958934</v>
      </c>
      <c r="Z175" s="9">
        <v>254.24143465958934</v>
      </c>
      <c r="AA175" s="9">
        <v>254.24143465958934</v>
      </c>
      <c r="AB175" s="9">
        <v>254.24143465958934</v>
      </c>
      <c r="AC175" s="9">
        <v>254.24143465958934</v>
      </c>
      <c r="AD175" s="9">
        <v>254.24143465958934</v>
      </c>
      <c r="AE175" s="9">
        <v>254.24143465958934</v>
      </c>
      <c r="AF175" s="9">
        <v>254.24143465958934</v>
      </c>
      <c r="AG175" s="9">
        <v>254.24143465958934</v>
      </c>
      <c r="AH175" s="9">
        <v>254.24143465958934</v>
      </c>
      <c r="AI175" s="9">
        <v>254.24143465958934</v>
      </c>
      <c r="AJ175" s="9">
        <v>254.24143465958934</v>
      </c>
      <c r="AK175" s="9">
        <v>254.24143465958934</v>
      </c>
      <c r="AL175" s="9">
        <v>254.24143465958934</v>
      </c>
      <c r="AM175" s="9">
        <v>254.24143465958934</v>
      </c>
      <c r="AN175" s="9">
        <v>254.24143465958934</v>
      </c>
      <c r="AO175" s="9">
        <v>254.24143465958934</v>
      </c>
      <c r="AP175" s="9">
        <v>254.24143465958934</v>
      </c>
      <c r="AQ175" s="9">
        <v>254.24143465958934</v>
      </c>
      <c r="AR175" s="9">
        <v>254.24143465958934</v>
      </c>
      <c r="AS175" s="9">
        <v>254.24143465958934</v>
      </c>
      <c r="AT175" s="9">
        <v>254.24143465958934</v>
      </c>
      <c r="AU175" s="9">
        <v>254.24143465958934</v>
      </c>
      <c r="AV175" s="9">
        <v>254.24143465958934</v>
      </c>
      <c r="AW175" s="9">
        <v>254.24143465958934</v>
      </c>
      <c r="AX175" s="9">
        <v>254.24143465958934</v>
      </c>
      <c r="AY175" s="9">
        <v>254.24143465958934</v>
      </c>
      <c r="AZ175" s="9">
        <v>254.24143465958934</v>
      </c>
      <c r="BA175" s="9">
        <v>254.24143465958934</v>
      </c>
      <c r="BB175" s="9">
        <v>254.24143465958934</v>
      </c>
    </row>
    <row r="176" spans="1:55" ht="15" customHeight="1" x14ac:dyDescent="0.3">
      <c r="C176" s="46" t="s">
        <v>321</v>
      </c>
      <c r="E176" s="382"/>
      <c r="F176" s="382"/>
      <c r="G176" s="9">
        <v>100</v>
      </c>
      <c r="H176" s="9">
        <v>100</v>
      </c>
      <c r="I176" s="9">
        <v>100</v>
      </c>
      <c r="J176" s="9">
        <v>100</v>
      </c>
      <c r="K176" s="9">
        <v>100</v>
      </c>
      <c r="L176" s="9">
        <v>100</v>
      </c>
      <c r="M176" s="9">
        <v>100</v>
      </c>
      <c r="N176" s="9">
        <v>100</v>
      </c>
      <c r="O176" s="9">
        <v>100</v>
      </c>
      <c r="P176" s="9">
        <v>100</v>
      </c>
      <c r="Q176" s="9">
        <v>100</v>
      </c>
      <c r="R176" s="9">
        <v>100</v>
      </c>
      <c r="S176" s="9">
        <v>100</v>
      </c>
      <c r="T176" s="9">
        <v>100</v>
      </c>
      <c r="U176" s="9">
        <v>100</v>
      </c>
      <c r="V176" s="9">
        <v>100</v>
      </c>
      <c r="W176" s="9">
        <v>100</v>
      </c>
      <c r="X176" s="9">
        <v>100</v>
      </c>
      <c r="Y176" s="9">
        <v>100</v>
      </c>
      <c r="Z176" s="9">
        <v>100</v>
      </c>
      <c r="AA176" s="9">
        <v>100</v>
      </c>
      <c r="AB176" s="9">
        <v>100</v>
      </c>
      <c r="AC176" s="9">
        <v>100</v>
      </c>
      <c r="AD176" s="9">
        <v>100</v>
      </c>
      <c r="AE176" s="9">
        <v>100</v>
      </c>
      <c r="AF176" s="9">
        <v>100</v>
      </c>
      <c r="AG176" s="9">
        <v>100</v>
      </c>
      <c r="AH176" s="9">
        <v>100</v>
      </c>
      <c r="AI176" s="9">
        <v>100</v>
      </c>
      <c r="AJ176" s="9">
        <v>100</v>
      </c>
      <c r="AK176" s="9">
        <v>100</v>
      </c>
      <c r="AL176" s="9">
        <v>100</v>
      </c>
      <c r="AM176" s="9">
        <v>100</v>
      </c>
      <c r="AN176" s="9">
        <v>100</v>
      </c>
      <c r="AO176" s="9">
        <v>100</v>
      </c>
      <c r="AP176" s="9">
        <v>100</v>
      </c>
      <c r="AQ176" s="9">
        <v>100</v>
      </c>
      <c r="AR176" s="9">
        <v>100</v>
      </c>
      <c r="AS176" s="9">
        <v>100</v>
      </c>
      <c r="AT176" s="9">
        <v>100</v>
      </c>
      <c r="AU176" s="9">
        <v>100</v>
      </c>
      <c r="AV176" s="9">
        <v>100</v>
      </c>
      <c r="AW176" s="9">
        <v>100</v>
      </c>
      <c r="AX176" s="9">
        <v>100</v>
      </c>
      <c r="AY176" s="9">
        <v>100</v>
      </c>
      <c r="AZ176" s="9">
        <v>100</v>
      </c>
      <c r="BA176" s="9">
        <v>100</v>
      </c>
      <c r="BB176" s="9">
        <v>100</v>
      </c>
    </row>
    <row r="177" spans="1:54" ht="15" customHeight="1" x14ac:dyDescent="0.3">
      <c r="C177" s="46" t="s">
        <v>322</v>
      </c>
      <c r="E177" s="382"/>
      <c r="F177" s="382"/>
      <c r="G177" s="9">
        <v>1228.1342055764287</v>
      </c>
      <c r="H177" s="9">
        <v>1228.1342055764287</v>
      </c>
      <c r="I177" s="9">
        <v>1228.1342055764287</v>
      </c>
      <c r="J177" s="9">
        <v>1228.1342055764287</v>
      </c>
      <c r="K177" s="9">
        <v>1228.1342055764287</v>
      </c>
      <c r="L177" s="9">
        <v>1228.1342055764287</v>
      </c>
      <c r="M177" s="9">
        <v>1228.1342055764287</v>
      </c>
      <c r="N177" s="9">
        <v>1228.1342055764287</v>
      </c>
      <c r="O177" s="9">
        <v>1228.1342055764287</v>
      </c>
      <c r="P177" s="9">
        <v>1228.1342055764287</v>
      </c>
      <c r="Q177" s="9">
        <v>1228.1342055764287</v>
      </c>
      <c r="R177" s="9">
        <v>1228.1342055764287</v>
      </c>
      <c r="S177" s="9">
        <v>1228.1342055764287</v>
      </c>
      <c r="T177" s="9">
        <v>1228.1342055764287</v>
      </c>
      <c r="U177" s="9">
        <v>1228.1342055764287</v>
      </c>
      <c r="V177" s="9">
        <v>1228.1342055764287</v>
      </c>
      <c r="W177" s="9">
        <v>1228.1342055764287</v>
      </c>
      <c r="X177" s="9">
        <v>1228.1342055764287</v>
      </c>
      <c r="Y177" s="9">
        <v>1228.1342055764287</v>
      </c>
      <c r="Z177" s="9">
        <v>1228.1342055764287</v>
      </c>
      <c r="AA177" s="9">
        <v>1228.1342055764287</v>
      </c>
      <c r="AB177" s="9">
        <v>1228.1342055764287</v>
      </c>
      <c r="AC177" s="9">
        <v>1228.1342055764287</v>
      </c>
      <c r="AD177" s="9">
        <v>1228.1342055764287</v>
      </c>
      <c r="AE177" s="9">
        <v>1228.1342055764287</v>
      </c>
      <c r="AF177" s="9">
        <v>1228.1342055764287</v>
      </c>
      <c r="AG177" s="9">
        <v>1228.1342055764287</v>
      </c>
      <c r="AH177" s="9">
        <v>1228.1342055764287</v>
      </c>
      <c r="AI177" s="9">
        <v>1228.1342055764287</v>
      </c>
      <c r="AJ177" s="9">
        <v>1228.1342055764287</v>
      </c>
      <c r="AK177" s="9">
        <v>1228.1342055764287</v>
      </c>
      <c r="AL177" s="9">
        <v>1228.1342055764287</v>
      </c>
      <c r="AM177" s="9">
        <v>1228.1342055764287</v>
      </c>
      <c r="AN177" s="9">
        <v>1228.1342055764287</v>
      </c>
      <c r="AO177" s="9">
        <v>1228.1342055764287</v>
      </c>
      <c r="AP177" s="9">
        <v>1228.1342055764287</v>
      </c>
      <c r="AQ177" s="9">
        <v>1228.1342055764287</v>
      </c>
      <c r="AR177" s="9">
        <v>1228.1342055764287</v>
      </c>
      <c r="AS177" s="9">
        <v>1228.1342055764287</v>
      </c>
      <c r="AT177" s="9">
        <v>1228.1342055764287</v>
      </c>
      <c r="AU177" s="9">
        <v>1228.1342055764287</v>
      </c>
      <c r="AV177" s="9">
        <v>1228.1342055764287</v>
      </c>
      <c r="AW177" s="9">
        <v>1228.1342055764287</v>
      </c>
      <c r="AX177" s="9">
        <v>1228.1342055764287</v>
      </c>
      <c r="AY177" s="9">
        <v>1228.1342055764287</v>
      </c>
      <c r="AZ177" s="9">
        <v>1228.1342055764287</v>
      </c>
      <c r="BA177" s="9">
        <v>1228.1342055764287</v>
      </c>
      <c r="BB177" s="9">
        <v>1228.1342055764287</v>
      </c>
    </row>
    <row r="178" spans="1:54" ht="15" customHeight="1" x14ac:dyDescent="0.3">
      <c r="C178" s="46" t="s">
        <v>323</v>
      </c>
      <c r="E178" s="382"/>
      <c r="F178" s="382"/>
      <c r="G178" s="9">
        <v>15.99932606339582</v>
      </c>
      <c r="H178" s="9">
        <v>15.99932606339582</v>
      </c>
      <c r="I178" s="9">
        <v>15.99932606339582</v>
      </c>
      <c r="J178" s="9">
        <v>15.99932606339582</v>
      </c>
      <c r="K178" s="9">
        <v>15.99932606339582</v>
      </c>
      <c r="L178" s="9">
        <v>15.99932606339582</v>
      </c>
      <c r="M178" s="9">
        <v>15.99932606339582</v>
      </c>
      <c r="N178" s="9">
        <v>15.99932606339582</v>
      </c>
      <c r="O178" s="9">
        <v>15.99932606339582</v>
      </c>
      <c r="P178" s="9">
        <v>15.99932606339582</v>
      </c>
      <c r="Q178" s="9">
        <v>15.99932606339582</v>
      </c>
      <c r="R178" s="9">
        <v>15.99932606339582</v>
      </c>
      <c r="S178" s="9">
        <v>15.99932606339582</v>
      </c>
      <c r="T178" s="9">
        <v>15.99932606339582</v>
      </c>
      <c r="U178" s="9">
        <v>15.99932606339582</v>
      </c>
      <c r="V178" s="9">
        <v>15.99932606339582</v>
      </c>
      <c r="W178" s="9">
        <v>15.99932606339582</v>
      </c>
      <c r="X178" s="9">
        <v>15.99932606339582</v>
      </c>
      <c r="Y178" s="9">
        <v>15.99932606339582</v>
      </c>
      <c r="Z178" s="9">
        <v>15.99932606339582</v>
      </c>
      <c r="AA178" s="9">
        <v>15.99932606339582</v>
      </c>
      <c r="AB178" s="9">
        <v>15.99932606339582</v>
      </c>
      <c r="AC178" s="9">
        <v>15.99932606339582</v>
      </c>
      <c r="AD178" s="9">
        <v>15.99932606339582</v>
      </c>
      <c r="AE178" s="9">
        <v>15.99932606339582</v>
      </c>
      <c r="AF178" s="9">
        <v>15.99932606339582</v>
      </c>
      <c r="AG178" s="9">
        <v>15.99932606339582</v>
      </c>
      <c r="AH178" s="9">
        <v>15.99932606339582</v>
      </c>
      <c r="AI178" s="9">
        <v>15.99932606339582</v>
      </c>
      <c r="AJ178" s="9">
        <v>15.99932606339582</v>
      </c>
      <c r="AK178" s="9">
        <v>15.99932606339582</v>
      </c>
      <c r="AL178" s="9">
        <v>15.99932606339582</v>
      </c>
      <c r="AM178" s="9">
        <v>15.99932606339582</v>
      </c>
      <c r="AN178" s="9">
        <v>15.99932606339582</v>
      </c>
      <c r="AO178" s="9">
        <v>15.99932606339582</v>
      </c>
      <c r="AP178" s="9">
        <v>15.99932606339582</v>
      </c>
      <c r="AQ178" s="9">
        <v>15.99932606339582</v>
      </c>
      <c r="AR178" s="9">
        <v>15.99932606339582</v>
      </c>
      <c r="AS178" s="9">
        <v>15.99932606339582</v>
      </c>
      <c r="AT178" s="9">
        <v>15.99932606339582</v>
      </c>
      <c r="AU178" s="9">
        <v>15.99932606339582</v>
      </c>
      <c r="AV178" s="9">
        <v>15.99932606339582</v>
      </c>
      <c r="AW178" s="9">
        <v>15.99932606339582</v>
      </c>
      <c r="AX178" s="9">
        <v>15.99932606339582</v>
      </c>
      <c r="AY178" s="9">
        <v>15.99932606339582</v>
      </c>
      <c r="AZ178" s="9">
        <v>15.99932606339582</v>
      </c>
      <c r="BA178" s="9">
        <v>15.99932606339582</v>
      </c>
      <c r="BB178" s="9">
        <v>15.99932606339582</v>
      </c>
    </row>
    <row r="179" spans="1:54" ht="15" customHeight="1" x14ac:dyDescent="0.3">
      <c r="C179" s="46" t="s">
        <v>324</v>
      </c>
      <c r="E179" s="382"/>
      <c r="F179" s="382"/>
      <c r="G179" s="9">
        <v>110.90409238283021</v>
      </c>
      <c r="H179" s="9">
        <v>110.90409238283021</v>
      </c>
      <c r="I179" s="9">
        <v>110.90409238283021</v>
      </c>
      <c r="J179" s="9">
        <v>110.90409238283021</v>
      </c>
      <c r="K179" s="9">
        <v>110.90409238283021</v>
      </c>
      <c r="L179" s="9">
        <v>110.90409238283021</v>
      </c>
      <c r="M179" s="9">
        <v>110.90409238283021</v>
      </c>
      <c r="N179" s="9">
        <v>110.90409238283021</v>
      </c>
      <c r="O179" s="9">
        <v>110.90409238283021</v>
      </c>
      <c r="P179" s="9">
        <v>110.90409238283021</v>
      </c>
      <c r="Q179" s="9">
        <v>110.90409238283021</v>
      </c>
      <c r="R179" s="9">
        <v>110.90409238283021</v>
      </c>
      <c r="S179" s="9">
        <v>110.90409238283021</v>
      </c>
      <c r="T179" s="9">
        <v>110.90409238283021</v>
      </c>
      <c r="U179" s="9">
        <v>110.90409238283021</v>
      </c>
      <c r="V179" s="9">
        <v>110.90409238283021</v>
      </c>
      <c r="W179" s="9">
        <v>110.90409238283021</v>
      </c>
      <c r="X179" s="9">
        <v>110.90409238283021</v>
      </c>
      <c r="Y179" s="9">
        <v>110.90409238283021</v>
      </c>
      <c r="Z179" s="9">
        <v>110.90409238283021</v>
      </c>
      <c r="AA179" s="9">
        <v>110.90409238283021</v>
      </c>
      <c r="AB179" s="9">
        <v>110.90409238283021</v>
      </c>
      <c r="AC179" s="9">
        <v>110.90409238283021</v>
      </c>
      <c r="AD179" s="9">
        <v>110.90409238283021</v>
      </c>
      <c r="AE179" s="9">
        <v>110.90409238283021</v>
      </c>
      <c r="AF179" s="9">
        <v>110.90409238283021</v>
      </c>
      <c r="AG179" s="9">
        <v>110.90409238283021</v>
      </c>
      <c r="AH179" s="9">
        <v>110.90409238283021</v>
      </c>
      <c r="AI179" s="9">
        <v>110.90409238283021</v>
      </c>
      <c r="AJ179" s="9">
        <v>110.90409238283021</v>
      </c>
      <c r="AK179" s="9">
        <v>110.90409238283021</v>
      </c>
      <c r="AL179" s="9">
        <v>110.90409238283021</v>
      </c>
      <c r="AM179" s="9">
        <v>110.90409238283021</v>
      </c>
      <c r="AN179" s="9">
        <v>110.90409238283021</v>
      </c>
      <c r="AO179" s="9">
        <v>110.90409238283021</v>
      </c>
      <c r="AP179" s="9">
        <v>110.90409238283021</v>
      </c>
      <c r="AQ179" s="9">
        <v>110.90409238283021</v>
      </c>
      <c r="AR179" s="9">
        <v>110.90409238283021</v>
      </c>
      <c r="AS179" s="9">
        <v>110.90409238283021</v>
      </c>
      <c r="AT179" s="9">
        <v>110.90409238283021</v>
      </c>
      <c r="AU179" s="9">
        <v>110.90409238283021</v>
      </c>
      <c r="AV179" s="9">
        <v>110.90409238283021</v>
      </c>
      <c r="AW179" s="9">
        <v>110.90409238283021</v>
      </c>
      <c r="AX179" s="9">
        <v>110.90409238283021</v>
      </c>
      <c r="AY179" s="9">
        <v>110.90409238283021</v>
      </c>
      <c r="AZ179" s="9">
        <v>110.90409238283021</v>
      </c>
      <c r="BA179" s="9">
        <v>110.90409238283021</v>
      </c>
      <c r="BB179" s="9">
        <v>110.90409238283021</v>
      </c>
    </row>
    <row r="180" spans="1:54" ht="15" customHeight="1" x14ac:dyDescent="0.3">
      <c r="C180" s="46" t="s">
        <v>325</v>
      </c>
      <c r="E180" s="382"/>
      <c r="F180" s="382"/>
      <c r="G180" s="9">
        <v>42</v>
      </c>
      <c r="H180" s="9">
        <v>42</v>
      </c>
      <c r="I180" s="9">
        <v>42</v>
      </c>
      <c r="J180" s="9">
        <v>42</v>
      </c>
      <c r="K180" s="9">
        <v>42</v>
      </c>
      <c r="L180" s="9">
        <v>42</v>
      </c>
      <c r="M180" s="9">
        <v>42</v>
      </c>
      <c r="N180" s="9">
        <v>42</v>
      </c>
      <c r="O180" s="9">
        <v>42</v>
      </c>
      <c r="P180" s="9">
        <v>42</v>
      </c>
      <c r="Q180" s="9">
        <v>42</v>
      </c>
      <c r="R180" s="9">
        <v>42</v>
      </c>
      <c r="S180" s="9">
        <v>42</v>
      </c>
      <c r="T180" s="9">
        <v>42</v>
      </c>
      <c r="U180" s="9">
        <v>42</v>
      </c>
      <c r="V180" s="9">
        <v>42</v>
      </c>
      <c r="W180" s="9">
        <v>42</v>
      </c>
      <c r="X180" s="9">
        <v>42</v>
      </c>
      <c r="Y180" s="9">
        <v>42</v>
      </c>
      <c r="Z180" s="9">
        <v>42</v>
      </c>
      <c r="AA180" s="9">
        <v>42</v>
      </c>
      <c r="AB180" s="9">
        <v>42</v>
      </c>
      <c r="AC180" s="9">
        <v>42</v>
      </c>
      <c r="AD180" s="9">
        <v>42</v>
      </c>
      <c r="AE180" s="9">
        <v>42</v>
      </c>
      <c r="AF180" s="9">
        <v>42</v>
      </c>
      <c r="AG180" s="9">
        <v>42</v>
      </c>
      <c r="AH180" s="9">
        <v>42</v>
      </c>
      <c r="AI180" s="9">
        <v>42</v>
      </c>
      <c r="AJ180" s="9">
        <v>42</v>
      </c>
      <c r="AK180" s="9">
        <v>42</v>
      </c>
      <c r="AL180" s="9">
        <v>42</v>
      </c>
      <c r="AM180" s="9">
        <v>42</v>
      </c>
      <c r="AN180" s="9">
        <v>42</v>
      </c>
      <c r="AO180" s="9">
        <v>42</v>
      </c>
      <c r="AP180" s="9">
        <v>42</v>
      </c>
      <c r="AQ180" s="9">
        <v>42</v>
      </c>
      <c r="AR180" s="9">
        <v>42</v>
      </c>
      <c r="AS180" s="9">
        <v>42</v>
      </c>
      <c r="AT180" s="9">
        <v>42</v>
      </c>
      <c r="AU180" s="9">
        <v>42</v>
      </c>
      <c r="AV180" s="9">
        <v>42</v>
      </c>
      <c r="AW180" s="9">
        <v>42</v>
      </c>
      <c r="AX180" s="9">
        <v>42</v>
      </c>
      <c r="AY180" s="9">
        <v>42</v>
      </c>
      <c r="AZ180" s="9">
        <v>42</v>
      </c>
      <c r="BA180" s="9">
        <v>42</v>
      </c>
      <c r="BB180" s="9">
        <v>42</v>
      </c>
    </row>
    <row r="181" spans="1:54" ht="15" customHeight="1" x14ac:dyDescent="0.3">
      <c r="C181" s="46" t="s">
        <v>326</v>
      </c>
      <c r="E181" s="382"/>
      <c r="F181" s="382"/>
      <c r="G181" s="9">
        <v>77.581978899344179</v>
      </c>
      <c r="H181" s="9">
        <v>77.581978899344179</v>
      </c>
      <c r="I181" s="9">
        <v>77.581978899344179</v>
      </c>
      <c r="J181" s="9">
        <v>77.581978899344179</v>
      </c>
      <c r="K181" s="9">
        <v>77.581978899344179</v>
      </c>
      <c r="L181" s="9">
        <v>77.581978899344179</v>
      </c>
      <c r="M181" s="9">
        <v>77.581978899344179</v>
      </c>
      <c r="N181" s="9">
        <v>77.581978899344179</v>
      </c>
      <c r="O181" s="9">
        <v>77.581978899344179</v>
      </c>
      <c r="P181" s="9">
        <v>77.581978899344179</v>
      </c>
      <c r="Q181" s="9">
        <v>77.581978899344179</v>
      </c>
      <c r="R181" s="9">
        <v>77.581978899344179</v>
      </c>
      <c r="S181" s="9">
        <v>77.581978899344179</v>
      </c>
      <c r="T181" s="9">
        <v>77.581978899344179</v>
      </c>
      <c r="U181" s="9">
        <v>77.581978899344179</v>
      </c>
      <c r="V181" s="9">
        <v>77.581978899344179</v>
      </c>
      <c r="W181" s="9">
        <v>77.581978899344179</v>
      </c>
      <c r="X181" s="9">
        <v>77.581978899344179</v>
      </c>
      <c r="Y181" s="9">
        <v>77.581978899344179</v>
      </c>
      <c r="Z181" s="9">
        <v>77.581978899344179</v>
      </c>
      <c r="AA181" s="9">
        <v>77.581978899344179</v>
      </c>
      <c r="AB181" s="9">
        <v>77.581978899344179</v>
      </c>
      <c r="AC181" s="9">
        <v>77.581978899344179</v>
      </c>
      <c r="AD181" s="9">
        <v>77.581978899344179</v>
      </c>
      <c r="AE181" s="9">
        <v>77.581978899344179</v>
      </c>
      <c r="AF181" s="9">
        <v>77.581978899344179</v>
      </c>
      <c r="AG181" s="9">
        <v>77.581978899344179</v>
      </c>
      <c r="AH181" s="9">
        <v>77.581978899344179</v>
      </c>
      <c r="AI181" s="9">
        <v>77.581978899344179</v>
      </c>
      <c r="AJ181" s="9">
        <v>77.581978899344179</v>
      </c>
      <c r="AK181" s="9">
        <v>77.581978899344179</v>
      </c>
      <c r="AL181" s="9">
        <v>77.581978899344179</v>
      </c>
      <c r="AM181" s="9">
        <v>77.581978899344179</v>
      </c>
      <c r="AN181" s="9">
        <v>77.581978899344179</v>
      </c>
      <c r="AO181" s="9">
        <v>77.581978899344179</v>
      </c>
      <c r="AP181" s="9">
        <v>77.581978899344179</v>
      </c>
      <c r="AQ181" s="9">
        <v>77.581978899344179</v>
      </c>
      <c r="AR181" s="9">
        <v>77.581978899344179</v>
      </c>
      <c r="AS181" s="9">
        <v>77.581978899344179</v>
      </c>
      <c r="AT181" s="9">
        <v>77.581978899344179</v>
      </c>
      <c r="AU181" s="9">
        <v>77.581978899344179</v>
      </c>
      <c r="AV181" s="9">
        <v>77.581978899344179</v>
      </c>
      <c r="AW181" s="9">
        <v>77.581978899344179</v>
      </c>
      <c r="AX181" s="9">
        <v>77.581978899344179</v>
      </c>
      <c r="AY181" s="9">
        <v>77.581978899344179</v>
      </c>
      <c r="AZ181" s="9">
        <v>77.581978899344179</v>
      </c>
      <c r="BA181" s="9">
        <v>77.581978899344179</v>
      </c>
      <c r="BB181" s="9">
        <v>77.581978899344179</v>
      </c>
    </row>
    <row r="182" spans="1:54" ht="15" customHeight="1" x14ac:dyDescent="0.3">
      <c r="C182" s="46" t="s">
        <v>327</v>
      </c>
      <c r="E182" s="382"/>
      <c r="F182" s="382"/>
      <c r="G182" s="9">
        <v>181.62668077306336</v>
      </c>
      <c r="H182" s="9">
        <v>181.62668077306336</v>
      </c>
      <c r="I182" s="9">
        <v>181.62668077306336</v>
      </c>
      <c r="J182" s="9">
        <v>181.62668077306336</v>
      </c>
      <c r="K182" s="9">
        <v>181.62668077306336</v>
      </c>
      <c r="L182" s="9">
        <v>181.62668077306336</v>
      </c>
      <c r="M182" s="9">
        <v>181.62668077306336</v>
      </c>
      <c r="N182" s="9">
        <v>181.62668077306336</v>
      </c>
      <c r="O182" s="9">
        <v>181.62668077306336</v>
      </c>
      <c r="P182" s="9">
        <v>181.62668077306336</v>
      </c>
      <c r="Q182" s="9">
        <v>181.62668077306336</v>
      </c>
      <c r="R182" s="9">
        <v>181.62668077306336</v>
      </c>
      <c r="S182" s="9">
        <v>181.62668077306336</v>
      </c>
      <c r="T182" s="9">
        <v>181.62668077306336</v>
      </c>
      <c r="U182" s="9">
        <v>181.62668077306336</v>
      </c>
      <c r="V182" s="9">
        <v>181.62668077306336</v>
      </c>
      <c r="W182" s="9">
        <v>181.62668077306336</v>
      </c>
      <c r="X182" s="9">
        <v>181.62668077306336</v>
      </c>
      <c r="Y182" s="9">
        <v>181.62668077306336</v>
      </c>
      <c r="Z182" s="9">
        <v>181.62668077306336</v>
      </c>
      <c r="AA182" s="9">
        <v>181.62668077306336</v>
      </c>
      <c r="AB182" s="9">
        <v>181.62668077306336</v>
      </c>
      <c r="AC182" s="9">
        <v>181.62668077306336</v>
      </c>
      <c r="AD182" s="9">
        <v>181.62668077306336</v>
      </c>
      <c r="AE182" s="9">
        <v>181.62668077306336</v>
      </c>
      <c r="AF182" s="9">
        <v>181.62668077306336</v>
      </c>
      <c r="AG182" s="9">
        <v>181.62668077306336</v>
      </c>
      <c r="AH182" s="9">
        <v>181.62668077306336</v>
      </c>
      <c r="AI182" s="9">
        <v>181.62668077306336</v>
      </c>
      <c r="AJ182" s="9">
        <v>181.62668077306336</v>
      </c>
      <c r="AK182" s="9">
        <v>181.62668077306336</v>
      </c>
      <c r="AL182" s="9">
        <v>181.62668077306336</v>
      </c>
      <c r="AM182" s="9">
        <v>181.62668077306336</v>
      </c>
      <c r="AN182" s="9">
        <v>181.62668077306336</v>
      </c>
      <c r="AO182" s="9">
        <v>181.62668077306336</v>
      </c>
      <c r="AP182" s="9">
        <v>181.62668077306336</v>
      </c>
      <c r="AQ182" s="9">
        <v>181.62668077306336</v>
      </c>
      <c r="AR182" s="9">
        <v>181.62668077306336</v>
      </c>
      <c r="AS182" s="9">
        <v>181.62668077306336</v>
      </c>
      <c r="AT182" s="9">
        <v>181.62668077306336</v>
      </c>
      <c r="AU182" s="9">
        <v>181.62668077306336</v>
      </c>
      <c r="AV182" s="9">
        <v>181.62668077306336</v>
      </c>
      <c r="AW182" s="9">
        <v>181.62668077306336</v>
      </c>
      <c r="AX182" s="9">
        <v>181.62668077306336</v>
      </c>
      <c r="AY182" s="9">
        <v>181.62668077306336</v>
      </c>
      <c r="AZ182" s="9">
        <v>181.62668077306336</v>
      </c>
      <c r="BA182" s="9">
        <v>181.62668077306336</v>
      </c>
      <c r="BB182" s="9">
        <v>181.62668077306336</v>
      </c>
    </row>
    <row r="183" spans="1:54" ht="15" customHeight="1" x14ac:dyDescent="0.3">
      <c r="C183" s="46" t="s">
        <v>328</v>
      </c>
      <c r="E183" s="382"/>
      <c r="F183" s="382"/>
      <c r="G183" s="9">
        <v>196.47889034825755</v>
      </c>
      <c r="H183" s="9">
        <v>196.47889034825755</v>
      </c>
      <c r="I183" s="9">
        <v>196.47889034825755</v>
      </c>
      <c r="J183" s="9">
        <v>196.47889034825755</v>
      </c>
      <c r="K183" s="9">
        <v>196.47889034825755</v>
      </c>
      <c r="L183" s="9">
        <v>196.47889034825755</v>
      </c>
      <c r="M183" s="9">
        <v>196.47889034825755</v>
      </c>
      <c r="N183" s="9">
        <v>196.47889034825755</v>
      </c>
      <c r="O183" s="9">
        <v>196.47889034825755</v>
      </c>
      <c r="P183" s="9">
        <v>196.47889034825755</v>
      </c>
      <c r="Q183" s="9">
        <v>196.47889034825755</v>
      </c>
      <c r="R183" s="9">
        <v>196.47889034825755</v>
      </c>
      <c r="S183" s="9">
        <v>196.47889034825755</v>
      </c>
      <c r="T183" s="9">
        <v>196.47889034825755</v>
      </c>
      <c r="U183" s="9">
        <v>196.47889034825755</v>
      </c>
      <c r="V183" s="9">
        <v>196.47889034825755</v>
      </c>
      <c r="W183" s="9">
        <v>196.47889034825755</v>
      </c>
      <c r="X183" s="9">
        <v>196.47889034825755</v>
      </c>
      <c r="Y183" s="9">
        <v>196.47889034825755</v>
      </c>
      <c r="Z183" s="9">
        <v>196.47889034825755</v>
      </c>
      <c r="AA183" s="9">
        <v>196.47889034825755</v>
      </c>
      <c r="AB183" s="9">
        <v>196.47889034825755</v>
      </c>
      <c r="AC183" s="9">
        <v>196.47889034825755</v>
      </c>
      <c r="AD183" s="9">
        <v>196.47889034825755</v>
      </c>
      <c r="AE183" s="9">
        <v>196.47889034825755</v>
      </c>
      <c r="AF183" s="9">
        <v>196.47889034825755</v>
      </c>
      <c r="AG183" s="9">
        <v>196.47889034825755</v>
      </c>
      <c r="AH183" s="9">
        <v>196.47889034825755</v>
      </c>
      <c r="AI183" s="9">
        <v>196.47889034825755</v>
      </c>
      <c r="AJ183" s="9">
        <v>196.47889034825755</v>
      </c>
      <c r="AK183" s="9">
        <v>196.47889034825755</v>
      </c>
      <c r="AL183" s="9">
        <v>196.47889034825755</v>
      </c>
      <c r="AM183" s="9">
        <v>196.47889034825755</v>
      </c>
      <c r="AN183" s="9">
        <v>196.47889034825755</v>
      </c>
      <c r="AO183" s="9">
        <v>196.47889034825755</v>
      </c>
      <c r="AP183" s="9">
        <v>196.47889034825755</v>
      </c>
      <c r="AQ183" s="9">
        <v>196.47889034825755</v>
      </c>
      <c r="AR183" s="9">
        <v>196.47889034825755</v>
      </c>
      <c r="AS183" s="9">
        <v>196.47889034825755</v>
      </c>
      <c r="AT183" s="9">
        <v>196.47889034825755</v>
      </c>
      <c r="AU183" s="9">
        <v>196.47889034825755</v>
      </c>
      <c r="AV183" s="9">
        <v>196.47889034825755</v>
      </c>
      <c r="AW183" s="9">
        <v>196.47889034825755</v>
      </c>
      <c r="AX183" s="9">
        <v>196.47889034825755</v>
      </c>
      <c r="AY183" s="9">
        <v>196.47889034825755</v>
      </c>
      <c r="AZ183" s="9">
        <v>196.47889034825755</v>
      </c>
      <c r="BA183" s="9">
        <v>196.47889034825755</v>
      </c>
      <c r="BB183" s="9">
        <v>196.47889034825755</v>
      </c>
    </row>
    <row r="184" spans="1:54" ht="15" customHeight="1" x14ac:dyDescent="0.3">
      <c r="C184" s="46" t="s">
        <v>329</v>
      </c>
      <c r="E184" s="382"/>
      <c r="F184" s="382"/>
      <c r="G184" s="9">
        <v>144.59556775245881</v>
      </c>
      <c r="H184" s="9">
        <v>144.59556775245881</v>
      </c>
      <c r="I184" s="9">
        <v>144.59556775245881</v>
      </c>
      <c r="J184" s="9">
        <v>144.59556775245881</v>
      </c>
      <c r="K184" s="9">
        <v>144.59556775245881</v>
      </c>
      <c r="L184" s="9">
        <v>144.59556775245881</v>
      </c>
      <c r="M184" s="9">
        <v>144.59556775245881</v>
      </c>
      <c r="N184" s="9">
        <v>144.59556775245881</v>
      </c>
      <c r="O184" s="9">
        <v>144.59556775245881</v>
      </c>
      <c r="P184" s="9">
        <v>144.59556775245881</v>
      </c>
      <c r="Q184" s="9">
        <v>144.59556775245881</v>
      </c>
      <c r="R184" s="9">
        <v>144.59556775245881</v>
      </c>
      <c r="S184" s="9">
        <v>144.59556775245881</v>
      </c>
      <c r="T184" s="9">
        <v>144.59556775245881</v>
      </c>
      <c r="U184" s="9">
        <v>144.59556775245881</v>
      </c>
      <c r="V184" s="9">
        <v>144.59556775245881</v>
      </c>
      <c r="W184" s="9">
        <v>144.59556775245881</v>
      </c>
      <c r="X184" s="9">
        <v>144.59556775245881</v>
      </c>
      <c r="Y184" s="9">
        <v>144.59556775245881</v>
      </c>
      <c r="Z184" s="9">
        <v>144.59556775245881</v>
      </c>
      <c r="AA184" s="9">
        <v>144.59556775245881</v>
      </c>
      <c r="AB184" s="9">
        <v>144.59556775245881</v>
      </c>
      <c r="AC184" s="9">
        <v>144.59556775245881</v>
      </c>
      <c r="AD184" s="9">
        <v>144.59556775245881</v>
      </c>
      <c r="AE184" s="9">
        <v>144.59556775245881</v>
      </c>
      <c r="AF184" s="9">
        <v>144.59556775245881</v>
      </c>
      <c r="AG184" s="9">
        <v>144.59556775245881</v>
      </c>
      <c r="AH184" s="9">
        <v>144.59556775245881</v>
      </c>
      <c r="AI184" s="9">
        <v>144.59556775245881</v>
      </c>
      <c r="AJ184" s="9">
        <v>144.59556775245881</v>
      </c>
      <c r="AK184" s="9">
        <v>144.59556775245881</v>
      </c>
      <c r="AL184" s="9">
        <v>144.59556775245881</v>
      </c>
      <c r="AM184" s="9">
        <v>144.59556775245881</v>
      </c>
      <c r="AN184" s="9">
        <v>144.59556775245881</v>
      </c>
      <c r="AO184" s="9">
        <v>144.59556775245881</v>
      </c>
      <c r="AP184" s="9">
        <v>144.59556775245881</v>
      </c>
      <c r="AQ184" s="9">
        <v>144.59556775245881</v>
      </c>
      <c r="AR184" s="9">
        <v>144.59556775245881</v>
      </c>
      <c r="AS184" s="9">
        <v>144.59556775245881</v>
      </c>
      <c r="AT184" s="9">
        <v>144.59556775245881</v>
      </c>
      <c r="AU184" s="9">
        <v>144.59556775245881</v>
      </c>
      <c r="AV184" s="9">
        <v>144.59556775245881</v>
      </c>
      <c r="AW184" s="9">
        <v>144.59556775245881</v>
      </c>
      <c r="AX184" s="9">
        <v>144.59556775245881</v>
      </c>
      <c r="AY184" s="9">
        <v>144.59556775245881</v>
      </c>
      <c r="AZ184" s="9">
        <v>144.59556775245881</v>
      </c>
      <c r="BA184" s="9">
        <v>144.59556775245881</v>
      </c>
      <c r="BB184" s="9">
        <v>144.59556775245881</v>
      </c>
    </row>
    <row r="185" spans="1:54" ht="15" customHeight="1" x14ac:dyDescent="0.3">
      <c r="C185" s="46" t="s">
        <v>330</v>
      </c>
      <c r="E185" s="382"/>
      <c r="F185" s="382"/>
      <c r="G185" s="9">
        <v>1427.6799996846501</v>
      </c>
      <c r="H185" s="9">
        <v>1427.6799996846501</v>
      </c>
      <c r="I185" s="9">
        <v>1427.6799996846501</v>
      </c>
      <c r="J185" s="9">
        <v>1427.6799996846501</v>
      </c>
      <c r="K185" s="9">
        <v>1427.6799996846501</v>
      </c>
      <c r="L185" s="9">
        <v>1427.6799996846501</v>
      </c>
      <c r="M185" s="9">
        <v>1427.6799996846501</v>
      </c>
      <c r="N185" s="9">
        <v>1427.6799996846501</v>
      </c>
      <c r="O185" s="9">
        <v>1427.6799996846501</v>
      </c>
      <c r="P185" s="9">
        <v>1427.6799996846501</v>
      </c>
      <c r="Q185" s="9">
        <v>1427.6799996846501</v>
      </c>
      <c r="R185" s="9">
        <v>1427.6799996846501</v>
      </c>
      <c r="S185" s="9">
        <v>1427.6799996846501</v>
      </c>
      <c r="T185" s="9">
        <v>1427.6799996846501</v>
      </c>
      <c r="U185" s="9">
        <v>1427.6799996846501</v>
      </c>
      <c r="V185" s="9">
        <v>1427.6799996846501</v>
      </c>
      <c r="W185" s="9">
        <v>1427.6799996846501</v>
      </c>
      <c r="X185" s="9">
        <v>1427.6799996846501</v>
      </c>
      <c r="Y185" s="9">
        <v>1427.6799996846501</v>
      </c>
      <c r="Z185" s="9">
        <v>1427.6799996846501</v>
      </c>
      <c r="AA185" s="9">
        <v>1427.6799996846501</v>
      </c>
      <c r="AB185" s="9">
        <v>1427.6799996846501</v>
      </c>
      <c r="AC185" s="9">
        <v>1427.6799996846501</v>
      </c>
      <c r="AD185" s="9">
        <v>1427.6799996846501</v>
      </c>
      <c r="AE185" s="9">
        <v>1427.6799996846501</v>
      </c>
      <c r="AF185" s="9">
        <v>1427.6799996846501</v>
      </c>
      <c r="AG185" s="9">
        <v>1427.6799996846501</v>
      </c>
      <c r="AH185" s="9">
        <v>1427.6799996846501</v>
      </c>
      <c r="AI185" s="9">
        <v>1427.6799996846501</v>
      </c>
      <c r="AJ185" s="9">
        <v>1427.6799996846501</v>
      </c>
      <c r="AK185" s="9">
        <v>1427.6799996846501</v>
      </c>
      <c r="AL185" s="9">
        <v>1427.6799996846501</v>
      </c>
      <c r="AM185" s="9">
        <v>1427.6799996846501</v>
      </c>
      <c r="AN185" s="9">
        <v>1427.6799996846501</v>
      </c>
      <c r="AO185" s="9">
        <v>1427.6799996846501</v>
      </c>
      <c r="AP185" s="9">
        <v>1427.6799996846501</v>
      </c>
      <c r="AQ185" s="9">
        <v>1427.6799996846501</v>
      </c>
      <c r="AR185" s="9">
        <v>1427.6799996846501</v>
      </c>
      <c r="AS185" s="9">
        <v>1427.6799996846501</v>
      </c>
      <c r="AT185" s="9">
        <v>1427.6799996846501</v>
      </c>
      <c r="AU185" s="9">
        <v>1427.6799996846501</v>
      </c>
      <c r="AV185" s="9">
        <v>1427.6799996846501</v>
      </c>
      <c r="AW185" s="9">
        <v>1427.6799996846501</v>
      </c>
      <c r="AX185" s="9">
        <v>1427.6799996846501</v>
      </c>
      <c r="AY185" s="9">
        <v>1427.6799996846501</v>
      </c>
      <c r="AZ185" s="9">
        <v>1427.6799996846501</v>
      </c>
      <c r="BA185" s="9">
        <v>1427.6799996846501</v>
      </c>
      <c r="BB185" s="9">
        <v>1427.6799996846501</v>
      </c>
    </row>
    <row r="186" spans="1:54" ht="15" customHeight="1" x14ac:dyDescent="0.3">
      <c r="C186" s="46" t="s">
        <v>331</v>
      </c>
      <c r="E186" s="382"/>
      <c r="F186" s="382"/>
      <c r="G186" s="9">
        <v>3000</v>
      </c>
      <c r="H186" s="9">
        <v>3000</v>
      </c>
      <c r="I186" s="9">
        <v>3000</v>
      </c>
      <c r="J186" s="9">
        <v>3000</v>
      </c>
      <c r="K186" s="9">
        <v>3000</v>
      </c>
      <c r="L186" s="9">
        <v>3000</v>
      </c>
      <c r="M186" s="9">
        <v>3000</v>
      </c>
      <c r="N186" s="9">
        <v>3000</v>
      </c>
      <c r="O186" s="9">
        <v>3000</v>
      </c>
      <c r="P186" s="9">
        <v>3000</v>
      </c>
      <c r="Q186" s="9">
        <v>3000</v>
      </c>
      <c r="R186" s="9">
        <v>3000</v>
      </c>
      <c r="S186" s="9">
        <v>3000</v>
      </c>
      <c r="T186" s="9">
        <v>3000</v>
      </c>
      <c r="U186" s="9">
        <v>3000</v>
      </c>
      <c r="V186" s="9">
        <v>3000</v>
      </c>
      <c r="W186" s="9">
        <v>3000</v>
      </c>
      <c r="X186" s="9">
        <v>3000</v>
      </c>
      <c r="Y186" s="9">
        <v>3000</v>
      </c>
      <c r="Z186" s="9">
        <v>3000</v>
      </c>
      <c r="AA186" s="9">
        <v>3000</v>
      </c>
      <c r="AB186" s="9">
        <v>3000</v>
      </c>
      <c r="AC186" s="9">
        <v>3000</v>
      </c>
      <c r="AD186" s="9">
        <v>3000</v>
      </c>
      <c r="AE186" s="9">
        <v>3000</v>
      </c>
      <c r="AF186" s="9">
        <v>3000</v>
      </c>
      <c r="AG186" s="9">
        <v>3000</v>
      </c>
      <c r="AH186" s="9">
        <v>3000</v>
      </c>
      <c r="AI186" s="9">
        <v>3000</v>
      </c>
      <c r="AJ186" s="9">
        <v>3000</v>
      </c>
      <c r="AK186" s="9">
        <v>3000</v>
      </c>
      <c r="AL186" s="9">
        <v>3000</v>
      </c>
      <c r="AM186" s="9">
        <v>3000</v>
      </c>
      <c r="AN186" s="9">
        <v>3000</v>
      </c>
      <c r="AO186" s="9">
        <v>3000</v>
      </c>
      <c r="AP186" s="9">
        <v>3000</v>
      </c>
      <c r="AQ186" s="9">
        <v>3000</v>
      </c>
      <c r="AR186" s="9">
        <v>3000</v>
      </c>
      <c r="AS186" s="9">
        <v>3000</v>
      </c>
      <c r="AT186" s="9">
        <v>3000</v>
      </c>
      <c r="AU186" s="9">
        <v>3000</v>
      </c>
      <c r="AV186" s="9">
        <v>3000</v>
      </c>
      <c r="AW186" s="9">
        <v>3000</v>
      </c>
      <c r="AX186" s="9">
        <v>3000</v>
      </c>
      <c r="AY186" s="9">
        <v>3000</v>
      </c>
      <c r="AZ186" s="9">
        <v>3000</v>
      </c>
      <c r="BA186" s="9">
        <v>3000</v>
      </c>
      <c r="BB186" s="9">
        <v>3000</v>
      </c>
    </row>
    <row r="187" spans="1:54" ht="15" customHeight="1" x14ac:dyDescent="0.3">
      <c r="A187" s="45"/>
      <c r="C187" s="13"/>
    </row>
    <row r="188" spans="1:54" ht="15" customHeight="1" x14ac:dyDescent="0.3">
      <c r="A188" s="45"/>
      <c r="C188" s="13" t="s">
        <v>332</v>
      </c>
    </row>
    <row r="189" spans="1:54" ht="14.4" x14ac:dyDescent="0.3">
      <c r="C189" s="46" t="s">
        <v>316</v>
      </c>
      <c r="E189" s="382" t="s">
        <v>208</v>
      </c>
      <c r="F189" s="382" t="s">
        <v>317</v>
      </c>
      <c r="G189" s="9">
        <v>16.212770359313389</v>
      </c>
      <c r="H189" s="9">
        <v>16.212770359313389</v>
      </c>
      <c r="I189" s="9">
        <v>16.212770359313389</v>
      </c>
      <c r="J189" s="9">
        <v>16.212770359313389</v>
      </c>
      <c r="K189" s="9">
        <v>16.212770359313389</v>
      </c>
      <c r="L189" s="9">
        <v>16.212770359313389</v>
      </c>
      <c r="M189" s="9">
        <v>16.212770359313389</v>
      </c>
      <c r="N189" s="9">
        <v>16.212770359313389</v>
      </c>
      <c r="O189" s="9">
        <v>16.212770359313389</v>
      </c>
      <c r="P189" s="9">
        <v>16.212770359313389</v>
      </c>
      <c r="Q189" s="9">
        <v>16.212770359313389</v>
      </c>
      <c r="R189" s="9">
        <v>16.212770359313389</v>
      </c>
      <c r="S189" s="9">
        <v>16.212770359313389</v>
      </c>
      <c r="T189" s="9">
        <v>16.212770359313389</v>
      </c>
      <c r="U189" s="9">
        <v>16.212770359313389</v>
      </c>
      <c r="V189" s="9">
        <v>16.212770359313389</v>
      </c>
      <c r="W189" s="9">
        <v>16.212770359313389</v>
      </c>
      <c r="X189" s="9">
        <v>16.212770359313389</v>
      </c>
      <c r="Y189" s="9">
        <v>16.212770359313389</v>
      </c>
      <c r="Z189" s="9">
        <v>16.212770359313389</v>
      </c>
      <c r="AA189" s="9">
        <v>16.212770359313389</v>
      </c>
      <c r="AB189" s="9">
        <v>16.212770359313389</v>
      </c>
      <c r="AC189" s="9">
        <v>16.212770359313389</v>
      </c>
      <c r="AD189" s="9">
        <v>16.212770359313389</v>
      </c>
      <c r="AE189" s="9">
        <v>16.212770359313389</v>
      </c>
      <c r="AF189" s="9">
        <v>16.212770359313389</v>
      </c>
      <c r="AG189" s="9">
        <v>16.212770359313389</v>
      </c>
      <c r="AH189" s="9">
        <v>16.212770359313389</v>
      </c>
      <c r="AI189" s="9">
        <v>16.212770359313389</v>
      </c>
      <c r="AJ189" s="9">
        <v>16.212770359313389</v>
      </c>
      <c r="AK189" s="9">
        <v>16.212770359313389</v>
      </c>
      <c r="AL189" s="9">
        <v>16.212770359313389</v>
      </c>
      <c r="AM189" s="9">
        <v>16.212770359313389</v>
      </c>
      <c r="AN189" s="9">
        <v>16.212770359313389</v>
      </c>
      <c r="AO189" s="9">
        <v>16.212770359313389</v>
      </c>
      <c r="AP189" s="9">
        <v>16.212770359313389</v>
      </c>
      <c r="AQ189" s="9">
        <v>16.212770359313389</v>
      </c>
      <c r="AR189" s="9">
        <v>16.212770359313389</v>
      </c>
      <c r="AS189" s="9">
        <v>16.212770359313389</v>
      </c>
      <c r="AT189" s="9">
        <v>16.212770359313389</v>
      </c>
      <c r="AU189" s="9">
        <v>16.212770359313389</v>
      </c>
      <c r="AV189" s="9">
        <v>16.212770359313389</v>
      </c>
      <c r="AW189" s="9">
        <v>16.212770359313389</v>
      </c>
      <c r="AX189" s="9">
        <v>16.212770359313389</v>
      </c>
      <c r="AY189" s="9">
        <v>16.212770359313389</v>
      </c>
      <c r="AZ189" s="9">
        <v>16.212770359313389</v>
      </c>
      <c r="BA189" s="9">
        <v>16.212770359313389</v>
      </c>
      <c r="BB189" s="9">
        <v>16.212770359313389</v>
      </c>
    </row>
    <row r="190" spans="1:54" ht="14.4" x14ac:dyDescent="0.3">
      <c r="C190" s="46" t="s">
        <v>333</v>
      </c>
      <c r="E190" s="382"/>
      <c r="F190" s="382"/>
      <c r="G190" s="9">
        <v>42.190103561733125</v>
      </c>
      <c r="H190" s="9">
        <v>42.190103561733125</v>
      </c>
      <c r="I190" s="9">
        <v>42.190103561733125</v>
      </c>
      <c r="J190" s="9">
        <v>42.190103561733125</v>
      </c>
      <c r="K190" s="9">
        <v>42.190103561733125</v>
      </c>
      <c r="L190" s="9">
        <v>42.190103561733125</v>
      </c>
      <c r="M190" s="9">
        <v>42.190103561733125</v>
      </c>
      <c r="N190" s="9">
        <v>42.190103561733125</v>
      </c>
      <c r="O190" s="9">
        <v>42.190103561733125</v>
      </c>
      <c r="P190" s="9">
        <v>42.190103561733125</v>
      </c>
      <c r="Q190" s="9">
        <v>42.190103561733125</v>
      </c>
      <c r="R190" s="9">
        <v>42.190103561733125</v>
      </c>
      <c r="S190" s="9">
        <v>42.190103561733125</v>
      </c>
      <c r="T190" s="9">
        <v>42.190103561733125</v>
      </c>
      <c r="U190" s="9">
        <v>42.190103561733125</v>
      </c>
      <c r="V190" s="9">
        <v>42.190103561733125</v>
      </c>
      <c r="W190" s="9">
        <v>42.190103561733125</v>
      </c>
      <c r="X190" s="9">
        <v>42.190103561733125</v>
      </c>
      <c r="Y190" s="9">
        <v>42.190103561733125</v>
      </c>
      <c r="Z190" s="9">
        <v>42.190103561733125</v>
      </c>
      <c r="AA190" s="9">
        <v>42.190103561733125</v>
      </c>
      <c r="AB190" s="9">
        <v>42.190103561733125</v>
      </c>
      <c r="AC190" s="9">
        <v>42.190103561733125</v>
      </c>
      <c r="AD190" s="9">
        <v>42.190103561733125</v>
      </c>
      <c r="AE190" s="9">
        <v>42.190103561733125</v>
      </c>
      <c r="AF190" s="9">
        <v>42.190103561733125</v>
      </c>
      <c r="AG190" s="9">
        <v>42.190103561733125</v>
      </c>
      <c r="AH190" s="9">
        <v>42.190103561733125</v>
      </c>
      <c r="AI190" s="9">
        <v>42.190103561733125</v>
      </c>
      <c r="AJ190" s="9">
        <v>42.190103561733125</v>
      </c>
      <c r="AK190" s="9">
        <v>42.190103561733125</v>
      </c>
      <c r="AL190" s="9">
        <v>42.190103561733125</v>
      </c>
      <c r="AM190" s="9">
        <v>42.190103561733125</v>
      </c>
      <c r="AN190" s="9">
        <v>42.190103561733125</v>
      </c>
      <c r="AO190" s="9">
        <v>42.190103561733125</v>
      </c>
      <c r="AP190" s="9">
        <v>42.190103561733125</v>
      </c>
      <c r="AQ190" s="9">
        <v>42.190103561733125</v>
      </c>
      <c r="AR190" s="9">
        <v>42.190103561733125</v>
      </c>
      <c r="AS190" s="9">
        <v>42.190103561733125</v>
      </c>
      <c r="AT190" s="9">
        <v>42.190103561733125</v>
      </c>
      <c r="AU190" s="9">
        <v>42.190103561733125</v>
      </c>
      <c r="AV190" s="9">
        <v>42.190103561733125</v>
      </c>
      <c r="AW190" s="9">
        <v>42.190103561733125</v>
      </c>
      <c r="AX190" s="9">
        <v>42.190103561733125</v>
      </c>
      <c r="AY190" s="9">
        <v>42.190103561733125</v>
      </c>
      <c r="AZ190" s="9">
        <v>42.190103561733125</v>
      </c>
      <c r="BA190" s="9">
        <v>42.190103561733125</v>
      </c>
      <c r="BB190" s="9">
        <v>42.190103561733125</v>
      </c>
    </row>
    <row r="191" spans="1:54" ht="14.4" x14ac:dyDescent="0.3">
      <c r="C191" s="46" t="s">
        <v>319</v>
      </c>
      <c r="E191" s="382"/>
      <c r="F191" s="382"/>
      <c r="G191" s="9">
        <v>0.15685414610971019</v>
      </c>
      <c r="H191" s="9">
        <v>0.15685414610971019</v>
      </c>
      <c r="I191" s="9">
        <v>0.15685414610971019</v>
      </c>
      <c r="J191" s="9">
        <v>0.15685414610971019</v>
      </c>
      <c r="K191" s="9">
        <v>0.15685414610971019</v>
      </c>
      <c r="L191" s="9">
        <v>0.15685414610971019</v>
      </c>
      <c r="M191" s="9">
        <v>0.15685414610971019</v>
      </c>
      <c r="N191" s="9">
        <v>0.15685414610971019</v>
      </c>
      <c r="O191" s="9">
        <v>0.15685414610971019</v>
      </c>
      <c r="P191" s="9">
        <v>0.15685414610971019</v>
      </c>
      <c r="Q191" s="9">
        <v>0.15685414610971019</v>
      </c>
      <c r="R191" s="9">
        <v>0.15685414610971019</v>
      </c>
      <c r="S191" s="9">
        <v>0.15685414610971019</v>
      </c>
      <c r="T191" s="9">
        <v>0.15685414610971019</v>
      </c>
      <c r="U191" s="9">
        <v>0.15685414610971019</v>
      </c>
      <c r="V191" s="9">
        <v>0.15685414610971019</v>
      </c>
      <c r="W191" s="9">
        <v>0.15685414610971019</v>
      </c>
      <c r="X191" s="9">
        <v>0.15685414610971019</v>
      </c>
      <c r="Y191" s="9">
        <v>0.15685414610971019</v>
      </c>
      <c r="Z191" s="9">
        <v>0.15685414610971019</v>
      </c>
      <c r="AA191" s="9">
        <v>0.15685414610971019</v>
      </c>
      <c r="AB191" s="9">
        <v>0.15685414610971019</v>
      </c>
      <c r="AC191" s="9">
        <v>0.15685414610971019</v>
      </c>
      <c r="AD191" s="9">
        <v>0.15685414610971019</v>
      </c>
      <c r="AE191" s="9">
        <v>0.15685414610971019</v>
      </c>
      <c r="AF191" s="9">
        <v>0.15685414610971019</v>
      </c>
      <c r="AG191" s="9">
        <v>0.15685414610971019</v>
      </c>
      <c r="AH191" s="9">
        <v>0.15685414610971019</v>
      </c>
      <c r="AI191" s="9">
        <v>0.15685414610971019</v>
      </c>
      <c r="AJ191" s="9">
        <v>0.15685414610971019</v>
      </c>
      <c r="AK191" s="9">
        <v>0.15685414610971019</v>
      </c>
      <c r="AL191" s="9">
        <v>0.15685414610971019</v>
      </c>
      <c r="AM191" s="9">
        <v>0.15685414610971019</v>
      </c>
      <c r="AN191" s="9">
        <v>0.15685414610971019</v>
      </c>
      <c r="AO191" s="9">
        <v>0.15685414610971019</v>
      </c>
      <c r="AP191" s="9">
        <v>0.15685414610971019</v>
      </c>
      <c r="AQ191" s="9">
        <v>0.15685414610971019</v>
      </c>
      <c r="AR191" s="9">
        <v>0.15685414610971019</v>
      </c>
      <c r="AS191" s="9">
        <v>0.15685414610971019</v>
      </c>
      <c r="AT191" s="9">
        <v>0.15685414610971019</v>
      </c>
      <c r="AU191" s="9">
        <v>0.15685414610971019</v>
      </c>
      <c r="AV191" s="9">
        <v>0.15685414610971019</v>
      </c>
      <c r="AW191" s="9">
        <v>0.15685414610971019</v>
      </c>
      <c r="AX191" s="9">
        <v>0.15685414610971019</v>
      </c>
      <c r="AY191" s="9">
        <v>0.15685414610971019</v>
      </c>
      <c r="AZ191" s="9">
        <v>0.15685414610971019</v>
      </c>
      <c r="BA191" s="9">
        <v>0.15685414610971019</v>
      </c>
      <c r="BB191" s="9">
        <v>0.15685414610971019</v>
      </c>
    </row>
    <row r="192" spans="1:54" ht="14.4" x14ac:dyDescent="0.3">
      <c r="C192" s="46" t="s">
        <v>320</v>
      </c>
      <c r="E192" s="382"/>
      <c r="F192" s="382"/>
      <c r="G192" s="9">
        <v>6.7686367068750171</v>
      </c>
      <c r="H192" s="9">
        <v>6.7686367068750171</v>
      </c>
      <c r="I192" s="9">
        <v>6.7686367068750171</v>
      </c>
      <c r="J192" s="9">
        <v>6.7686367068750171</v>
      </c>
      <c r="K192" s="9">
        <v>6.7686367068750171</v>
      </c>
      <c r="L192" s="9">
        <v>6.7686367068750171</v>
      </c>
      <c r="M192" s="9">
        <v>6.7686367068750171</v>
      </c>
      <c r="N192" s="9">
        <v>6.7686367068750171</v>
      </c>
      <c r="O192" s="9">
        <v>6.7686367068750171</v>
      </c>
      <c r="P192" s="9">
        <v>6.7686367068750171</v>
      </c>
      <c r="Q192" s="9">
        <v>6.7686367068750171</v>
      </c>
      <c r="R192" s="9">
        <v>6.7686367068750171</v>
      </c>
      <c r="S192" s="9">
        <v>6.7686367068750171</v>
      </c>
      <c r="T192" s="9">
        <v>6.7686367068750171</v>
      </c>
      <c r="U192" s="9">
        <v>6.7686367068750171</v>
      </c>
      <c r="V192" s="9">
        <v>6.7686367068750171</v>
      </c>
      <c r="W192" s="9">
        <v>6.7686367068750171</v>
      </c>
      <c r="X192" s="9">
        <v>6.7686367068750171</v>
      </c>
      <c r="Y192" s="9">
        <v>6.7686367068750171</v>
      </c>
      <c r="Z192" s="9">
        <v>6.7686367068750171</v>
      </c>
      <c r="AA192" s="9">
        <v>6.7686367068750171</v>
      </c>
      <c r="AB192" s="9">
        <v>6.7686367068750171</v>
      </c>
      <c r="AC192" s="9">
        <v>6.7686367068750171</v>
      </c>
      <c r="AD192" s="9">
        <v>6.7686367068750171</v>
      </c>
      <c r="AE192" s="9">
        <v>6.7686367068750171</v>
      </c>
      <c r="AF192" s="9">
        <v>6.7686367068750171</v>
      </c>
      <c r="AG192" s="9">
        <v>6.7686367068750171</v>
      </c>
      <c r="AH192" s="9">
        <v>6.7686367068750171</v>
      </c>
      <c r="AI192" s="9">
        <v>6.7686367068750171</v>
      </c>
      <c r="AJ192" s="9">
        <v>6.7686367068750171</v>
      </c>
      <c r="AK192" s="9">
        <v>6.7686367068750171</v>
      </c>
      <c r="AL192" s="9">
        <v>6.7686367068750171</v>
      </c>
      <c r="AM192" s="9">
        <v>6.7686367068750171</v>
      </c>
      <c r="AN192" s="9">
        <v>6.7686367068750171</v>
      </c>
      <c r="AO192" s="9">
        <v>6.7686367068750171</v>
      </c>
      <c r="AP192" s="9">
        <v>6.7686367068750171</v>
      </c>
      <c r="AQ192" s="9">
        <v>6.7686367068750171</v>
      </c>
      <c r="AR192" s="9">
        <v>6.7686367068750171</v>
      </c>
      <c r="AS192" s="9">
        <v>6.7686367068750171</v>
      </c>
      <c r="AT192" s="9">
        <v>6.7686367068750171</v>
      </c>
      <c r="AU192" s="9">
        <v>6.7686367068750171</v>
      </c>
      <c r="AV192" s="9">
        <v>6.7686367068750171</v>
      </c>
      <c r="AW192" s="9">
        <v>6.7686367068750171</v>
      </c>
      <c r="AX192" s="9">
        <v>6.7686367068750171</v>
      </c>
      <c r="AY192" s="9">
        <v>6.7686367068750171</v>
      </c>
      <c r="AZ192" s="9">
        <v>6.7686367068750171</v>
      </c>
      <c r="BA192" s="9">
        <v>6.7686367068750171</v>
      </c>
      <c r="BB192" s="9">
        <v>6.7686367068750171</v>
      </c>
    </row>
    <row r="193" spans="1:54" ht="15" customHeight="1" x14ac:dyDescent="0.3">
      <c r="C193" s="46" t="s">
        <v>321</v>
      </c>
      <c r="E193" s="382"/>
      <c r="F193" s="382"/>
      <c r="G193" s="9">
        <v>0.2038068739480017</v>
      </c>
      <c r="H193" s="9">
        <v>0.2038068739480017</v>
      </c>
      <c r="I193" s="9">
        <v>0.2038068739480017</v>
      </c>
      <c r="J193" s="9">
        <v>0.2038068739480017</v>
      </c>
      <c r="K193" s="9">
        <v>0.2038068739480017</v>
      </c>
      <c r="L193" s="9">
        <v>0.2038068739480017</v>
      </c>
      <c r="M193" s="9">
        <v>0.2038068739480017</v>
      </c>
      <c r="N193" s="9">
        <v>0.2038068739480017</v>
      </c>
      <c r="O193" s="9">
        <v>0.2038068739480017</v>
      </c>
      <c r="P193" s="9">
        <v>0.2038068739480017</v>
      </c>
      <c r="Q193" s="9">
        <v>0.2038068739480017</v>
      </c>
      <c r="R193" s="9">
        <v>0.2038068739480017</v>
      </c>
      <c r="S193" s="9">
        <v>0.2038068739480017</v>
      </c>
      <c r="T193" s="9">
        <v>0.2038068739480017</v>
      </c>
      <c r="U193" s="9">
        <v>0.2038068739480017</v>
      </c>
      <c r="V193" s="9">
        <v>0.2038068739480017</v>
      </c>
      <c r="W193" s="9">
        <v>0.2038068739480017</v>
      </c>
      <c r="X193" s="9">
        <v>0.2038068739480017</v>
      </c>
      <c r="Y193" s="9">
        <v>0.2038068739480017</v>
      </c>
      <c r="Z193" s="9">
        <v>0.2038068739480017</v>
      </c>
      <c r="AA193" s="9">
        <v>0.2038068739480017</v>
      </c>
      <c r="AB193" s="9">
        <v>0.2038068739480017</v>
      </c>
      <c r="AC193" s="9">
        <v>0.2038068739480017</v>
      </c>
      <c r="AD193" s="9">
        <v>0.2038068739480017</v>
      </c>
      <c r="AE193" s="9">
        <v>0.2038068739480017</v>
      </c>
      <c r="AF193" s="9">
        <v>0.2038068739480017</v>
      </c>
      <c r="AG193" s="9">
        <v>0.2038068739480017</v>
      </c>
      <c r="AH193" s="9">
        <v>0.2038068739480017</v>
      </c>
      <c r="AI193" s="9">
        <v>0.2038068739480017</v>
      </c>
      <c r="AJ193" s="9">
        <v>0.2038068739480017</v>
      </c>
      <c r="AK193" s="9">
        <v>0.2038068739480017</v>
      </c>
      <c r="AL193" s="9">
        <v>0.2038068739480017</v>
      </c>
      <c r="AM193" s="9">
        <v>0.2038068739480017</v>
      </c>
      <c r="AN193" s="9">
        <v>0.2038068739480017</v>
      </c>
      <c r="AO193" s="9">
        <v>0.2038068739480017</v>
      </c>
      <c r="AP193" s="9">
        <v>0.2038068739480017</v>
      </c>
      <c r="AQ193" s="9">
        <v>0.2038068739480017</v>
      </c>
      <c r="AR193" s="9">
        <v>0.2038068739480017</v>
      </c>
      <c r="AS193" s="9">
        <v>0.2038068739480017</v>
      </c>
      <c r="AT193" s="9">
        <v>0.2038068739480017</v>
      </c>
      <c r="AU193" s="9">
        <v>0.2038068739480017</v>
      </c>
      <c r="AV193" s="9">
        <v>0.2038068739480017</v>
      </c>
      <c r="AW193" s="9">
        <v>0.2038068739480017</v>
      </c>
      <c r="AX193" s="9">
        <v>0.2038068739480017</v>
      </c>
      <c r="AY193" s="9">
        <v>0.2038068739480017</v>
      </c>
      <c r="AZ193" s="9">
        <v>0.2038068739480017</v>
      </c>
      <c r="BA193" s="9">
        <v>0.2038068739480017</v>
      </c>
      <c r="BB193" s="9">
        <v>0.2038068739480017</v>
      </c>
    </row>
    <row r="194" spans="1:54" ht="15" customHeight="1" x14ac:dyDescent="0.3">
      <c r="C194" s="46" t="s">
        <v>322</v>
      </c>
      <c r="E194" s="382"/>
      <c r="F194" s="382"/>
      <c r="G194" s="9">
        <v>69.218837584905984</v>
      </c>
      <c r="H194" s="9">
        <v>69.218837584905984</v>
      </c>
      <c r="I194" s="9">
        <v>69.218837584905984</v>
      </c>
      <c r="J194" s="9">
        <v>69.218837584905984</v>
      </c>
      <c r="K194" s="9">
        <v>69.218837584905984</v>
      </c>
      <c r="L194" s="9">
        <v>69.218837584905984</v>
      </c>
      <c r="M194" s="9">
        <v>69.218837584905984</v>
      </c>
      <c r="N194" s="9">
        <v>69.218837584905984</v>
      </c>
      <c r="O194" s="9">
        <v>69.218837584905984</v>
      </c>
      <c r="P194" s="9">
        <v>69.218837584905984</v>
      </c>
      <c r="Q194" s="9">
        <v>69.218837584905984</v>
      </c>
      <c r="R194" s="9">
        <v>69.218837584905984</v>
      </c>
      <c r="S194" s="9">
        <v>69.218837584905984</v>
      </c>
      <c r="T194" s="9">
        <v>69.218837584905984</v>
      </c>
      <c r="U194" s="9">
        <v>69.218837584905984</v>
      </c>
      <c r="V194" s="9">
        <v>69.218837584905984</v>
      </c>
      <c r="W194" s="9">
        <v>69.218837584905984</v>
      </c>
      <c r="X194" s="9">
        <v>69.218837584905984</v>
      </c>
      <c r="Y194" s="9">
        <v>69.218837584905984</v>
      </c>
      <c r="Z194" s="9">
        <v>69.218837584905984</v>
      </c>
      <c r="AA194" s="9">
        <v>69.218837584905984</v>
      </c>
      <c r="AB194" s="9">
        <v>69.218837584905984</v>
      </c>
      <c r="AC194" s="9">
        <v>69.218837584905984</v>
      </c>
      <c r="AD194" s="9">
        <v>69.218837584905984</v>
      </c>
      <c r="AE194" s="9">
        <v>69.218837584905984</v>
      </c>
      <c r="AF194" s="9">
        <v>69.218837584905984</v>
      </c>
      <c r="AG194" s="9">
        <v>69.218837584905984</v>
      </c>
      <c r="AH194" s="9">
        <v>69.218837584905984</v>
      </c>
      <c r="AI194" s="9">
        <v>69.218837584905984</v>
      </c>
      <c r="AJ194" s="9">
        <v>69.218837584905984</v>
      </c>
      <c r="AK194" s="9">
        <v>69.218837584905984</v>
      </c>
      <c r="AL194" s="9">
        <v>69.218837584905984</v>
      </c>
      <c r="AM194" s="9">
        <v>69.218837584905984</v>
      </c>
      <c r="AN194" s="9">
        <v>69.218837584905984</v>
      </c>
      <c r="AO194" s="9">
        <v>69.218837584905984</v>
      </c>
      <c r="AP194" s="9">
        <v>69.218837584905984</v>
      </c>
      <c r="AQ194" s="9">
        <v>69.218837584905984</v>
      </c>
      <c r="AR194" s="9">
        <v>69.218837584905984</v>
      </c>
      <c r="AS194" s="9">
        <v>69.218837584905984</v>
      </c>
      <c r="AT194" s="9">
        <v>69.218837584905984</v>
      </c>
      <c r="AU194" s="9">
        <v>69.218837584905984</v>
      </c>
      <c r="AV194" s="9">
        <v>69.218837584905984</v>
      </c>
      <c r="AW194" s="9">
        <v>69.218837584905984</v>
      </c>
      <c r="AX194" s="9">
        <v>69.218837584905984</v>
      </c>
      <c r="AY194" s="9">
        <v>69.218837584905984</v>
      </c>
      <c r="AZ194" s="9">
        <v>69.218837584905984</v>
      </c>
      <c r="BA194" s="9">
        <v>69.218837584905984</v>
      </c>
      <c r="BB194" s="9">
        <v>69.218837584905984</v>
      </c>
    </row>
    <row r="195" spans="1:54" ht="15" customHeight="1" x14ac:dyDescent="0.3">
      <c r="C195" s="46" t="s">
        <v>323</v>
      </c>
      <c r="E195" s="382"/>
      <c r="F195" s="382"/>
      <c r="G195" s="9">
        <v>0.79123096918203806</v>
      </c>
      <c r="H195" s="9">
        <v>0.79123096918203806</v>
      </c>
      <c r="I195" s="9">
        <v>0.79123096918203806</v>
      </c>
      <c r="J195" s="9">
        <v>0.79123096918203806</v>
      </c>
      <c r="K195" s="9">
        <v>0.79123096918203806</v>
      </c>
      <c r="L195" s="9">
        <v>0.79123096918203806</v>
      </c>
      <c r="M195" s="9">
        <v>0.79123096918203806</v>
      </c>
      <c r="N195" s="9">
        <v>0.79123096918203806</v>
      </c>
      <c r="O195" s="9">
        <v>0.79123096918203806</v>
      </c>
      <c r="P195" s="9">
        <v>0.79123096918203806</v>
      </c>
      <c r="Q195" s="9">
        <v>0.79123096918203806</v>
      </c>
      <c r="R195" s="9">
        <v>0.79123096918203806</v>
      </c>
      <c r="S195" s="9">
        <v>0.79123096918203806</v>
      </c>
      <c r="T195" s="9">
        <v>0.79123096918203806</v>
      </c>
      <c r="U195" s="9">
        <v>0.79123096918203806</v>
      </c>
      <c r="V195" s="9">
        <v>0.79123096918203806</v>
      </c>
      <c r="W195" s="9">
        <v>0.79123096918203806</v>
      </c>
      <c r="X195" s="9">
        <v>0.79123096918203806</v>
      </c>
      <c r="Y195" s="9">
        <v>0.79123096918203806</v>
      </c>
      <c r="Z195" s="9">
        <v>0.79123096918203806</v>
      </c>
      <c r="AA195" s="9">
        <v>0.79123096918203806</v>
      </c>
      <c r="AB195" s="9">
        <v>0.79123096918203806</v>
      </c>
      <c r="AC195" s="9">
        <v>0.79123096918203806</v>
      </c>
      <c r="AD195" s="9">
        <v>0.79123096918203806</v>
      </c>
      <c r="AE195" s="9">
        <v>0.79123096918203806</v>
      </c>
      <c r="AF195" s="9">
        <v>0.79123096918203806</v>
      </c>
      <c r="AG195" s="9">
        <v>0.79123096918203806</v>
      </c>
      <c r="AH195" s="9">
        <v>0.79123096918203806</v>
      </c>
      <c r="AI195" s="9">
        <v>0.79123096918203806</v>
      </c>
      <c r="AJ195" s="9">
        <v>0.79123096918203806</v>
      </c>
      <c r="AK195" s="9">
        <v>0.79123096918203806</v>
      </c>
      <c r="AL195" s="9">
        <v>0.79123096918203806</v>
      </c>
      <c r="AM195" s="9">
        <v>0.79123096918203806</v>
      </c>
      <c r="AN195" s="9">
        <v>0.79123096918203806</v>
      </c>
      <c r="AO195" s="9">
        <v>0.79123096918203806</v>
      </c>
      <c r="AP195" s="9">
        <v>0.79123096918203806</v>
      </c>
      <c r="AQ195" s="9">
        <v>0.79123096918203806</v>
      </c>
      <c r="AR195" s="9">
        <v>0.79123096918203806</v>
      </c>
      <c r="AS195" s="9">
        <v>0.79123096918203806</v>
      </c>
      <c r="AT195" s="9">
        <v>0.79123096918203806</v>
      </c>
      <c r="AU195" s="9">
        <v>0.79123096918203806</v>
      </c>
      <c r="AV195" s="9">
        <v>0.79123096918203806</v>
      </c>
      <c r="AW195" s="9">
        <v>0.79123096918203806</v>
      </c>
      <c r="AX195" s="9">
        <v>0.79123096918203806</v>
      </c>
      <c r="AY195" s="9">
        <v>0.79123096918203806</v>
      </c>
      <c r="AZ195" s="9">
        <v>0.79123096918203806</v>
      </c>
      <c r="BA195" s="9">
        <v>0.79123096918203806</v>
      </c>
      <c r="BB195" s="9">
        <v>0.79123096918203806</v>
      </c>
    </row>
    <row r="196" spans="1:54" ht="15" customHeight="1" x14ac:dyDescent="0.3">
      <c r="C196" s="46" t="s">
        <v>324</v>
      </c>
      <c r="E196" s="382"/>
      <c r="F196" s="382"/>
      <c r="G196" s="9">
        <v>19.218813163604562</v>
      </c>
      <c r="H196" s="9">
        <v>19.218813163604562</v>
      </c>
      <c r="I196" s="9">
        <v>19.218813163604562</v>
      </c>
      <c r="J196" s="9">
        <v>19.218813163604562</v>
      </c>
      <c r="K196" s="9">
        <v>19.218813163604562</v>
      </c>
      <c r="L196" s="9">
        <v>19.218813163604562</v>
      </c>
      <c r="M196" s="9">
        <v>19.218813163604562</v>
      </c>
      <c r="N196" s="9">
        <v>19.218813163604562</v>
      </c>
      <c r="O196" s="9">
        <v>19.218813163604562</v>
      </c>
      <c r="P196" s="9">
        <v>19.218813163604562</v>
      </c>
      <c r="Q196" s="9">
        <v>19.218813163604562</v>
      </c>
      <c r="R196" s="9">
        <v>19.218813163604562</v>
      </c>
      <c r="S196" s="9">
        <v>19.218813163604562</v>
      </c>
      <c r="T196" s="9">
        <v>19.218813163604562</v>
      </c>
      <c r="U196" s="9">
        <v>19.218813163604562</v>
      </c>
      <c r="V196" s="9">
        <v>19.218813163604562</v>
      </c>
      <c r="W196" s="9">
        <v>19.218813163604562</v>
      </c>
      <c r="X196" s="9">
        <v>19.218813163604562</v>
      </c>
      <c r="Y196" s="9">
        <v>19.218813163604562</v>
      </c>
      <c r="Z196" s="9">
        <v>19.218813163604562</v>
      </c>
      <c r="AA196" s="9">
        <v>19.218813163604562</v>
      </c>
      <c r="AB196" s="9">
        <v>19.218813163604562</v>
      </c>
      <c r="AC196" s="9">
        <v>19.218813163604562</v>
      </c>
      <c r="AD196" s="9">
        <v>19.218813163604562</v>
      </c>
      <c r="AE196" s="9">
        <v>19.218813163604562</v>
      </c>
      <c r="AF196" s="9">
        <v>19.218813163604562</v>
      </c>
      <c r="AG196" s="9">
        <v>19.218813163604562</v>
      </c>
      <c r="AH196" s="9">
        <v>19.218813163604562</v>
      </c>
      <c r="AI196" s="9">
        <v>19.218813163604562</v>
      </c>
      <c r="AJ196" s="9">
        <v>19.218813163604562</v>
      </c>
      <c r="AK196" s="9">
        <v>19.218813163604562</v>
      </c>
      <c r="AL196" s="9">
        <v>19.218813163604562</v>
      </c>
      <c r="AM196" s="9">
        <v>19.218813163604562</v>
      </c>
      <c r="AN196" s="9">
        <v>19.218813163604562</v>
      </c>
      <c r="AO196" s="9">
        <v>19.218813163604562</v>
      </c>
      <c r="AP196" s="9">
        <v>19.218813163604562</v>
      </c>
      <c r="AQ196" s="9">
        <v>19.218813163604562</v>
      </c>
      <c r="AR196" s="9">
        <v>19.218813163604562</v>
      </c>
      <c r="AS196" s="9">
        <v>19.218813163604562</v>
      </c>
      <c r="AT196" s="9">
        <v>19.218813163604562</v>
      </c>
      <c r="AU196" s="9">
        <v>19.218813163604562</v>
      </c>
      <c r="AV196" s="9">
        <v>19.218813163604562</v>
      </c>
      <c r="AW196" s="9">
        <v>19.218813163604562</v>
      </c>
      <c r="AX196" s="9">
        <v>19.218813163604562</v>
      </c>
      <c r="AY196" s="9">
        <v>19.218813163604562</v>
      </c>
      <c r="AZ196" s="9">
        <v>19.218813163604562</v>
      </c>
      <c r="BA196" s="9">
        <v>19.218813163604562</v>
      </c>
      <c r="BB196" s="9">
        <v>19.218813163604562</v>
      </c>
    </row>
    <row r="197" spans="1:54" ht="15" customHeight="1" x14ac:dyDescent="0.3">
      <c r="C197" s="46" t="s">
        <v>325</v>
      </c>
      <c r="E197" s="382"/>
      <c r="F197" s="382"/>
      <c r="G197" s="9">
        <v>0</v>
      </c>
      <c r="H197" s="9">
        <v>0</v>
      </c>
      <c r="I197" s="9">
        <v>0</v>
      </c>
      <c r="J197" s="9">
        <v>0</v>
      </c>
      <c r="K197" s="9">
        <v>0</v>
      </c>
      <c r="L197" s="9">
        <v>0</v>
      </c>
      <c r="M197" s="9">
        <v>0</v>
      </c>
      <c r="N197" s="9">
        <v>0</v>
      </c>
      <c r="O197" s="9">
        <v>0</v>
      </c>
      <c r="P197" s="9">
        <v>0</v>
      </c>
      <c r="Q197" s="9">
        <v>0</v>
      </c>
      <c r="R197" s="9">
        <v>0</v>
      </c>
      <c r="S197" s="9">
        <v>0</v>
      </c>
      <c r="T197" s="9">
        <v>0</v>
      </c>
      <c r="U197" s="9">
        <v>0</v>
      </c>
      <c r="V197" s="9">
        <v>0</v>
      </c>
      <c r="W197" s="9">
        <v>0</v>
      </c>
      <c r="X197" s="9">
        <v>0</v>
      </c>
      <c r="Y197" s="9">
        <v>0</v>
      </c>
      <c r="Z197" s="9">
        <v>0</v>
      </c>
      <c r="AA197" s="9">
        <v>0</v>
      </c>
      <c r="AB197" s="9">
        <v>0</v>
      </c>
      <c r="AC197" s="9">
        <v>0</v>
      </c>
      <c r="AD197" s="9">
        <v>0</v>
      </c>
      <c r="AE197" s="9">
        <v>0</v>
      </c>
      <c r="AF197" s="9">
        <v>0</v>
      </c>
      <c r="AG197" s="9">
        <v>0</v>
      </c>
      <c r="AH197" s="9">
        <v>0</v>
      </c>
      <c r="AI197" s="9">
        <v>0</v>
      </c>
      <c r="AJ197" s="9">
        <v>0</v>
      </c>
      <c r="AK197" s="9">
        <v>0</v>
      </c>
      <c r="AL197" s="9">
        <v>0</v>
      </c>
      <c r="AM197" s="9">
        <v>0</v>
      </c>
      <c r="AN197" s="9">
        <v>0</v>
      </c>
      <c r="AO197" s="9">
        <v>0</v>
      </c>
      <c r="AP197" s="9">
        <v>0</v>
      </c>
      <c r="AQ197" s="9">
        <v>0</v>
      </c>
      <c r="AR197" s="9">
        <v>0</v>
      </c>
      <c r="AS197" s="9">
        <v>0</v>
      </c>
      <c r="AT197" s="9">
        <v>0</v>
      </c>
      <c r="AU197" s="9">
        <v>0</v>
      </c>
      <c r="AV197" s="9">
        <v>0</v>
      </c>
      <c r="AW197" s="9">
        <v>0</v>
      </c>
      <c r="AX197" s="9">
        <v>0</v>
      </c>
      <c r="AY197" s="9">
        <v>0</v>
      </c>
      <c r="AZ197" s="9">
        <v>0</v>
      </c>
      <c r="BA197" s="9">
        <v>0</v>
      </c>
      <c r="BB197" s="9">
        <v>0</v>
      </c>
    </row>
    <row r="198" spans="1:54" ht="15" customHeight="1" x14ac:dyDescent="0.3">
      <c r="C198" s="46" t="s">
        <v>326</v>
      </c>
      <c r="E198" s="382"/>
      <c r="F198" s="382"/>
      <c r="G198" s="9">
        <v>28.909039064727686</v>
      </c>
      <c r="H198" s="9">
        <v>28.909039064727686</v>
      </c>
      <c r="I198" s="9">
        <v>28.909039064727686</v>
      </c>
      <c r="J198" s="9">
        <v>28.909039064727686</v>
      </c>
      <c r="K198" s="9">
        <v>28.909039064727686</v>
      </c>
      <c r="L198" s="9">
        <v>28.909039064727686</v>
      </c>
      <c r="M198" s="9">
        <v>28.909039064727686</v>
      </c>
      <c r="N198" s="9">
        <v>28.909039064727686</v>
      </c>
      <c r="O198" s="9">
        <v>28.909039064727686</v>
      </c>
      <c r="P198" s="9">
        <v>28.909039064727686</v>
      </c>
      <c r="Q198" s="9">
        <v>28.909039064727686</v>
      </c>
      <c r="R198" s="9">
        <v>28.909039064727686</v>
      </c>
      <c r="S198" s="9">
        <v>28.909039064727686</v>
      </c>
      <c r="T198" s="9">
        <v>28.909039064727686</v>
      </c>
      <c r="U198" s="9">
        <v>28.909039064727686</v>
      </c>
      <c r="V198" s="9">
        <v>28.909039064727686</v>
      </c>
      <c r="W198" s="9">
        <v>28.909039064727686</v>
      </c>
      <c r="X198" s="9">
        <v>28.909039064727686</v>
      </c>
      <c r="Y198" s="9">
        <v>28.909039064727686</v>
      </c>
      <c r="Z198" s="9">
        <v>28.909039064727686</v>
      </c>
      <c r="AA198" s="9">
        <v>28.909039064727686</v>
      </c>
      <c r="AB198" s="9">
        <v>28.909039064727686</v>
      </c>
      <c r="AC198" s="9">
        <v>28.909039064727686</v>
      </c>
      <c r="AD198" s="9">
        <v>28.909039064727686</v>
      </c>
      <c r="AE198" s="9">
        <v>28.909039064727686</v>
      </c>
      <c r="AF198" s="9">
        <v>28.909039064727686</v>
      </c>
      <c r="AG198" s="9">
        <v>28.909039064727686</v>
      </c>
      <c r="AH198" s="9">
        <v>28.909039064727686</v>
      </c>
      <c r="AI198" s="9">
        <v>28.909039064727686</v>
      </c>
      <c r="AJ198" s="9">
        <v>28.909039064727686</v>
      </c>
      <c r="AK198" s="9">
        <v>28.909039064727686</v>
      </c>
      <c r="AL198" s="9">
        <v>28.909039064727686</v>
      </c>
      <c r="AM198" s="9">
        <v>28.909039064727686</v>
      </c>
      <c r="AN198" s="9">
        <v>28.909039064727686</v>
      </c>
      <c r="AO198" s="9">
        <v>28.909039064727686</v>
      </c>
      <c r="AP198" s="9">
        <v>28.909039064727686</v>
      </c>
      <c r="AQ198" s="9">
        <v>28.909039064727686</v>
      </c>
      <c r="AR198" s="9">
        <v>28.909039064727686</v>
      </c>
      <c r="AS198" s="9">
        <v>28.909039064727686</v>
      </c>
      <c r="AT198" s="9">
        <v>28.909039064727686</v>
      </c>
      <c r="AU198" s="9">
        <v>28.909039064727686</v>
      </c>
      <c r="AV198" s="9">
        <v>28.909039064727686</v>
      </c>
      <c r="AW198" s="9">
        <v>28.909039064727686</v>
      </c>
      <c r="AX198" s="9">
        <v>28.909039064727686</v>
      </c>
      <c r="AY198" s="9">
        <v>28.909039064727686</v>
      </c>
      <c r="AZ198" s="9">
        <v>28.909039064727686</v>
      </c>
      <c r="BA198" s="9">
        <v>28.909039064727686</v>
      </c>
      <c r="BB198" s="9">
        <v>28.909039064727686</v>
      </c>
    </row>
    <row r="199" spans="1:54" ht="15" customHeight="1" x14ac:dyDescent="0.3">
      <c r="C199" s="46" t="s">
        <v>327</v>
      </c>
      <c r="E199" s="382"/>
      <c r="F199" s="382"/>
      <c r="G199" s="9">
        <v>57.870729636965322</v>
      </c>
      <c r="H199" s="9">
        <v>57.870729636965322</v>
      </c>
      <c r="I199" s="9">
        <v>57.870729636965322</v>
      </c>
      <c r="J199" s="9">
        <v>57.870729636965322</v>
      </c>
      <c r="K199" s="9">
        <v>57.870729636965322</v>
      </c>
      <c r="L199" s="9">
        <v>57.870729636965322</v>
      </c>
      <c r="M199" s="9">
        <v>57.870729636965322</v>
      </c>
      <c r="N199" s="9">
        <v>57.870729636965322</v>
      </c>
      <c r="O199" s="9">
        <v>57.870729636965322</v>
      </c>
      <c r="P199" s="9">
        <v>57.870729636965322</v>
      </c>
      <c r="Q199" s="9">
        <v>57.870729636965322</v>
      </c>
      <c r="R199" s="9">
        <v>57.870729636965322</v>
      </c>
      <c r="S199" s="9">
        <v>57.870729636965322</v>
      </c>
      <c r="T199" s="9">
        <v>57.870729636965322</v>
      </c>
      <c r="U199" s="9">
        <v>57.870729636965322</v>
      </c>
      <c r="V199" s="9">
        <v>57.870729636965322</v>
      </c>
      <c r="W199" s="9">
        <v>57.870729636965322</v>
      </c>
      <c r="X199" s="9">
        <v>57.870729636965322</v>
      </c>
      <c r="Y199" s="9">
        <v>57.870729636965322</v>
      </c>
      <c r="Z199" s="9">
        <v>57.870729636965322</v>
      </c>
      <c r="AA199" s="9">
        <v>57.870729636965322</v>
      </c>
      <c r="AB199" s="9">
        <v>57.870729636965322</v>
      </c>
      <c r="AC199" s="9">
        <v>57.870729636965322</v>
      </c>
      <c r="AD199" s="9">
        <v>57.870729636965322</v>
      </c>
      <c r="AE199" s="9">
        <v>57.870729636965322</v>
      </c>
      <c r="AF199" s="9">
        <v>57.870729636965322</v>
      </c>
      <c r="AG199" s="9">
        <v>57.870729636965322</v>
      </c>
      <c r="AH199" s="9">
        <v>57.870729636965322</v>
      </c>
      <c r="AI199" s="9">
        <v>57.870729636965322</v>
      </c>
      <c r="AJ199" s="9">
        <v>57.870729636965322</v>
      </c>
      <c r="AK199" s="9">
        <v>57.870729636965322</v>
      </c>
      <c r="AL199" s="9">
        <v>57.870729636965322</v>
      </c>
      <c r="AM199" s="9">
        <v>57.870729636965322</v>
      </c>
      <c r="AN199" s="9">
        <v>57.870729636965322</v>
      </c>
      <c r="AO199" s="9">
        <v>57.870729636965322</v>
      </c>
      <c r="AP199" s="9">
        <v>57.870729636965322</v>
      </c>
      <c r="AQ199" s="9">
        <v>57.870729636965322</v>
      </c>
      <c r="AR199" s="9">
        <v>57.870729636965322</v>
      </c>
      <c r="AS199" s="9">
        <v>57.870729636965322</v>
      </c>
      <c r="AT199" s="9">
        <v>57.870729636965322</v>
      </c>
      <c r="AU199" s="9">
        <v>57.870729636965322</v>
      </c>
      <c r="AV199" s="9">
        <v>57.870729636965322</v>
      </c>
      <c r="AW199" s="9">
        <v>57.870729636965322</v>
      </c>
      <c r="AX199" s="9">
        <v>57.870729636965322</v>
      </c>
      <c r="AY199" s="9">
        <v>57.870729636965322</v>
      </c>
      <c r="AZ199" s="9">
        <v>57.870729636965322</v>
      </c>
      <c r="BA199" s="9">
        <v>57.870729636965322</v>
      </c>
      <c r="BB199" s="9">
        <v>57.870729636965322</v>
      </c>
    </row>
    <row r="200" spans="1:54" ht="15" customHeight="1" x14ac:dyDescent="0.3">
      <c r="C200" s="46" t="s">
        <v>328</v>
      </c>
      <c r="E200" s="382"/>
      <c r="F200" s="382"/>
      <c r="G200" s="9">
        <v>21.347810142460158</v>
      </c>
      <c r="H200" s="9">
        <v>21.347810142460158</v>
      </c>
      <c r="I200" s="9">
        <v>21.347810142460158</v>
      </c>
      <c r="J200" s="9">
        <v>21.347810142460158</v>
      </c>
      <c r="K200" s="9">
        <v>21.347810142460158</v>
      </c>
      <c r="L200" s="9">
        <v>21.347810142460158</v>
      </c>
      <c r="M200" s="9">
        <v>21.347810142460158</v>
      </c>
      <c r="N200" s="9">
        <v>21.347810142460158</v>
      </c>
      <c r="O200" s="9">
        <v>21.347810142460158</v>
      </c>
      <c r="P200" s="9">
        <v>21.347810142460158</v>
      </c>
      <c r="Q200" s="9">
        <v>21.347810142460158</v>
      </c>
      <c r="R200" s="9">
        <v>21.347810142460158</v>
      </c>
      <c r="S200" s="9">
        <v>21.347810142460158</v>
      </c>
      <c r="T200" s="9">
        <v>21.347810142460158</v>
      </c>
      <c r="U200" s="9">
        <v>21.347810142460158</v>
      </c>
      <c r="V200" s="9">
        <v>21.347810142460158</v>
      </c>
      <c r="W200" s="9">
        <v>21.347810142460158</v>
      </c>
      <c r="X200" s="9">
        <v>21.347810142460158</v>
      </c>
      <c r="Y200" s="9">
        <v>21.347810142460158</v>
      </c>
      <c r="Z200" s="9">
        <v>21.347810142460158</v>
      </c>
      <c r="AA200" s="9">
        <v>21.347810142460158</v>
      </c>
      <c r="AB200" s="9">
        <v>21.347810142460158</v>
      </c>
      <c r="AC200" s="9">
        <v>21.347810142460158</v>
      </c>
      <c r="AD200" s="9">
        <v>21.347810142460158</v>
      </c>
      <c r="AE200" s="9">
        <v>21.347810142460158</v>
      </c>
      <c r="AF200" s="9">
        <v>21.347810142460158</v>
      </c>
      <c r="AG200" s="9">
        <v>21.347810142460158</v>
      </c>
      <c r="AH200" s="9">
        <v>21.347810142460158</v>
      </c>
      <c r="AI200" s="9">
        <v>21.347810142460158</v>
      </c>
      <c r="AJ200" s="9">
        <v>21.347810142460158</v>
      </c>
      <c r="AK200" s="9">
        <v>21.347810142460158</v>
      </c>
      <c r="AL200" s="9">
        <v>21.347810142460158</v>
      </c>
      <c r="AM200" s="9">
        <v>21.347810142460158</v>
      </c>
      <c r="AN200" s="9">
        <v>21.347810142460158</v>
      </c>
      <c r="AO200" s="9">
        <v>21.347810142460158</v>
      </c>
      <c r="AP200" s="9">
        <v>21.347810142460158</v>
      </c>
      <c r="AQ200" s="9">
        <v>21.347810142460158</v>
      </c>
      <c r="AR200" s="9">
        <v>21.347810142460158</v>
      </c>
      <c r="AS200" s="9">
        <v>21.347810142460158</v>
      </c>
      <c r="AT200" s="9">
        <v>21.347810142460158</v>
      </c>
      <c r="AU200" s="9">
        <v>21.347810142460158</v>
      </c>
      <c r="AV200" s="9">
        <v>21.347810142460158</v>
      </c>
      <c r="AW200" s="9">
        <v>21.347810142460158</v>
      </c>
      <c r="AX200" s="9">
        <v>21.347810142460158</v>
      </c>
      <c r="AY200" s="9">
        <v>21.347810142460158</v>
      </c>
      <c r="AZ200" s="9">
        <v>21.347810142460158</v>
      </c>
      <c r="BA200" s="9">
        <v>21.347810142460158</v>
      </c>
      <c r="BB200" s="9">
        <v>21.347810142460158</v>
      </c>
    </row>
    <row r="201" spans="1:54" ht="15" customHeight="1" x14ac:dyDescent="0.3">
      <c r="C201" s="46" t="s">
        <v>329</v>
      </c>
      <c r="E201" s="382"/>
      <c r="F201" s="382"/>
      <c r="G201" s="9">
        <v>2.4134618324248596</v>
      </c>
      <c r="H201" s="9">
        <v>2.4134618324248596</v>
      </c>
      <c r="I201" s="9">
        <v>2.4134618324248596</v>
      </c>
      <c r="J201" s="9">
        <v>2.4134618324248596</v>
      </c>
      <c r="K201" s="9">
        <v>2.4134618324248596</v>
      </c>
      <c r="L201" s="9">
        <v>2.4134618324248596</v>
      </c>
      <c r="M201" s="9">
        <v>2.4134618324248596</v>
      </c>
      <c r="N201" s="9">
        <v>2.4134618324248596</v>
      </c>
      <c r="O201" s="9">
        <v>2.4134618324248596</v>
      </c>
      <c r="P201" s="9">
        <v>2.4134618324248596</v>
      </c>
      <c r="Q201" s="9">
        <v>2.4134618324248596</v>
      </c>
      <c r="R201" s="9">
        <v>2.4134618324248596</v>
      </c>
      <c r="S201" s="9">
        <v>2.4134618324248596</v>
      </c>
      <c r="T201" s="9">
        <v>2.4134618324248596</v>
      </c>
      <c r="U201" s="9">
        <v>2.4134618324248596</v>
      </c>
      <c r="V201" s="9">
        <v>2.4134618324248596</v>
      </c>
      <c r="W201" s="9">
        <v>2.4134618324248596</v>
      </c>
      <c r="X201" s="9">
        <v>2.4134618324248596</v>
      </c>
      <c r="Y201" s="9">
        <v>2.4134618324248596</v>
      </c>
      <c r="Z201" s="9">
        <v>2.4134618324248596</v>
      </c>
      <c r="AA201" s="9">
        <v>2.4134618324248596</v>
      </c>
      <c r="AB201" s="9">
        <v>2.4134618324248596</v>
      </c>
      <c r="AC201" s="9">
        <v>2.4134618324248596</v>
      </c>
      <c r="AD201" s="9">
        <v>2.4134618324248596</v>
      </c>
      <c r="AE201" s="9">
        <v>2.4134618324248596</v>
      </c>
      <c r="AF201" s="9">
        <v>2.4134618324248596</v>
      </c>
      <c r="AG201" s="9">
        <v>2.4134618324248596</v>
      </c>
      <c r="AH201" s="9">
        <v>2.4134618324248596</v>
      </c>
      <c r="AI201" s="9">
        <v>2.4134618324248596</v>
      </c>
      <c r="AJ201" s="9">
        <v>2.4134618324248596</v>
      </c>
      <c r="AK201" s="9">
        <v>2.4134618324248596</v>
      </c>
      <c r="AL201" s="9">
        <v>2.4134618324248596</v>
      </c>
      <c r="AM201" s="9">
        <v>2.4134618324248596</v>
      </c>
      <c r="AN201" s="9">
        <v>2.4134618324248596</v>
      </c>
      <c r="AO201" s="9">
        <v>2.4134618324248596</v>
      </c>
      <c r="AP201" s="9">
        <v>2.4134618324248596</v>
      </c>
      <c r="AQ201" s="9">
        <v>2.4134618324248596</v>
      </c>
      <c r="AR201" s="9">
        <v>2.4134618324248596</v>
      </c>
      <c r="AS201" s="9">
        <v>2.4134618324248596</v>
      </c>
      <c r="AT201" s="9">
        <v>2.4134618324248596</v>
      </c>
      <c r="AU201" s="9">
        <v>2.4134618324248596</v>
      </c>
      <c r="AV201" s="9">
        <v>2.4134618324248596</v>
      </c>
      <c r="AW201" s="9">
        <v>2.4134618324248596</v>
      </c>
      <c r="AX201" s="9">
        <v>2.4134618324248596</v>
      </c>
      <c r="AY201" s="9">
        <v>2.4134618324248596</v>
      </c>
      <c r="AZ201" s="9">
        <v>2.4134618324248596</v>
      </c>
      <c r="BA201" s="9">
        <v>2.4134618324248596</v>
      </c>
      <c r="BB201" s="9">
        <v>2.4134618324248596</v>
      </c>
    </row>
    <row r="202" spans="1:54" ht="15" customHeight="1" x14ac:dyDescent="0.3">
      <c r="C202" s="46" t="s">
        <v>330</v>
      </c>
      <c r="E202" s="382"/>
      <c r="F202" s="382"/>
      <c r="G202" s="9">
        <v>0.20478768904847694</v>
      </c>
      <c r="H202" s="9">
        <v>0.20478768904847694</v>
      </c>
      <c r="I202" s="9">
        <v>0.20478768904847694</v>
      </c>
      <c r="J202" s="9">
        <v>0.20478768904847694</v>
      </c>
      <c r="K202" s="9">
        <v>0.20478768904847694</v>
      </c>
      <c r="L202" s="9">
        <v>0.20478768904847694</v>
      </c>
      <c r="M202" s="9">
        <v>0.20478768904847694</v>
      </c>
      <c r="N202" s="9">
        <v>0.20478768904847694</v>
      </c>
      <c r="O202" s="9">
        <v>0.20478768904847694</v>
      </c>
      <c r="P202" s="9">
        <v>0.20478768904847694</v>
      </c>
      <c r="Q202" s="9">
        <v>0.20478768904847694</v>
      </c>
      <c r="R202" s="9">
        <v>0.20478768904847694</v>
      </c>
      <c r="S202" s="9">
        <v>0.20478768904847694</v>
      </c>
      <c r="T202" s="9">
        <v>0.20478768904847694</v>
      </c>
      <c r="U202" s="9">
        <v>0.20478768904847694</v>
      </c>
      <c r="V202" s="9">
        <v>0.20478768904847694</v>
      </c>
      <c r="W202" s="9">
        <v>0.20478768904847694</v>
      </c>
      <c r="X202" s="9">
        <v>0.20478768904847694</v>
      </c>
      <c r="Y202" s="9">
        <v>0.20478768904847694</v>
      </c>
      <c r="Z202" s="9">
        <v>0.20478768904847694</v>
      </c>
      <c r="AA202" s="9">
        <v>0.20478768904847694</v>
      </c>
      <c r="AB202" s="9">
        <v>0.20478768904847694</v>
      </c>
      <c r="AC202" s="9">
        <v>0.20478768904847694</v>
      </c>
      <c r="AD202" s="9">
        <v>0.20478768904847694</v>
      </c>
      <c r="AE202" s="9">
        <v>0.20478768904847694</v>
      </c>
      <c r="AF202" s="9">
        <v>0.20478768904847694</v>
      </c>
      <c r="AG202" s="9">
        <v>0.20478768904847694</v>
      </c>
      <c r="AH202" s="9">
        <v>0.20478768904847694</v>
      </c>
      <c r="AI202" s="9">
        <v>0.20478768904847694</v>
      </c>
      <c r="AJ202" s="9">
        <v>0.20478768904847694</v>
      </c>
      <c r="AK202" s="9">
        <v>0.20478768904847694</v>
      </c>
      <c r="AL202" s="9">
        <v>0.20478768904847694</v>
      </c>
      <c r="AM202" s="9">
        <v>0.20478768904847694</v>
      </c>
      <c r="AN202" s="9">
        <v>0.20478768904847694</v>
      </c>
      <c r="AO202" s="9">
        <v>0.20478768904847694</v>
      </c>
      <c r="AP202" s="9">
        <v>0.20478768904847694</v>
      </c>
      <c r="AQ202" s="9">
        <v>0.20478768904847694</v>
      </c>
      <c r="AR202" s="9">
        <v>0.20478768904847694</v>
      </c>
      <c r="AS202" s="9">
        <v>0.20478768904847694</v>
      </c>
      <c r="AT202" s="9">
        <v>0.20478768904847694</v>
      </c>
      <c r="AU202" s="9">
        <v>0.20478768904847694</v>
      </c>
      <c r="AV202" s="9">
        <v>0.20478768904847694</v>
      </c>
      <c r="AW202" s="9">
        <v>0.20478768904847694</v>
      </c>
      <c r="AX202" s="9">
        <v>0.20478768904847694</v>
      </c>
      <c r="AY202" s="9">
        <v>0.20478768904847694</v>
      </c>
      <c r="AZ202" s="9">
        <v>0.20478768904847694</v>
      </c>
      <c r="BA202" s="9">
        <v>0.20478768904847694</v>
      </c>
      <c r="BB202" s="9">
        <v>0.20478768904847694</v>
      </c>
    </row>
    <row r="203" spans="1:54" ht="15" customHeight="1" x14ac:dyDescent="0.3">
      <c r="C203" s="46" t="s">
        <v>331</v>
      </c>
      <c r="E203" s="382"/>
      <c r="F203" s="382"/>
      <c r="G203" s="9">
        <v>9.3191026936006551</v>
      </c>
      <c r="H203" s="9">
        <v>9.3191026936006551</v>
      </c>
      <c r="I203" s="9">
        <v>9.3191026936006551</v>
      </c>
      <c r="J203" s="9">
        <v>9.3191026936006551</v>
      </c>
      <c r="K203" s="9">
        <v>9.3191026936006551</v>
      </c>
      <c r="L203" s="9">
        <v>9.3191026936006551</v>
      </c>
      <c r="M203" s="9">
        <v>9.3191026936006551</v>
      </c>
      <c r="N203" s="9">
        <v>9.3191026936006551</v>
      </c>
      <c r="O203" s="9">
        <v>9.3191026936006551</v>
      </c>
      <c r="P203" s="9">
        <v>9.3191026936006551</v>
      </c>
      <c r="Q203" s="9">
        <v>9.3191026936006551</v>
      </c>
      <c r="R203" s="9">
        <v>9.3191026936006551</v>
      </c>
      <c r="S203" s="9">
        <v>9.3191026936006551</v>
      </c>
      <c r="T203" s="9">
        <v>9.3191026936006551</v>
      </c>
      <c r="U203" s="9">
        <v>9.3191026936006551</v>
      </c>
      <c r="V203" s="9">
        <v>9.3191026936006551</v>
      </c>
      <c r="W203" s="9">
        <v>9.3191026936006551</v>
      </c>
      <c r="X203" s="9">
        <v>9.3191026936006551</v>
      </c>
      <c r="Y203" s="9">
        <v>9.3191026936006551</v>
      </c>
      <c r="Z203" s="9">
        <v>9.3191026936006551</v>
      </c>
      <c r="AA203" s="9">
        <v>9.3191026936006551</v>
      </c>
      <c r="AB203" s="9">
        <v>9.3191026936006551</v>
      </c>
      <c r="AC203" s="9">
        <v>9.3191026936006551</v>
      </c>
      <c r="AD203" s="9">
        <v>9.3191026936006551</v>
      </c>
      <c r="AE203" s="9">
        <v>9.3191026936006551</v>
      </c>
      <c r="AF203" s="9">
        <v>9.3191026936006551</v>
      </c>
      <c r="AG203" s="9">
        <v>9.3191026936006551</v>
      </c>
      <c r="AH203" s="9">
        <v>9.3191026936006551</v>
      </c>
      <c r="AI203" s="9">
        <v>9.3191026936006551</v>
      </c>
      <c r="AJ203" s="9">
        <v>9.3191026936006551</v>
      </c>
      <c r="AK203" s="9">
        <v>9.3191026936006551</v>
      </c>
      <c r="AL203" s="9">
        <v>9.3191026936006551</v>
      </c>
      <c r="AM203" s="9">
        <v>9.3191026936006551</v>
      </c>
      <c r="AN203" s="9">
        <v>9.3191026936006551</v>
      </c>
      <c r="AO203" s="9">
        <v>9.3191026936006551</v>
      </c>
      <c r="AP203" s="9">
        <v>9.3191026936006551</v>
      </c>
      <c r="AQ203" s="9">
        <v>9.3191026936006551</v>
      </c>
      <c r="AR203" s="9">
        <v>9.3191026936006551</v>
      </c>
      <c r="AS203" s="9">
        <v>9.3191026936006551</v>
      </c>
      <c r="AT203" s="9">
        <v>9.3191026936006551</v>
      </c>
      <c r="AU203" s="9">
        <v>9.3191026936006551</v>
      </c>
      <c r="AV203" s="9">
        <v>9.3191026936006551</v>
      </c>
      <c r="AW203" s="9">
        <v>9.3191026936006551</v>
      </c>
      <c r="AX203" s="9">
        <v>9.3191026936006551</v>
      </c>
      <c r="AY203" s="9">
        <v>9.3191026936006551</v>
      </c>
      <c r="AZ203" s="9">
        <v>9.3191026936006551</v>
      </c>
      <c r="BA203" s="9">
        <v>9.3191026936006551</v>
      </c>
      <c r="BB203" s="9">
        <v>9.3191026936006551</v>
      </c>
    </row>
    <row r="204" spans="1:54" ht="15" customHeight="1" x14ac:dyDescent="0.3">
      <c r="A204" s="45"/>
      <c r="C204" s="13"/>
    </row>
    <row r="205" spans="1:54" ht="15" customHeight="1" x14ac:dyDescent="0.3">
      <c r="A205" s="45"/>
      <c r="C205" s="13" t="s">
        <v>334</v>
      </c>
    </row>
    <row r="206" spans="1:54" ht="14.4" x14ac:dyDescent="0.3">
      <c r="C206" s="46" t="s">
        <v>316</v>
      </c>
      <c r="E206" s="382" t="s">
        <v>208</v>
      </c>
      <c r="F206" s="382" t="s">
        <v>317</v>
      </c>
      <c r="G206" s="9">
        <v>3.7960446085853508</v>
      </c>
      <c r="H206" s="9">
        <v>3.7960446085853508</v>
      </c>
      <c r="I206" s="9">
        <v>3.7960446085853508</v>
      </c>
      <c r="J206" s="9">
        <v>3.7960446085853508</v>
      </c>
      <c r="K206" s="9">
        <v>3.7960446085853508</v>
      </c>
      <c r="L206" s="9">
        <v>3.7960446085853508</v>
      </c>
      <c r="M206" s="9">
        <v>3.7960446085853508</v>
      </c>
      <c r="N206" s="9">
        <v>3.7960446085853508</v>
      </c>
      <c r="O206" s="9">
        <v>3.7960446085853508</v>
      </c>
      <c r="P206" s="9">
        <v>3.7960446085853508</v>
      </c>
      <c r="Q206" s="9">
        <v>3.7960446085853508</v>
      </c>
      <c r="R206" s="9">
        <v>3.7960446085853508</v>
      </c>
      <c r="S206" s="9">
        <v>3.7960446085853508</v>
      </c>
      <c r="T206" s="9">
        <v>3.7960446085853508</v>
      </c>
      <c r="U206" s="9">
        <v>3.7960446085853508</v>
      </c>
      <c r="V206" s="9">
        <v>3.7960446085853508</v>
      </c>
      <c r="W206" s="9">
        <v>3.7960446085853508</v>
      </c>
      <c r="X206" s="9">
        <v>3.7960446085853508</v>
      </c>
      <c r="Y206" s="9">
        <v>3.7960446085853508</v>
      </c>
      <c r="Z206" s="9">
        <v>3.7960446085853508</v>
      </c>
      <c r="AA206" s="9">
        <v>3.7960446085853508</v>
      </c>
      <c r="AB206" s="9">
        <v>3.7960446085853508</v>
      </c>
      <c r="AC206" s="9">
        <v>3.7960446085853508</v>
      </c>
      <c r="AD206" s="9">
        <v>3.7960446085853508</v>
      </c>
      <c r="AE206" s="9">
        <v>3.7960446085853508</v>
      </c>
      <c r="AF206" s="9">
        <v>3.7960446085853508</v>
      </c>
      <c r="AG206" s="9">
        <v>3.7960446085853508</v>
      </c>
      <c r="AH206" s="9">
        <v>3.7960446085853508</v>
      </c>
      <c r="AI206" s="9">
        <v>3.7960446085853508</v>
      </c>
      <c r="AJ206" s="9">
        <v>3.7960446085853508</v>
      </c>
      <c r="AK206" s="9">
        <v>3.7960446085853508</v>
      </c>
      <c r="AL206" s="9">
        <v>3.7960446085853508</v>
      </c>
      <c r="AM206" s="9">
        <v>3.7960446085853508</v>
      </c>
      <c r="AN206" s="9">
        <v>3.7960446085853508</v>
      </c>
      <c r="AO206" s="9">
        <v>3.7960446085853508</v>
      </c>
      <c r="AP206" s="9">
        <v>3.7960446085853508</v>
      </c>
      <c r="AQ206" s="9">
        <v>3.7960446085853508</v>
      </c>
      <c r="AR206" s="9">
        <v>3.7960446085853508</v>
      </c>
      <c r="AS206" s="9">
        <v>3.7960446085853508</v>
      </c>
      <c r="AT206" s="9">
        <v>3.7960446085853508</v>
      </c>
      <c r="AU206" s="9">
        <v>3.7960446085853508</v>
      </c>
      <c r="AV206" s="9">
        <v>3.7960446085853508</v>
      </c>
      <c r="AW206" s="9">
        <v>3.7960446085853508</v>
      </c>
      <c r="AX206" s="9">
        <v>3.7960446085853508</v>
      </c>
      <c r="AY206" s="9">
        <v>3.7960446085853508</v>
      </c>
      <c r="AZ206" s="9">
        <v>3.7960446085853508</v>
      </c>
      <c r="BA206" s="9">
        <v>3.7960446085853508</v>
      </c>
      <c r="BB206" s="9">
        <v>3.7960446085853508</v>
      </c>
    </row>
    <row r="207" spans="1:54" ht="14.4" x14ac:dyDescent="0.3">
      <c r="C207" s="46" t="s">
        <v>318</v>
      </c>
      <c r="E207" s="382"/>
      <c r="F207" s="382"/>
      <c r="G207" s="9">
        <v>137.13214061461872</v>
      </c>
      <c r="H207" s="9">
        <v>137.13214061461872</v>
      </c>
      <c r="I207" s="9">
        <v>137.13214061461872</v>
      </c>
      <c r="J207" s="9">
        <v>137.13214061461872</v>
      </c>
      <c r="K207" s="9">
        <v>137.13214061461872</v>
      </c>
      <c r="L207" s="9">
        <v>137.13214061461872</v>
      </c>
      <c r="M207" s="9">
        <v>137.13214061461872</v>
      </c>
      <c r="N207" s="9">
        <v>137.13214061461872</v>
      </c>
      <c r="O207" s="9">
        <v>137.13214061461872</v>
      </c>
      <c r="P207" s="9">
        <v>137.13214061461872</v>
      </c>
      <c r="Q207" s="9">
        <v>137.13214061461872</v>
      </c>
      <c r="R207" s="9">
        <v>137.13214061461872</v>
      </c>
      <c r="S207" s="9">
        <v>137.13214061461872</v>
      </c>
      <c r="T207" s="9">
        <v>137.13214061461872</v>
      </c>
      <c r="U207" s="9">
        <v>137.13214061461872</v>
      </c>
      <c r="V207" s="9">
        <v>137.13214061461872</v>
      </c>
      <c r="W207" s="9">
        <v>137.13214061461872</v>
      </c>
      <c r="X207" s="9">
        <v>137.13214061461872</v>
      </c>
      <c r="Y207" s="9">
        <v>137.13214061461872</v>
      </c>
      <c r="Z207" s="9">
        <v>137.13214061461872</v>
      </c>
      <c r="AA207" s="9">
        <v>137.13214061461872</v>
      </c>
      <c r="AB207" s="9">
        <v>137.13214061461872</v>
      </c>
      <c r="AC207" s="9">
        <v>137.13214061461872</v>
      </c>
      <c r="AD207" s="9">
        <v>137.13214061461872</v>
      </c>
      <c r="AE207" s="9">
        <v>137.13214061461872</v>
      </c>
      <c r="AF207" s="9">
        <v>137.13214061461872</v>
      </c>
      <c r="AG207" s="9">
        <v>137.13214061461872</v>
      </c>
      <c r="AH207" s="9">
        <v>137.13214061461872</v>
      </c>
      <c r="AI207" s="9">
        <v>137.13214061461872</v>
      </c>
      <c r="AJ207" s="9">
        <v>137.13214061461872</v>
      </c>
      <c r="AK207" s="9">
        <v>137.13214061461872</v>
      </c>
      <c r="AL207" s="9">
        <v>137.13214061461872</v>
      </c>
      <c r="AM207" s="9">
        <v>137.13214061461872</v>
      </c>
      <c r="AN207" s="9">
        <v>137.13214061461872</v>
      </c>
      <c r="AO207" s="9">
        <v>137.13214061461872</v>
      </c>
      <c r="AP207" s="9">
        <v>137.13214061461872</v>
      </c>
      <c r="AQ207" s="9">
        <v>137.13214061461872</v>
      </c>
      <c r="AR207" s="9">
        <v>137.13214061461872</v>
      </c>
      <c r="AS207" s="9">
        <v>137.13214061461872</v>
      </c>
      <c r="AT207" s="9">
        <v>137.13214061461872</v>
      </c>
      <c r="AU207" s="9">
        <v>137.13214061461872</v>
      </c>
      <c r="AV207" s="9">
        <v>137.13214061461872</v>
      </c>
      <c r="AW207" s="9">
        <v>137.13214061461872</v>
      </c>
      <c r="AX207" s="9">
        <v>137.13214061461872</v>
      </c>
      <c r="AY207" s="9">
        <v>137.13214061461872</v>
      </c>
      <c r="AZ207" s="9">
        <v>137.13214061461872</v>
      </c>
      <c r="BA207" s="9">
        <v>137.13214061461872</v>
      </c>
      <c r="BB207" s="9">
        <v>137.13214061461872</v>
      </c>
    </row>
    <row r="208" spans="1:54" ht="14.4" x14ac:dyDescent="0.3">
      <c r="C208" s="46" t="s">
        <v>319</v>
      </c>
      <c r="E208" s="382"/>
      <c r="F208" s="382"/>
      <c r="G208" s="9">
        <v>0.29908270292000144</v>
      </c>
      <c r="H208" s="9">
        <v>0.29908270292000144</v>
      </c>
      <c r="I208" s="9">
        <v>0.29908270292000144</v>
      </c>
      <c r="J208" s="9">
        <v>0.29908270292000144</v>
      </c>
      <c r="K208" s="9">
        <v>0.29908270292000144</v>
      </c>
      <c r="L208" s="9">
        <v>0.29908270292000144</v>
      </c>
      <c r="M208" s="9">
        <v>0.29908270292000144</v>
      </c>
      <c r="N208" s="9">
        <v>0.29908270292000144</v>
      </c>
      <c r="O208" s="9">
        <v>0.29908270292000144</v>
      </c>
      <c r="P208" s="9">
        <v>0.29908270292000144</v>
      </c>
      <c r="Q208" s="9">
        <v>0.29908270292000144</v>
      </c>
      <c r="R208" s="9">
        <v>0.29908270292000144</v>
      </c>
      <c r="S208" s="9">
        <v>0.29908270292000144</v>
      </c>
      <c r="T208" s="9">
        <v>0.29908270292000144</v>
      </c>
      <c r="U208" s="9">
        <v>0.29908270292000144</v>
      </c>
      <c r="V208" s="9">
        <v>0.29908270292000144</v>
      </c>
      <c r="W208" s="9">
        <v>0.29908270292000144</v>
      </c>
      <c r="X208" s="9">
        <v>0.29908270292000144</v>
      </c>
      <c r="Y208" s="9">
        <v>0.29908270292000144</v>
      </c>
      <c r="Z208" s="9">
        <v>0.29908270292000144</v>
      </c>
      <c r="AA208" s="9">
        <v>0.29908270292000144</v>
      </c>
      <c r="AB208" s="9">
        <v>0.29908270292000144</v>
      </c>
      <c r="AC208" s="9">
        <v>0.29908270292000144</v>
      </c>
      <c r="AD208" s="9">
        <v>0.29908270292000144</v>
      </c>
      <c r="AE208" s="9">
        <v>0.29908270292000144</v>
      </c>
      <c r="AF208" s="9">
        <v>0.29908270292000144</v>
      </c>
      <c r="AG208" s="9">
        <v>0.29908270292000144</v>
      </c>
      <c r="AH208" s="9">
        <v>0.29908270292000144</v>
      </c>
      <c r="AI208" s="9">
        <v>0.29908270292000144</v>
      </c>
      <c r="AJ208" s="9">
        <v>0.29908270292000144</v>
      </c>
      <c r="AK208" s="9">
        <v>0.29908270292000144</v>
      </c>
      <c r="AL208" s="9">
        <v>0.29908270292000144</v>
      </c>
      <c r="AM208" s="9">
        <v>0.29908270292000144</v>
      </c>
      <c r="AN208" s="9">
        <v>0.29908270292000144</v>
      </c>
      <c r="AO208" s="9">
        <v>0.29908270292000144</v>
      </c>
      <c r="AP208" s="9">
        <v>0.29908270292000144</v>
      </c>
      <c r="AQ208" s="9">
        <v>0.29908270292000144</v>
      </c>
      <c r="AR208" s="9">
        <v>0.29908270292000144</v>
      </c>
      <c r="AS208" s="9">
        <v>0.29908270292000144</v>
      </c>
      <c r="AT208" s="9">
        <v>0.29908270292000144</v>
      </c>
      <c r="AU208" s="9">
        <v>0.29908270292000144</v>
      </c>
      <c r="AV208" s="9">
        <v>0.29908270292000144</v>
      </c>
      <c r="AW208" s="9">
        <v>0.29908270292000144</v>
      </c>
      <c r="AX208" s="9">
        <v>0.29908270292000144</v>
      </c>
      <c r="AY208" s="9">
        <v>0.29908270292000144</v>
      </c>
      <c r="AZ208" s="9">
        <v>0.29908270292000144</v>
      </c>
      <c r="BA208" s="9">
        <v>0.29908270292000144</v>
      </c>
      <c r="BB208" s="9">
        <v>0.29908270292000144</v>
      </c>
    </row>
    <row r="209" spans="1:54" ht="14.4" x14ac:dyDescent="0.3">
      <c r="C209" s="46" t="s">
        <v>320</v>
      </c>
      <c r="E209" s="382"/>
      <c r="F209" s="382"/>
      <c r="G209" s="9">
        <v>4.3738739734003627</v>
      </c>
      <c r="H209" s="9">
        <v>4.3738739734003627</v>
      </c>
      <c r="I209" s="9">
        <v>4.3738739734003627</v>
      </c>
      <c r="J209" s="9">
        <v>4.3738739734003627</v>
      </c>
      <c r="K209" s="9">
        <v>4.3738739734003627</v>
      </c>
      <c r="L209" s="9">
        <v>4.3738739734003627</v>
      </c>
      <c r="M209" s="9">
        <v>4.3738739734003627</v>
      </c>
      <c r="N209" s="9">
        <v>4.3738739734003627</v>
      </c>
      <c r="O209" s="9">
        <v>4.3738739734003627</v>
      </c>
      <c r="P209" s="9">
        <v>4.3738739734003627</v>
      </c>
      <c r="Q209" s="9">
        <v>4.3738739734003627</v>
      </c>
      <c r="R209" s="9">
        <v>4.3738739734003627</v>
      </c>
      <c r="S209" s="9">
        <v>4.3738739734003627</v>
      </c>
      <c r="T209" s="9">
        <v>4.3738739734003627</v>
      </c>
      <c r="U209" s="9">
        <v>4.3738739734003627</v>
      </c>
      <c r="V209" s="9">
        <v>4.3738739734003627</v>
      </c>
      <c r="W209" s="9">
        <v>4.3738739734003627</v>
      </c>
      <c r="X209" s="9">
        <v>4.3738739734003627</v>
      </c>
      <c r="Y209" s="9">
        <v>4.3738739734003627</v>
      </c>
      <c r="Z209" s="9">
        <v>4.3738739734003627</v>
      </c>
      <c r="AA209" s="9">
        <v>4.3738739734003627</v>
      </c>
      <c r="AB209" s="9">
        <v>4.3738739734003627</v>
      </c>
      <c r="AC209" s="9">
        <v>4.3738739734003627</v>
      </c>
      <c r="AD209" s="9">
        <v>4.3738739734003627</v>
      </c>
      <c r="AE209" s="9">
        <v>4.3738739734003627</v>
      </c>
      <c r="AF209" s="9">
        <v>4.3738739734003627</v>
      </c>
      <c r="AG209" s="9">
        <v>4.3738739734003627</v>
      </c>
      <c r="AH209" s="9">
        <v>4.3738739734003627</v>
      </c>
      <c r="AI209" s="9">
        <v>4.3738739734003627</v>
      </c>
      <c r="AJ209" s="9">
        <v>4.3738739734003627</v>
      </c>
      <c r="AK209" s="9">
        <v>4.3738739734003627</v>
      </c>
      <c r="AL209" s="9">
        <v>4.3738739734003627</v>
      </c>
      <c r="AM209" s="9">
        <v>4.3738739734003627</v>
      </c>
      <c r="AN209" s="9">
        <v>4.3738739734003627</v>
      </c>
      <c r="AO209" s="9">
        <v>4.3738739734003627</v>
      </c>
      <c r="AP209" s="9">
        <v>4.3738739734003627</v>
      </c>
      <c r="AQ209" s="9">
        <v>4.3738739734003627</v>
      </c>
      <c r="AR209" s="9">
        <v>4.3738739734003627</v>
      </c>
      <c r="AS209" s="9">
        <v>4.3738739734003627</v>
      </c>
      <c r="AT209" s="9">
        <v>4.3738739734003627</v>
      </c>
      <c r="AU209" s="9">
        <v>4.3738739734003627</v>
      </c>
      <c r="AV209" s="9">
        <v>4.3738739734003627</v>
      </c>
      <c r="AW209" s="9">
        <v>4.3738739734003627</v>
      </c>
      <c r="AX209" s="9">
        <v>4.3738739734003627</v>
      </c>
      <c r="AY209" s="9">
        <v>4.3738739734003627</v>
      </c>
      <c r="AZ209" s="9">
        <v>4.3738739734003627</v>
      </c>
      <c r="BA209" s="9">
        <v>4.3738739734003627</v>
      </c>
      <c r="BB209" s="9">
        <v>4.3738739734003627</v>
      </c>
    </row>
    <row r="210" spans="1:54" ht="15" customHeight="1" x14ac:dyDescent="0.3">
      <c r="C210" s="46" t="s">
        <v>321</v>
      </c>
      <c r="E210" s="382"/>
      <c r="F210" s="382"/>
      <c r="G210" s="9">
        <v>1.4831539788079005E-3</v>
      </c>
      <c r="H210" s="9">
        <v>1.4831539788079005E-3</v>
      </c>
      <c r="I210" s="9">
        <v>1.4831539788079005E-3</v>
      </c>
      <c r="J210" s="9">
        <v>1.4831539788079005E-3</v>
      </c>
      <c r="K210" s="9">
        <v>1.4831539788079005E-3</v>
      </c>
      <c r="L210" s="9">
        <v>1.4831539788079005E-3</v>
      </c>
      <c r="M210" s="9">
        <v>1.4831539788079005E-3</v>
      </c>
      <c r="N210" s="9">
        <v>1.4831539788079005E-3</v>
      </c>
      <c r="O210" s="9">
        <v>1.4831539788079005E-3</v>
      </c>
      <c r="P210" s="9">
        <v>1.4831539788079005E-3</v>
      </c>
      <c r="Q210" s="9">
        <v>1.4831539788079005E-3</v>
      </c>
      <c r="R210" s="9">
        <v>1.4831539788079005E-3</v>
      </c>
      <c r="S210" s="9">
        <v>1.4831539788079005E-3</v>
      </c>
      <c r="T210" s="9">
        <v>1.4831539788079005E-3</v>
      </c>
      <c r="U210" s="9">
        <v>1.4831539788079005E-3</v>
      </c>
      <c r="V210" s="9">
        <v>1.4831539788079005E-3</v>
      </c>
      <c r="W210" s="9">
        <v>1.4831539788079005E-3</v>
      </c>
      <c r="X210" s="9">
        <v>1.4831539788079005E-3</v>
      </c>
      <c r="Y210" s="9">
        <v>1.4831539788079005E-3</v>
      </c>
      <c r="Z210" s="9">
        <v>1.4831539788079005E-3</v>
      </c>
      <c r="AA210" s="9">
        <v>1.4831539788079005E-3</v>
      </c>
      <c r="AB210" s="9">
        <v>1.4831539788079005E-3</v>
      </c>
      <c r="AC210" s="9">
        <v>1.4831539788079005E-3</v>
      </c>
      <c r="AD210" s="9">
        <v>1.4831539788079005E-3</v>
      </c>
      <c r="AE210" s="9">
        <v>1.4831539788079005E-3</v>
      </c>
      <c r="AF210" s="9">
        <v>1.4831539788079005E-3</v>
      </c>
      <c r="AG210" s="9">
        <v>1.4831539788079005E-3</v>
      </c>
      <c r="AH210" s="9">
        <v>1.4831539788079005E-3</v>
      </c>
      <c r="AI210" s="9">
        <v>1.4831539788079005E-3</v>
      </c>
      <c r="AJ210" s="9">
        <v>1.4831539788079005E-3</v>
      </c>
      <c r="AK210" s="9">
        <v>1.4831539788079005E-3</v>
      </c>
      <c r="AL210" s="9">
        <v>1.4831539788079005E-3</v>
      </c>
      <c r="AM210" s="9">
        <v>1.4831539788079005E-3</v>
      </c>
      <c r="AN210" s="9">
        <v>1.4831539788079005E-3</v>
      </c>
      <c r="AO210" s="9">
        <v>1.4831539788079005E-3</v>
      </c>
      <c r="AP210" s="9">
        <v>1.4831539788079005E-3</v>
      </c>
      <c r="AQ210" s="9">
        <v>1.4831539788079005E-3</v>
      </c>
      <c r="AR210" s="9">
        <v>1.4831539788079005E-3</v>
      </c>
      <c r="AS210" s="9">
        <v>1.4831539788079005E-3</v>
      </c>
      <c r="AT210" s="9">
        <v>1.4831539788079005E-3</v>
      </c>
      <c r="AU210" s="9">
        <v>1.4831539788079005E-3</v>
      </c>
      <c r="AV210" s="9">
        <v>1.4831539788079005E-3</v>
      </c>
      <c r="AW210" s="9">
        <v>1.4831539788079005E-3</v>
      </c>
      <c r="AX210" s="9">
        <v>1.4831539788079005E-3</v>
      </c>
      <c r="AY210" s="9">
        <v>1.4831539788079005E-3</v>
      </c>
      <c r="AZ210" s="9">
        <v>1.4831539788079005E-3</v>
      </c>
      <c r="BA210" s="9">
        <v>1.4831539788079005E-3</v>
      </c>
      <c r="BB210" s="9">
        <v>1.4831539788079005E-3</v>
      </c>
    </row>
    <row r="211" spans="1:54" ht="15" customHeight="1" x14ac:dyDescent="0.3">
      <c r="C211" s="46" t="s">
        <v>322</v>
      </c>
      <c r="E211" s="382"/>
      <c r="F211" s="382"/>
      <c r="G211" s="9">
        <v>31.271296807510559</v>
      </c>
      <c r="H211" s="9">
        <v>31.271296807510559</v>
      </c>
      <c r="I211" s="9">
        <v>31.271296807510559</v>
      </c>
      <c r="J211" s="9">
        <v>31.271296807510559</v>
      </c>
      <c r="K211" s="9">
        <v>31.271296807510559</v>
      </c>
      <c r="L211" s="9">
        <v>31.271296807510559</v>
      </c>
      <c r="M211" s="9">
        <v>31.271296807510559</v>
      </c>
      <c r="N211" s="9">
        <v>31.271296807510559</v>
      </c>
      <c r="O211" s="9">
        <v>31.271296807510559</v>
      </c>
      <c r="P211" s="9">
        <v>31.271296807510559</v>
      </c>
      <c r="Q211" s="9">
        <v>31.271296807510559</v>
      </c>
      <c r="R211" s="9">
        <v>31.271296807510559</v>
      </c>
      <c r="S211" s="9">
        <v>31.271296807510559</v>
      </c>
      <c r="T211" s="9">
        <v>31.271296807510559</v>
      </c>
      <c r="U211" s="9">
        <v>31.271296807510559</v>
      </c>
      <c r="V211" s="9">
        <v>31.271296807510559</v>
      </c>
      <c r="W211" s="9">
        <v>31.271296807510559</v>
      </c>
      <c r="X211" s="9">
        <v>31.271296807510559</v>
      </c>
      <c r="Y211" s="9">
        <v>31.271296807510559</v>
      </c>
      <c r="Z211" s="9">
        <v>31.271296807510559</v>
      </c>
      <c r="AA211" s="9">
        <v>31.271296807510559</v>
      </c>
      <c r="AB211" s="9">
        <v>31.271296807510559</v>
      </c>
      <c r="AC211" s="9">
        <v>31.271296807510559</v>
      </c>
      <c r="AD211" s="9">
        <v>31.271296807510559</v>
      </c>
      <c r="AE211" s="9">
        <v>31.271296807510559</v>
      </c>
      <c r="AF211" s="9">
        <v>31.271296807510559</v>
      </c>
      <c r="AG211" s="9">
        <v>31.271296807510559</v>
      </c>
      <c r="AH211" s="9">
        <v>31.271296807510559</v>
      </c>
      <c r="AI211" s="9">
        <v>31.271296807510559</v>
      </c>
      <c r="AJ211" s="9">
        <v>31.271296807510559</v>
      </c>
      <c r="AK211" s="9">
        <v>31.271296807510559</v>
      </c>
      <c r="AL211" s="9">
        <v>31.271296807510559</v>
      </c>
      <c r="AM211" s="9">
        <v>31.271296807510559</v>
      </c>
      <c r="AN211" s="9">
        <v>31.271296807510559</v>
      </c>
      <c r="AO211" s="9">
        <v>31.271296807510559</v>
      </c>
      <c r="AP211" s="9">
        <v>31.271296807510559</v>
      </c>
      <c r="AQ211" s="9">
        <v>31.271296807510559</v>
      </c>
      <c r="AR211" s="9">
        <v>31.271296807510559</v>
      </c>
      <c r="AS211" s="9">
        <v>31.271296807510559</v>
      </c>
      <c r="AT211" s="9">
        <v>31.271296807510559</v>
      </c>
      <c r="AU211" s="9">
        <v>31.271296807510559</v>
      </c>
      <c r="AV211" s="9">
        <v>31.271296807510559</v>
      </c>
      <c r="AW211" s="9">
        <v>31.271296807510559</v>
      </c>
      <c r="AX211" s="9">
        <v>31.271296807510559</v>
      </c>
      <c r="AY211" s="9">
        <v>31.271296807510559</v>
      </c>
      <c r="AZ211" s="9">
        <v>31.271296807510559</v>
      </c>
      <c r="BA211" s="9">
        <v>31.271296807510559</v>
      </c>
      <c r="BB211" s="9">
        <v>31.271296807510559</v>
      </c>
    </row>
    <row r="212" spans="1:54" ht="15" customHeight="1" x14ac:dyDescent="0.3">
      <c r="C212" s="46" t="s">
        <v>323</v>
      </c>
      <c r="E212" s="382"/>
      <c r="F212" s="382"/>
      <c r="G212" s="9">
        <v>6.1080775530679898E-4</v>
      </c>
      <c r="H212" s="9">
        <v>6.1080775530679898E-4</v>
      </c>
      <c r="I212" s="9">
        <v>6.1080775530679898E-4</v>
      </c>
      <c r="J212" s="9">
        <v>6.1080775530679898E-4</v>
      </c>
      <c r="K212" s="9">
        <v>6.1080775530679898E-4</v>
      </c>
      <c r="L212" s="9">
        <v>6.1080775530679898E-4</v>
      </c>
      <c r="M212" s="9">
        <v>6.1080775530679898E-4</v>
      </c>
      <c r="N212" s="9">
        <v>6.1080775530679898E-4</v>
      </c>
      <c r="O212" s="9">
        <v>6.1080775530679898E-4</v>
      </c>
      <c r="P212" s="9">
        <v>6.1080775530679898E-4</v>
      </c>
      <c r="Q212" s="9">
        <v>6.1080775530679898E-4</v>
      </c>
      <c r="R212" s="9">
        <v>6.1080775530679898E-4</v>
      </c>
      <c r="S212" s="9">
        <v>6.1080775530679898E-4</v>
      </c>
      <c r="T212" s="9">
        <v>6.1080775530679898E-4</v>
      </c>
      <c r="U212" s="9">
        <v>6.1080775530679898E-4</v>
      </c>
      <c r="V212" s="9">
        <v>6.1080775530679898E-4</v>
      </c>
      <c r="W212" s="9">
        <v>6.1080775530679898E-4</v>
      </c>
      <c r="X212" s="9">
        <v>6.1080775530679898E-4</v>
      </c>
      <c r="Y212" s="9">
        <v>6.1080775530679898E-4</v>
      </c>
      <c r="Z212" s="9">
        <v>6.1080775530679898E-4</v>
      </c>
      <c r="AA212" s="9">
        <v>6.1080775530679898E-4</v>
      </c>
      <c r="AB212" s="9">
        <v>6.1080775530679898E-4</v>
      </c>
      <c r="AC212" s="9">
        <v>6.1080775530679898E-4</v>
      </c>
      <c r="AD212" s="9">
        <v>6.1080775530679898E-4</v>
      </c>
      <c r="AE212" s="9">
        <v>6.1080775530679898E-4</v>
      </c>
      <c r="AF212" s="9">
        <v>6.1080775530679898E-4</v>
      </c>
      <c r="AG212" s="9">
        <v>6.1080775530679898E-4</v>
      </c>
      <c r="AH212" s="9">
        <v>6.1080775530679898E-4</v>
      </c>
      <c r="AI212" s="9">
        <v>6.1080775530679898E-4</v>
      </c>
      <c r="AJ212" s="9">
        <v>6.1080775530679898E-4</v>
      </c>
      <c r="AK212" s="9">
        <v>6.1080775530679898E-4</v>
      </c>
      <c r="AL212" s="9">
        <v>6.1080775530679898E-4</v>
      </c>
      <c r="AM212" s="9">
        <v>6.1080775530679898E-4</v>
      </c>
      <c r="AN212" s="9">
        <v>6.1080775530679898E-4</v>
      </c>
      <c r="AO212" s="9">
        <v>6.1080775530679898E-4</v>
      </c>
      <c r="AP212" s="9">
        <v>6.1080775530679898E-4</v>
      </c>
      <c r="AQ212" s="9">
        <v>6.1080775530679898E-4</v>
      </c>
      <c r="AR212" s="9">
        <v>6.1080775530679898E-4</v>
      </c>
      <c r="AS212" s="9">
        <v>6.1080775530679898E-4</v>
      </c>
      <c r="AT212" s="9">
        <v>6.1080775530679898E-4</v>
      </c>
      <c r="AU212" s="9">
        <v>6.1080775530679898E-4</v>
      </c>
      <c r="AV212" s="9">
        <v>6.1080775530679898E-4</v>
      </c>
      <c r="AW212" s="9">
        <v>6.1080775530679898E-4</v>
      </c>
      <c r="AX212" s="9">
        <v>6.1080775530679898E-4</v>
      </c>
      <c r="AY212" s="9">
        <v>6.1080775530679898E-4</v>
      </c>
      <c r="AZ212" s="9">
        <v>6.1080775530679898E-4</v>
      </c>
      <c r="BA212" s="9">
        <v>6.1080775530679898E-4</v>
      </c>
      <c r="BB212" s="9">
        <v>6.1080775530679898E-4</v>
      </c>
    </row>
    <row r="213" spans="1:54" ht="15" customHeight="1" x14ac:dyDescent="0.3">
      <c r="C213" s="46" t="s">
        <v>324</v>
      </c>
      <c r="E213" s="382"/>
      <c r="F213" s="382"/>
      <c r="G213" s="9">
        <v>0.26280184468662604</v>
      </c>
      <c r="H213" s="9">
        <v>0.26280184468662604</v>
      </c>
      <c r="I213" s="9">
        <v>0.26280184468662604</v>
      </c>
      <c r="J213" s="9">
        <v>0.26280184468662604</v>
      </c>
      <c r="K213" s="9">
        <v>0.26280184468662604</v>
      </c>
      <c r="L213" s="9">
        <v>0.26280184468662604</v>
      </c>
      <c r="M213" s="9">
        <v>0.26280184468662604</v>
      </c>
      <c r="N213" s="9">
        <v>0.26280184468662604</v>
      </c>
      <c r="O213" s="9">
        <v>0.26280184468662604</v>
      </c>
      <c r="P213" s="9">
        <v>0.26280184468662604</v>
      </c>
      <c r="Q213" s="9">
        <v>0.26280184468662604</v>
      </c>
      <c r="R213" s="9">
        <v>0.26280184468662604</v>
      </c>
      <c r="S213" s="9">
        <v>0.26280184468662604</v>
      </c>
      <c r="T213" s="9">
        <v>0.26280184468662604</v>
      </c>
      <c r="U213" s="9">
        <v>0.26280184468662604</v>
      </c>
      <c r="V213" s="9">
        <v>0.26280184468662604</v>
      </c>
      <c r="W213" s="9">
        <v>0.26280184468662604</v>
      </c>
      <c r="X213" s="9">
        <v>0.26280184468662604</v>
      </c>
      <c r="Y213" s="9">
        <v>0.26280184468662604</v>
      </c>
      <c r="Z213" s="9">
        <v>0.26280184468662604</v>
      </c>
      <c r="AA213" s="9">
        <v>0.26280184468662604</v>
      </c>
      <c r="AB213" s="9">
        <v>0.26280184468662604</v>
      </c>
      <c r="AC213" s="9">
        <v>0.26280184468662604</v>
      </c>
      <c r="AD213" s="9">
        <v>0.26280184468662604</v>
      </c>
      <c r="AE213" s="9">
        <v>0.26280184468662604</v>
      </c>
      <c r="AF213" s="9">
        <v>0.26280184468662604</v>
      </c>
      <c r="AG213" s="9">
        <v>0.26280184468662604</v>
      </c>
      <c r="AH213" s="9">
        <v>0.26280184468662604</v>
      </c>
      <c r="AI213" s="9">
        <v>0.26280184468662604</v>
      </c>
      <c r="AJ213" s="9">
        <v>0.26280184468662604</v>
      </c>
      <c r="AK213" s="9">
        <v>0.26280184468662604</v>
      </c>
      <c r="AL213" s="9">
        <v>0.26280184468662604</v>
      </c>
      <c r="AM213" s="9">
        <v>0.26280184468662604</v>
      </c>
      <c r="AN213" s="9">
        <v>0.26280184468662604</v>
      </c>
      <c r="AO213" s="9">
        <v>0.26280184468662604</v>
      </c>
      <c r="AP213" s="9">
        <v>0.26280184468662604</v>
      </c>
      <c r="AQ213" s="9">
        <v>0.26280184468662604</v>
      </c>
      <c r="AR213" s="9">
        <v>0.26280184468662604</v>
      </c>
      <c r="AS213" s="9">
        <v>0.26280184468662604</v>
      </c>
      <c r="AT213" s="9">
        <v>0.26280184468662604</v>
      </c>
      <c r="AU213" s="9">
        <v>0.26280184468662604</v>
      </c>
      <c r="AV213" s="9">
        <v>0.26280184468662604</v>
      </c>
      <c r="AW213" s="9">
        <v>0.26280184468662604</v>
      </c>
      <c r="AX213" s="9">
        <v>0.26280184468662604</v>
      </c>
      <c r="AY213" s="9">
        <v>0.26280184468662604</v>
      </c>
      <c r="AZ213" s="9">
        <v>0.26280184468662604</v>
      </c>
      <c r="BA213" s="9">
        <v>0.26280184468662604</v>
      </c>
      <c r="BB213" s="9">
        <v>0.26280184468662604</v>
      </c>
    </row>
    <row r="214" spans="1:54" ht="15" customHeight="1" x14ac:dyDescent="0.3">
      <c r="C214" s="46" t="s">
        <v>325</v>
      </c>
      <c r="E214" s="382"/>
      <c r="F214" s="382"/>
      <c r="G214" s="9">
        <v>0.11099700987646864</v>
      </c>
      <c r="H214" s="9">
        <v>0.11099700987646864</v>
      </c>
      <c r="I214" s="9">
        <v>0.11099700987646864</v>
      </c>
      <c r="J214" s="9">
        <v>0.11099700987646864</v>
      </c>
      <c r="K214" s="9">
        <v>0.11099700987646864</v>
      </c>
      <c r="L214" s="9">
        <v>0.11099700987646864</v>
      </c>
      <c r="M214" s="9">
        <v>0.11099700987646864</v>
      </c>
      <c r="N214" s="9">
        <v>0.11099700987646864</v>
      </c>
      <c r="O214" s="9">
        <v>0.11099700987646864</v>
      </c>
      <c r="P214" s="9">
        <v>0.11099700987646864</v>
      </c>
      <c r="Q214" s="9">
        <v>0.11099700987646864</v>
      </c>
      <c r="R214" s="9">
        <v>0.11099700987646864</v>
      </c>
      <c r="S214" s="9">
        <v>0.11099700987646864</v>
      </c>
      <c r="T214" s="9">
        <v>0.11099700987646864</v>
      </c>
      <c r="U214" s="9">
        <v>0.11099700987646864</v>
      </c>
      <c r="V214" s="9">
        <v>0.11099700987646864</v>
      </c>
      <c r="W214" s="9">
        <v>0.11099700987646864</v>
      </c>
      <c r="X214" s="9">
        <v>0.11099700987646864</v>
      </c>
      <c r="Y214" s="9">
        <v>0.11099700987646864</v>
      </c>
      <c r="Z214" s="9">
        <v>0.11099700987646864</v>
      </c>
      <c r="AA214" s="9">
        <v>0.11099700987646864</v>
      </c>
      <c r="AB214" s="9">
        <v>0.11099700987646864</v>
      </c>
      <c r="AC214" s="9">
        <v>0.11099700987646864</v>
      </c>
      <c r="AD214" s="9">
        <v>0.11099700987646864</v>
      </c>
      <c r="AE214" s="9">
        <v>0.11099700987646864</v>
      </c>
      <c r="AF214" s="9">
        <v>0.11099700987646864</v>
      </c>
      <c r="AG214" s="9">
        <v>0.11099700987646864</v>
      </c>
      <c r="AH214" s="9">
        <v>0.11099700987646864</v>
      </c>
      <c r="AI214" s="9">
        <v>0.11099700987646864</v>
      </c>
      <c r="AJ214" s="9">
        <v>0.11099700987646864</v>
      </c>
      <c r="AK214" s="9">
        <v>0.11099700987646864</v>
      </c>
      <c r="AL214" s="9">
        <v>0.11099700987646864</v>
      </c>
      <c r="AM214" s="9">
        <v>0.11099700987646864</v>
      </c>
      <c r="AN214" s="9">
        <v>0.11099700987646864</v>
      </c>
      <c r="AO214" s="9">
        <v>0.11099700987646864</v>
      </c>
      <c r="AP214" s="9">
        <v>0.11099700987646864</v>
      </c>
      <c r="AQ214" s="9">
        <v>0.11099700987646864</v>
      </c>
      <c r="AR214" s="9">
        <v>0.11099700987646864</v>
      </c>
      <c r="AS214" s="9">
        <v>0.11099700987646864</v>
      </c>
      <c r="AT214" s="9">
        <v>0.11099700987646864</v>
      </c>
      <c r="AU214" s="9">
        <v>0.11099700987646864</v>
      </c>
      <c r="AV214" s="9">
        <v>0.11099700987646864</v>
      </c>
      <c r="AW214" s="9">
        <v>0.11099700987646864</v>
      </c>
      <c r="AX214" s="9">
        <v>0.11099700987646864</v>
      </c>
      <c r="AY214" s="9">
        <v>0.11099700987646864</v>
      </c>
      <c r="AZ214" s="9">
        <v>0.11099700987646864</v>
      </c>
      <c r="BA214" s="9">
        <v>0.11099700987646864</v>
      </c>
      <c r="BB214" s="9">
        <v>0.11099700987646864</v>
      </c>
    </row>
    <row r="215" spans="1:54" ht="15" customHeight="1" x14ac:dyDescent="0.3">
      <c r="C215" s="46" t="s">
        <v>326</v>
      </c>
      <c r="E215" s="382"/>
      <c r="F215" s="382"/>
      <c r="G215" s="9">
        <v>1.8203592814371257</v>
      </c>
      <c r="H215" s="9">
        <v>1.8203592814371257</v>
      </c>
      <c r="I215" s="9">
        <v>1.8203592814371257</v>
      </c>
      <c r="J215" s="9">
        <v>1.8203592814371257</v>
      </c>
      <c r="K215" s="9">
        <v>1.8203592814371257</v>
      </c>
      <c r="L215" s="9">
        <v>1.8203592814371257</v>
      </c>
      <c r="M215" s="9">
        <v>1.8203592814371257</v>
      </c>
      <c r="N215" s="9">
        <v>1.8203592814371257</v>
      </c>
      <c r="O215" s="9">
        <v>1.8203592814371257</v>
      </c>
      <c r="P215" s="9">
        <v>1.8203592814371257</v>
      </c>
      <c r="Q215" s="9">
        <v>1.8203592814371257</v>
      </c>
      <c r="R215" s="9">
        <v>1.8203592814371257</v>
      </c>
      <c r="S215" s="9">
        <v>1.8203592814371257</v>
      </c>
      <c r="T215" s="9">
        <v>1.8203592814371257</v>
      </c>
      <c r="U215" s="9">
        <v>1.8203592814371257</v>
      </c>
      <c r="V215" s="9">
        <v>1.8203592814371257</v>
      </c>
      <c r="W215" s="9">
        <v>1.8203592814371257</v>
      </c>
      <c r="X215" s="9">
        <v>1.8203592814371257</v>
      </c>
      <c r="Y215" s="9">
        <v>1.8203592814371257</v>
      </c>
      <c r="Z215" s="9">
        <v>1.8203592814371257</v>
      </c>
      <c r="AA215" s="9">
        <v>1.8203592814371257</v>
      </c>
      <c r="AB215" s="9">
        <v>1.8203592814371257</v>
      </c>
      <c r="AC215" s="9">
        <v>1.8203592814371257</v>
      </c>
      <c r="AD215" s="9">
        <v>1.8203592814371257</v>
      </c>
      <c r="AE215" s="9">
        <v>1.8203592814371257</v>
      </c>
      <c r="AF215" s="9">
        <v>1.8203592814371257</v>
      </c>
      <c r="AG215" s="9">
        <v>1.8203592814371257</v>
      </c>
      <c r="AH215" s="9">
        <v>1.8203592814371257</v>
      </c>
      <c r="AI215" s="9">
        <v>1.8203592814371257</v>
      </c>
      <c r="AJ215" s="9">
        <v>1.8203592814371257</v>
      </c>
      <c r="AK215" s="9">
        <v>1.8203592814371257</v>
      </c>
      <c r="AL215" s="9">
        <v>1.8203592814371257</v>
      </c>
      <c r="AM215" s="9">
        <v>1.8203592814371257</v>
      </c>
      <c r="AN215" s="9">
        <v>1.8203592814371257</v>
      </c>
      <c r="AO215" s="9">
        <v>1.8203592814371257</v>
      </c>
      <c r="AP215" s="9">
        <v>1.8203592814371257</v>
      </c>
      <c r="AQ215" s="9">
        <v>1.8203592814371257</v>
      </c>
      <c r="AR215" s="9">
        <v>1.8203592814371257</v>
      </c>
      <c r="AS215" s="9">
        <v>1.8203592814371257</v>
      </c>
      <c r="AT215" s="9">
        <v>1.8203592814371257</v>
      </c>
      <c r="AU215" s="9">
        <v>1.8203592814371257</v>
      </c>
      <c r="AV215" s="9">
        <v>1.8203592814371257</v>
      </c>
      <c r="AW215" s="9">
        <v>1.8203592814371257</v>
      </c>
      <c r="AX215" s="9">
        <v>1.8203592814371257</v>
      </c>
      <c r="AY215" s="9">
        <v>1.8203592814371257</v>
      </c>
      <c r="AZ215" s="9">
        <v>1.8203592814371257</v>
      </c>
      <c r="BA215" s="9">
        <v>1.8203592814371257</v>
      </c>
      <c r="BB215" s="9">
        <v>1.8203592814371257</v>
      </c>
    </row>
    <row r="216" spans="1:54" ht="15" customHeight="1" x14ac:dyDescent="0.3">
      <c r="C216" s="46" t="s">
        <v>327</v>
      </c>
      <c r="E216" s="382"/>
      <c r="F216" s="382"/>
      <c r="G216" s="9">
        <v>38.397283698500374</v>
      </c>
      <c r="H216" s="9">
        <v>38.397283698500374</v>
      </c>
      <c r="I216" s="9">
        <v>38.397283698500374</v>
      </c>
      <c r="J216" s="9">
        <v>38.397283698500374</v>
      </c>
      <c r="K216" s="9">
        <v>38.397283698500374</v>
      </c>
      <c r="L216" s="9">
        <v>38.397283698500374</v>
      </c>
      <c r="M216" s="9">
        <v>38.397283698500374</v>
      </c>
      <c r="N216" s="9">
        <v>38.397283698500374</v>
      </c>
      <c r="O216" s="9">
        <v>38.397283698500374</v>
      </c>
      <c r="P216" s="9">
        <v>38.397283698500374</v>
      </c>
      <c r="Q216" s="9">
        <v>38.397283698500374</v>
      </c>
      <c r="R216" s="9">
        <v>38.397283698500374</v>
      </c>
      <c r="S216" s="9">
        <v>38.397283698500374</v>
      </c>
      <c r="T216" s="9">
        <v>38.397283698500374</v>
      </c>
      <c r="U216" s="9">
        <v>38.397283698500374</v>
      </c>
      <c r="V216" s="9">
        <v>38.397283698500374</v>
      </c>
      <c r="W216" s="9">
        <v>38.397283698500374</v>
      </c>
      <c r="X216" s="9">
        <v>38.397283698500374</v>
      </c>
      <c r="Y216" s="9">
        <v>38.397283698500374</v>
      </c>
      <c r="Z216" s="9">
        <v>38.397283698500374</v>
      </c>
      <c r="AA216" s="9">
        <v>38.397283698500374</v>
      </c>
      <c r="AB216" s="9">
        <v>38.397283698500374</v>
      </c>
      <c r="AC216" s="9">
        <v>38.397283698500374</v>
      </c>
      <c r="AD216" s="9">
        <v>38.397283698500374</v>
      </c>
      <c r="AE216" s="9">
        <v>38.397283698500374</v>
      </c>
      <c r="AF216" s="9">
        <v>38.397283698500374</v>
      </c>
      <c r="AG216" s="9">
        <v>38.397283698500374</v>
      </c>
      <c r="AH216" s="9">
        <v>38.397283698500374</v>
      </c>
      <c r="AI216" s="9">
        <v>38.397283698500374</v>
      </c>
      <c r="AJ216" s="9">
        <v>38.397283698500374</v>
      </c>
      <c r="AK216" s="9">
        <v>38.397283698500374</v>
      </c>
      <c r="AL216" s="9">
        <v>38.397283698500374</v>
      </c>
      <c r="AM216" s="9">
        <v>38.397283698500374</v>
      </c>
      <c r="AN216" s="9">
        <v>38.397283698500374</v>
      </c>
      <c r="AO216" s="9">
        <v>38.397283698500374</v>
      </c>
      <c r="AP216" s="9">
        <v>38.397283698500374</v>
      </c>
      <c r="AQ216" s="9">
        <v>38.397283698500374</v>
      </c>
      <c r="AR216" s="9">
        <v>38.397283698500374</v>
      </c>
      <c r="AS216" s="9">
        <v>38.397283698500374</v>
      </c>
      <c r="AT216" s="9">
        <v>38.397283698500374</v>
      </c>
      <c r="AU216" s="9">
        <v>38.397283698500374</v>
      </c>
      <c r="AV216" s="9">
        <v>38.397283698500374</v>
      </c>
      <c r="AW216" s="9">
        <v>38.397283698500374</v>
      </c>
      <c r="AX216" s="9">
        <v>38.397283698500374</v>
      </c>
      <c r="AY216" s="9">
        <v>38.397283698500374</v>
      </c>
      <c r="AZ216" s="9">
        <v>38.397283698500374</v>
      </c>
      <c r="BA216" s="9">
        <v>38.397283698500374</v>
      </c>
      <c r="BB216" s="9">
        <v>38.397283698500374</v>
      </c>
    </row>
    <row r="217" spans="1:54" ht="15" customHeight="1" x14ac:dyDescent="0.3">
      <c r="C217" s="46" t="s">
        <v>328</v>
      </c>
      <c r="E217" s="382"/>
      <c r="F217" s="382"/>
      <c r="G217" s="9">
        <v>10.110024229682695</v>
      </c>
      <c r="H217" s="9">
        <v>10.110024229682695</v>
      </c>
      <c r="I217" s="9">
        <v>10.110024229682695</v>
      </c>
      <c r="J217" s="9">
        <v>10.110024229682695</v>
      </c>
      <c r="K217" s="9">
        <v>10.110024229682695</v>
      </c>
      <c r="L217" s="9">
        <v>10.110024229682695</v>
      </c>
      <c r="M217" s="9">
        <v>10.110024229682695</v>
      </c>
      <c r="N217" s="9">
        <v>10.110024229682695</v>
      </c>
      <c r="O217" s="9">
        <v>10.110024229682695</v>
      </c>
      <c r="P217" s="9">
        <v>10.110024229682695</v>
      </c>
      <c r="Q217" s="9">
        <v>10.110024229682695</v>
      </c>
      <c r="R217" s="9">
        <v>10.110024229682695</v>
      </c>
      <c r="S217" s="9">
        <v>10.110024229682695</v>
      </c>
      <c r="T217" s="9">
        <v>10.110024229682695</v>
      </c>
      <c r="U217" s="9">
        <v>10.110024229682695</v>
      </c>
      <c r="V217" s="9">
        <v>10.110024229682695</v>
      </c>
      <c r="W217" s="9">
        <v>10.110024229682695</v>
      </c>
      <c r="X217" s="9">
        <v>10.110024229682695</v>
      </c>
      <c r="Y217" s="9">
        <v>10.110024229682695</v>
      </c>
      <c r="Z217" s="9">
        <v>10.110024229682695</v>
      </c>
      <c r="AA217" s="9">
        <v>10.110024229682695</v>
      </c>
      <c r="AB217" s="9">
        <v>10.110024229682695</v>
      </c>
      <c r="AC217" s="9">
        <v>10.110024229682695</v>
      </c>
      <c r="AD217" s="9">
        <v>10.110024229682695</v>
      </c>
      <c r="AE217" s="9">
        <v>10.110024229682695</v>
      </c>
      <c r="AF217" s="9">
        <v>10.110024229682695</v>
      </c>
      <c r="AG217" s="9">
        <v>10.110024229682695</v>
      </c>
      <c r="AH217" s="9">
        <v>10.110024229682695</v>
      </c>
      <c r="AI217" s="9">
        <v>10.110024229682695</v>
      </c>
      <c r="AJ217" s="9">
        <v>10.110024229682695</v>
      </c>
      <c r="AK217" s="9">
        <v>10.110024229682695</v>
      </c>
      <c r="AL217" s="9">
        <v>10.110024229682695</v>
      </c>
      <c r="AM217" s="9">
        <v>10.110024229682695</v>
      </c>
      <c r="AN217" s="9">
        <v>10.110024229682695</v>
      </c>
      <c r="AO217" s="9">
        <v>10.110024229682695</v>
      </c>
      <c r="AP217" s="9">
        <v>10.110024229682695</v>
      </c>
      <c r="AQ217" s="9">
        <v>10.110024229682695</v>
      </c>
      <c r="AR217" s="9">
        <v>10.110024229682695</v>
      </c>
      <c r="AS217" s="9">
        <v>10.110024229682695</v>
      </c>
      <c r="AT217" s="9">
        <v>10.110024229682695</v>
      </c>
      <c r="AU217" s="9">
        <v>10.110024229682695</v>
      </c>
      <c r="AV217" s="9">
        <v>10.110024229682695</v>
      </c>
      <c r="AW217" s="9">
        <v>10.110024229682695</v>
      </c>
      <c r="AX217" s="9">
        <v>10.110024229682695</v>
      </c>
      <c r="AY217" s="9">
        <v>10.110024229682695</v>
      </c>
      <c r="AZ217" s="9">
        <v>10.110024229682695</v>
      </c>
      <c r="BA217" s="9">
        <v>10.110024229682695</v>
      </c>
      <c r="BB217" s="9">
        <v>10.110024229682695</v>
      </c>
    </row>
    <row r="218" spans="1:54" ht="15" customHeight="1" x14ac:dyDescent="0.3">
      <c r="C218" s="46" t="s">
        <v>329</v>
      </c>
      <c r="E218" s="382"/>
      <c r="F218" s="382"/>
      <c r="G218" s="9">
        <v>7.671557616880162</v>
      </c>
      <c r="H218" s="9">
        <v>7.671557616880162</v>
      </c>
      <c r="I218" s="9">
        <v>7.671557616880162</v>
      </c>
      <c r="J218" s="9">
        <v>7.671557616880162</v>
      </c>
      <c r="K218" s="9">
        <v>7.671557616880162</v>
      </c>
      <c r="L218" s="9">
        <v>7.671557616880162</v>
      </c>
      <c r="M218" s="9">
        <v>7.671557616880162</v>
      </c>
      <c r="N218" s="9">
        <v>7.671557616880162</v>
      </c>
      <c r="O218" s="9">
        <v>7.671557616880162</v>
      </c>
      <c r="P218" s="9">
        <v>7.671557616880162</v>
      </c>
      <c r="Q218" s="9">
        <v>7.671557616880162</v>
      </c>
      <c r="R218" s="9">
        <v>7.671557616880162</v>
      </c>
      <c r="S218" s="9">
        <v>7.671557616880162</v>
      </c>
      <c r="T218" s="9">
        <v>7.671557616880162</v>
      </c>
      <c r="U218" s="9">
        <v>7.671557616880162</v>
      </c>
      <c r="V218" s="9">
        <v>7.671557616880162</v>
      </c>
      <c r="W218" s="9">
        <v>7.671557616880162</v>
      </c>
      <c r="X218" s="9">
        <v>7.671557616880162</v>
      </c>
      <c r="Y218" s="9">
        <v>7.671557616880162</v>
      </c>
      <c r="Z218" s="9">
        <v>7.671557616880162</v>
      </c>
      <c r="AA218" s="9">
        <v>7.671557616880162</v>
      </c>
      <c r="AB218" s="9">
        <v>7.671557616880162</v>
      </c>
      <c r="AC218" s="9">
        <v>7.671557616880162</v>
      </c>
      <c r="AD218" s="9">
        <v>7.671557616880162</v>
      </c>
      <c r="AE218" s="9">
        <v>7.671557616880162</v>
      </c>
      <c r="AF218" s="9">
        <v>7.671557616880162</v>
      </c>
      <c r="AG218" s="9">
        <v>7.671557616880162</v>
      </c>
      <c r="AH218" s="9">
        <v>7.671557616880162</v>
      </c>
      <c r="AI218" s="9">
        <v>7.671557616880162</v>
      </c>
      <c r="AJ218" s="9">
        <v>7.671557616880162</v>
      </c>
      <c r="AK218" s="9">
        <v>7.671557616880162</v>
      </c>
      <c r="AL218" s="9">
        <v>7.671557616880162</v>
      </c>
      <c r="AM218" s="9">
        <v>7.671557616880162</v>
      </c>
      <c r="AN218" s="9">
        <v>7.671557616880162</v>
      </c>
      <c r="AO218" s="9">
        <v>7.671557616880162</v>
      </c>
      <c r="AP218" s="9">
        <v>7.671557616880162</v>
      </c>
      <c r="AQ218" s="9">
        <v>7.671557616880162</v>
      </c>
      <c r="AR218" s="9">
        <v>7.671557616880162</v>
      </c>
      <c r="AS218" s="9">
        <v>7.671557616880162</v>
      </c>
      <c r="AT218" s="9">
        <v>7.671557616880162</v>
      </c>
      <c r="AU218" s="9">
        <v>7.671557616880162</v>
      </c>
      <c r="AV218" s="9">
        <v>7.671557616880162</v>
      </c>
      <c r="AW218" s="9">
        <v>7.671557616880162</v>
      </c>
      <c r="AX218" s="9">
        <v>7.671557616880162</v>
      </c>
      <c r="AY218" s="9">
        <v>7.671557616880162</v>
      </c>
      <c r="AZ218" s="9">
        <v>7.671557616880162</v>
      </c>
      <c r="BA218" s="9">
        <v>7.671557616880162</v>
      </c>
      <c r="BB218" s="9">
        <v>7.671557616880162</v>
      </c>
    </row>
    <row r="219" spans="1:54" ht="15" customHeight="1" x14ac:dyDescent="0.3">
      <c r="C219" s="46" t="s">
        <v>330</v>
      </c>
      <c r="E219" s="382"/>
      <c r="F219" s="382"/>
      <c r="G219" s="9">
        <v>0.53862797504170423</v>
      </c>
      <c r="H219" s="9">
        <v>0.53862797504170423</v>
      </c>
      <c r="I219" s="9">
        <v>0.53862797504170423</v>
      </c>
      <c r="J219" s="9">
        <v>0.53862797504170423</v>
      </c>
      <c r="K219" s="9">
        <v>0.53862797504170423</v>
      </c>
      <c r="L219" s="9">
        <v>0.53862797504170423</v>
      </c>
      <c r="M219" s="9">
        <v>0.53862797504170423</v>
      </c>
      <c r="N219" s="9">
        <v>0.53862797504170423</v>
      </c>
      <c r="O219" s="9">
        <v>0.53862797504170423</v>
      </c>
      <c r="P219" s="9">
        <v>0.53862797504170423</v>
      </c>
      <c r="Q219" s="9">
        <v>0.53862797504170423</v>
      </c>
      <c r="R219" s="9">
        <v>0.53862797504170423</v>
      </c>
      <c r="S219" s="9">
        <v>0.53862797504170423</v>
      </c>
      <c r="T219" s="9">
        <v>0.53862797504170423</v>
      </c>
      <c r="U219" s="9">
        <v>0.53862797504170423</v>
      </c>
      <c r="V219" s="9">
        <v>0.53862797504170423</v>
      </c>
      <c r="W219" s="9">
        <v>0.53862797504170423</v>
      </c>
      <c r="X219" s="9">
        <v>0.53862797504170423</v>
      </c>
      <c r="Y219" s="9">
        <v>0.53862797504170423</v>
      </c>
      <c r="Z219" s="9">
        <v>0.53862797504170423</v>
      </c>
      <c r="AA219" s="9">
        <v>0.53862797504170423</v>
      </c>
      <c r="AB219" s="9">
        <v>0.53862797504170423</v>
      </c>
      <c r="AC219" s="9">
        <v>0.53862797504170423</v>
      </c>
      <c r="AD219" s="9">
        <v>0.53862797504170423</v>
      </c>
      <c r="AE219" s="9">
        <v>0.53862797504170423</v>
      </c>
      <c r="AF219" s="9">
        <v>0.53862797504170423</v>
      </c>
      <c r="AG219" s="9">
        <v>0.53862797504170423</v>
      </c>
      <c r="AH219" s="9">
        <v>0.53862797504170423</v>
      </c>
      <c r="AI219" s="9">
        <v>0.53862797504170423</v>
      </c>
      <c r="AJ219" s="9">
        <v>0.53862797504170423</v>
      </c>
      <c r="AK219" s="9">
        <v>0.53862797504170423</v>
      </c>
      <c r="AL219" s="9">
        <v>0.53862797504170423</v>
      </c>
      <c r="AM219" s="9">
        <v>0.53862797504170423</v>
      </c>
      <c r="AN219" s="9">
        <v>0.53862797504170423</v>
      </c>
      <c r="AO219" s="9">
        <v>0.53862797504170423</v>
      </c>
      <c r="AP219" s="9">
        <v>0.53862797504170423</v>
      </c>
      <c r="AQ219" s="9">
        <v>0.53862797504170423</v>
      </c>
      <c r="AR219" s="9">
        <v>0.53862797504170423</v>
      </c>
      <c r="AS219" s="9">
        <v>0.53862797504170423</v>
      </c>
      <c r="AT219" s="9">
        <v>0.53862797504170423</v>
      </c>
      <c r="AU219" s="9">
        <v>0.53862797504170423</v>
      </c>
      <c r="AV219" s="9">
        <v>0.53862797504170423</v>
      </c>
      <c r="AW219" s="9">
        <v>0.53862797504170423</v>
      </c>
      <c r="AX219" s="9">
        <v>0.53862797504170423</v>
      </c>
      <c r="AY219" s="9">
        <v>0.53862797504170423</v>
      </c>
      <c r="AZ219" s="9">
        <v>0.53862797504170423</v>
      </c>
      <c r="BA219" s="9">
        <v>0.53862797504170423</v>
      </c>
      <c r="BB219" s="9">
        <v>0.53862797504170423</v>
      </c>
    </row>
    <row r="220" spans="1:54" ht="15" customHeight="1" x14ac:dyDescent="0.3">
      <c r="C220" s="46" t="s">
        <v>331</v>
      </c>
      <c r="E220" s="382"/>
      <c r="F220" s="382"/>
      <c r="G220" s="9">
        <v>4158.9006289017943</v>
      </c>
      <c r="H220" s="9">
        <v>4158.9006289017943</v>
      </c>
      <c r="I220" s="9">
        <v>4158.9006289017943</v>
      </c>
      <c r="J220" s="9">
        <v>4158.9006289017943</v>
      </c>
      <c r="K220" s="9">
        <v>4158.9006289017943</v>
      </c>
      <c r="L220" s="9">
        <v>4158.9006289017943</v>
      </c>
      <c r="M220" s="9">
        <v>4158.9006289017943</v>
      </c>
      <c r="N220" s="9">
        <v>4158.9006289017943</v>
      </c>
      <c r="O220" s="9">
        <v>4158.9006289017943</v>
      </c>
      <c r="P220" s="9">
        <v>4158.9006289017943</v>
      </c>
      <c r="Q220" s="9">
        <v>4158.9006289017943</v>
      </c>
      <c r="R220" s="9">
        <v>4158.9006289017943</v>
      </c>
      <c r="S220" s="9">
        <v>4158.9006289017943</v>
      </c>
      <c r="T220" s="9">
        <v>4158.9006289017943</v>
      </c>
      <c r="U220" s="9">
        <v>4158.9006289017943</v>
      </c>
      <c r="V220" s="9">
        <v>4158.9006289017943</v>
      </c>
      <c r="W220" s="9">
        <v>4158.9006289017943</v>
      </c>
      <c r="X220" s="9">
        <v>4158.9006289017943</v>
      </c>
      <c r="Y220" s="9">
        <v>4158.9006289017943</v>
      </c>
      <c r="Z220" s="9">
        <v>4158.9006289017943</v>
      </c>
      <c r="AA220" s="9">
        <v>4158.9006289017943</v>
      </c>
      <c r="AB220" s="9">
        <v>4158.9006289017943</v>
      </c>
      <c r="AC220" s="9">
        <v>4158.9006289017943</v>
      </c>
      <c r="AD220" s="9">
        <v>4158.9006289017943</v>
      </c>
      <c r="AE220" s="9">
        <v>4158.9006289017943</v>
      </c>
      <c r="AF220" s="9">
        <v>4158.9006289017943</v>
      </c>
      <c r="AG220" s="9">
        <v>4158.9006289017943</v>
      </c>
      <c r="AH220" s="9">
        <v>4158.9006289017943</v>
      </c>
      <c r="AI220" s="9">
        <v>4158.9006289017943</v>
      </c>
      <c r="AJ220" s="9">
        <v>4158.9006289017943</v>
      </c>
      <c r="AK220" s="9">
        <v>4158.9006289017943</v>
      </c>
      <c r="AL220" s="9">
        <v>4158.9006289017943</v>
      </c>
      <c r="AM220" s="9">
        <v>4158.9006289017943</v>
      </c>
      <c r="AN220" s="9">
        <v>4158.9006289017943</v>
      </c>
      <c r="AO220" s="9">
        <v>4158.9006289017943</v>
      </c>
      <c r="AP220" s="9">
        <v>4158.9006289017943</v>
      </c>
      <c r="AQ220" s="9">
        <v>4158.9006289017943</v>
      </c>
      <c r="AR220" s="9">
        <v>4158.9006289017943</v>
      </c>
      <c r="AS220" s="9">
        <v>4158.9006289017943</v>
      </c>
      <c r="AT220" s="9">
        <v>4158.9006289017943</v>
      </c>
      <c r="AU220" s="9">
        <v>4158.9006289017943</v>
      </c>
      <c r="AV220" s="9">
        <v>4158.9006289017943</v>
      </c>
      <c r="AW220" s="9">
        <v>4158.9006289017943</v>
      </c>
      <c r="AX220" s="9">
        <v>4158.9006289017943</v>
      </c>
      <c r="AY220" s="9">
        <v>4158.9006289017943</v>
      </c>
      <c r="AZ220" s="9">
        <v>4158.9006289017943</v>
      </c>
      <c r="BA220" s="9">
        <v>4158.9006289017943</v>
      </c>
      <c r="BB220" s="9">
        <v>4158.9006289017943</v>
      </c>
    </row>
    <row r="221" spans="1:54" ht="15" customHeight="1" x14ac:dyDescent="0.3">
      <c r="C221" s="46"/>
    </row>
    <row r="222" spans="1:54" ht="15" customHeight="1" x14ac:dyDescent="0.3">
      <c r="A222" s="45"/>
      <c r="C222" s="13" t="s">
        <v>335</v>
      </c>
    </row>
    <row r="223" spans="1:54" ht="14.4" x14ac:dyDescent="0.3">
      <c r="C223" s="46" t="s">
        <v>316</v>
      </c>
      <c r="E223" s="382" t="s">
        <v>208</v>
      </c>
      <c r="F223" s="382" t="s">
        <v>317</v>
      </c>
      <c r="G223" s="9">
        <v>67.248009458729882</v>
      </c>
      <c r="H223" s="9">
        <v>62.883566730233213</v>
      </c>
      <c r="I223" s="9">
        <v>60.512121425388067</v>
      </c>
      <c r="J223" s="9">
        <v>59.586084097512888</v>
      </c>
      <c r="K223" s="9">
        <v>59.578399904176614</v>
      </c>
      <c r="L223" s="9">
        <v>60.300834973082459</v>
      </c>
      <c r="M223" s="9">
        <v>61.099704402254282</v>
      </c>
      <c r="N223" s="9">
        <v>61.40060967835003</v>
      </c>
      <c r="O223" s="9">
        <v>62.245681967085609</v>
      </c>
      <c r="P223" s="9">
        <v>61.788518102931533</v>
      </c>
      <c r="Q223" s="9">
        <v>61.929139384738178</v>
      </c>
      <c r="R223" s="9">
        <v>61.257502987300477</v>
      </c>
      <c r="S223" s="9">
        <v>60.340592150203314</v>
      </c>
      <c r="T223" s="9">
        <v>59.671807781133744</v>
      </c>
      <c r="U223" s="9">
        <v>59.050937488648806</v>
      </c>
      <c r="V223" s="9">
        <v>58.428926384816627</v>
      </c>
      <c r="W223" s="9">
        <v>57.759001204399816</v>
      </c>
      <c r="X223" s="9">
        <v>57.227684602674273</v>
      </c>
      <c r="Y223" s="9">
        <v>56.464783297456307</v>
      </c>
      <c r="Z223" s="9">
        <v>55.523915422066814</v>
      </c>
      <c r="AA223" s="9">
        <v>54.723367342389487</v>
      </c>
      <c r="AB223" s="9">
        <v>53.574871801799901</v>
      </c>
      <c r="AC223" s="9">
        <v>52.742381004399483</v>
      </c>
      <c r="AD223" s="9">
        <v>52.000014303432081</v>
      </c>
      <c r="AE223" s="9">
        <v>51.259929225159183</v>
      </c>
      <c r="AF223" s="9">
        <v>50.563765383755531</v>
      </c>
      <c r="AG223" s="9">
        <v>49.82767314519802</v>
      </c>
      <c r="AH223" s="9">
        <v>49.500763464315163</v>
      </c>
      <c r="AI223" s="9">
        <v>49.365422784074873</v>
      </c>
      <c r="AJ223" s="9">
        <v>49.229891249522424</v>
      </c>
      <c r="AK223" s="9">
        <v>49.094168860657831</v>
      </c>
      <c r="AL223" s="9">
        <v>48.958255617481072</v>
      </c>
      <c r="AM223" s="9">
        <v>48.822151519992168</v>
      </c>
      <c r="AN223" s="9">
        <v>48.685856568191099</v>
      </c>
      <c r="AO223" s="9">
        <v>48.549370762077871</v>
      </c>
      <c r="AP223" s="9">
        <v>48.412694101652498</v>
      </c>
      <c r="AQ223" s="9">
        <v>48.275826586914988</v>
      </c>
      <c r="AR223" s="9">
        <v>48.138768217865298</v>
      </c>
      <c r="AS223" s="9">
        <v>48.001518994503456</v>
      </c>
      <c r="AT223" s="9">
        <v>47.864078916829463</v>
      </c>
      <c r="AU223" s="9">
        <v>47.726447984843333</v>
      </c>
      <c r="AV223" s="9">
        <v>47.588626198545015</v>
      </c>
      <c r="AW223" s="9">
        <v>47.45061355793456</v>
      </c>
      <c r="AX223" s="9">
        <v>47.31241006301196</v>
      </c>
      <c r="AY223" s="9">
        <v>47.174015713777202</v>
      </c>
      <c r="AZ223" s="9">
        <v>47.035430510230277</v>
      </c>
      <c r="BA223" s="9">
        <v>46.896654452371209</v>
      </c>
      <c r="BB223" s="9">
        <v>46.757687540199981</v>
      </c>
    </row>
    <row r="224" spans="1:54" ht="14.4" x14ac:dyDescent="0.3">
      <c r="C224" s="46" t="s">
        <v>318</v>
      </c>
      <c r="E224" s="382"/>
      <c r="F224" s="382"/>
      <c r="G224" s="9">
        <v>258.61723521197047</v>
      </c>
      <c r="H224" s="9">
        <v>242.71903804026047</v>
      </c>
      <c r="I224" s="9">
        <v>234.43886232282557</v>
      </c>
      <c r="J224" s="9">
        <v>231.68360542769557</v>
      </c>
      <c r="K224" s="9">
        <v>232.43865607159896</v>
      </c>
      <c r="L224" s="9">
        <v>235.98451022479605</v>
      </c>
      <c r="M224" s="9">
        <v>239.8225266203724</v>
      </c>
      <c r="N224" s="9">
        <v>241.75712781000067</v>
      </c>
      <c r="O224" s="9">
        <v>245.77174974014946</v>
      </c>
      <c r="P224" s="9">
        <v>244.80871197364397</v>
      </c>
      <c r="Q224" s="9">
        <v>246.13064458037263</v>
      </c>
      <c r="R224" s="9">
        <v>244.34780828301209</v>
      </c>
      <c r="S224" s="9">
        <v>241.62743643174824</v>
      </c>
      <c r="T224" s="9">
        <v>239.85550171059592</v>
      </c>
      <c r="U224" s="9">
        <v>238.26671346974098</v>
      </c>
      <c r="V224" s="9">
        <v>236.67356459840272</v>
      </c>
      <c r="W224" s="9">
        <v>234.89726924676714</v>
      </c>
      <c r="X224" s="9">
        <v>233.65079049884898</v>
      </c>
      <c r="Y224" s="9">
        <v>231.51910376282675</v>
      </c>
      <c r="Z224" s="9">
        <v>228.70715867141416</v>
      </c>
      <c r="AA224" s="9">
        <v>226.431571129444</v>
      </c>
      <c r="AB224" s="9">
        <v>222.82599129007602</v>
      </c>
      <c r="AC224" s="9">
        <v>220.4283060945742</v>
      </c>
      <c r="AD224" s="9">
        <v>218.37511070725085</v>
      </c>
      <c r="AE224" s="9">
        <v>216.33063658089407</v>
      </c>
      <c r="AF224" s="9">
        <v>214.45404672814323</v>
      </c>
      <c r="AG224" s="9">
        <v>212.42483480847781</v>
      </c>
      <c r="AH224" s="9">
        <v>211.37136286053175</v>
      </c>
      <c r="AI224" s="9">
        <v>211.05014311700413</v>
      </c>
      <c r="AJ224" s="9">
        <v>210.72819385309307</v>
      </c>
      <c r="AK224" s="9">
        <v>210.40551506879862</v>
      </c>
      <c r="AL224" s="9">
        <v>210.08210676412077</v>
      </c>
      <c r="AM224" s="9">
        <v>209.75796893905951</v>
      </c>
      <c r="AN224" s="9">
        <v>209.43310159361482</v>
      </c>
      <c r="AO224" s="9">
        <v>209.10750472778673</v>
      </c>
      <c r="AP224" s="9">
        <v>208.78117834157524</v>
      </c>
      <c r="AQ224" s="9">
        <v>208.45412243498038</v>
      </c>
      <c r="AR224" s="9">
        <v>208.12633700800203</v>
      </c>
      <c r="AS224" s="9">
        <v>207.7978220606403</v>
      </c>
      <c r="AT224" s="9">
        <v>207.4685775928952</v>
      </c>
      <c r="AU224" s="9">
        <v>207.13860360476667</v>
      </c>
      <c r="AV224" s="9">
        <v>206.80790009625468</v>
      </c>
      <c r="AW224" s="9">
        <v>206.47646706735932</v>
      </c>
      <c r="AX224" s="9">
        <v>206.14430451808059</v>
      </c>
      <c r="AY224" s="9">
        <v>205.81141244841842</v>
      </c>
      <c r="AZ224" s="9">
        <v>205.47779085837286</v>
      </c>
      <c r="BA224" s="9">
        <v>205.14343974794386</v>
      </c>
      <c r="BB224" s="9">
        <v>204.80835911713149</v>
      </c>
    </row>
    <row r="225" spans="3:54" ht="14.4" x14ac:dyDescent="0.3">
      <c r="C225" s="46" t="s">
        <v>319</v>
      </c>
      <c r="E225" s="382"/>
      <c r="F225" s="382"/>
      <c r="G225" s="9">
        <v>52.246668424027597</v>
      </c>
      <c r="H225" s="9">
        <v>48.860988053683982</v>
      </c>
      <c r="I225" s="9">
        <v>47.023446498499105</v>
      </c>
      <c r="J225" s="9">
        <v>46.308682206511776</v>
      </c>
      <c r="K225" s="9">
        <v>46.307284683959352</v>
      </c>
      <c r="L225" s="9">
        <v>46.873035897355187</v>
      </c>
      <c r="M225" s="9">
        <v>47.498160494045614</v>
      </c>
      <c r="N225" s="9">
        <v>47.73647192942132</v>
      </c>
      <c r="O225" s="9">
        <v>48.397486407058466</v>
      </c>
      <c r="P225" s="9">
        <v>48.046937943937898</v>
      </c>
      <c r="Q225" s="9">
        <v>48.160742508374966</v>
      </c>
      <c r="R225" s="9">
        <v>47.643594104069606</v>
      </c>
      <c r="S225" s="9">
        <v>46.935919171281633</v>
      </c>
      <c r="T225" s="9">
        <v>46.420986191726065</v>
      </c>
      <c r="U225" s="9">
        <v>45.94327234796711</v>
      </c>
      <c r="V225" s="9">
        <v>45.464672334308233</v>
      </c>
      <c r="W225" s="9">
        <v>44.948853184852759</v>
      </c>
      <c r="X225" s="9">
        <v>44.540703678237449</v>
      </c>
      <c r="Y225" s="9">
        <v>43.952661681938565</v>
      </c>
      <c r="Z225" s="9">
        <v>43.226377181252282</v>
      </c>
      <c r="AA225" s="9">
        <v>42.609091578256063</v>
      </c>
      <c r="AB225" s="9">
        <v>41.7215241557845</v>
      </c>
      <c r="AC225" s="9">
        <v>41.079425795590545</v>
      </c>
      <c r="AD225" s="9">
        <v>40.507334857490193</v>
      </c>
      <c r="AE225" s="9">
        <v>39.93701625918969</v>
      </c>
      <c r="AF225" s="9">
        <v>39.400815202036071</v>
      </c>
      <c r="AG225" s="9">
        <v>38.833598198385275</v>
      </c>
      <c r="AH225" s="9">
        <v>38.580801167507708</v>
      </c>
      <c r="AI225" s="9">
        <v>38.476812861697404</v>
      </c>
      <c r="AJ225" s="9">
        <v>38.372676302324301</v>
      </c>
      <c r="AK225" s="9">
        <v>38.268391489388421</v>
      </c>
      <c r="AL225" s="9">
        <v>38.163958422889742</v>
      </c>
      <c r="AM225" s="9">
        <v>38.059377102828279</v>
      </c>
      <c r="AN225" s="9">
        <v>37.954647529204017</v>
      </c>
      <c r="AO225" s="9">
        <v>37.849769702016971</v>
      </c>
      <c r="AP225" s="9">
        <v>37.744743621267141</v>
      </c>
      <c r="AQ225" s="9">
        <v>37.639569286954526</v>
      </c>
      <c r="AR225" s="9">
        <v>37.534246699079105</v>
      </c>
      <c r="AS225" s="9">
        <v>37.4287758576409</v>
      </c>
      <c r="AT225" s="9">
        <v>37.323156762639904</v>
      </c>
      <c r="AU225" s="9">
        <v>37.217389414076138</v>
      </c>
      <c r="AV225" s="9">
        <v>37.111473811949551</v>
      </c>
      <c r="AW225" s="9">
        <v>37.005409956260188</v>
      </c>
      <c r="AX225" s="9">
        <v>36.89919784700804</v>
      </c>
      <c r="AY225" s="9">
        <v>36.792837484193107</v>
      </c>
      <c r="AZ225" s="9">
        <v>36.686328867815369</v>
      </c>
      <c r="BA225" s="9">
        <v>36.579671997874854</v>
      </c>
      <c r="BB225" s="9">
        <v>36.47286687437154</v>
      </c>
    </row>
    <row r="226" spans="3:54" ht="14.4" x14ac:dyDescent="0.3">
      <c r="C226" s="46" t="s">
        <v>320</v>
      </c>
      <c r="E226" s="382"/>
      <c r="F226" s="382"/>
      <c r="G226" s="9">
        <v>91.290009969271594</v>
      </c>
      <c r="H226" s="9">
        <v>85.71567993532004</v>
      </c>
      <c r="I226" s="9">
        <v>82.828482689472551</v>
      </c>
      <c r="J226" s="9">
        <v>81.890110425037733</v>
      </c>
      <c r="K226" s="9">
        <v>82.189941878075004</v>
      </c>
      <c r="L226" s="9">
        <v>83.474183740034235</v>
      </c>
      <c r="M226" s="9">
        <v>84.86148106667747</v>
      </c>
      <c r="N226" s="9">
        <v>85.577379731610662</v>
      </c>
      <c r="O226" s="9">
        <v>87.0269717794435</v>
      </c>
      <c r="P226" s="9">
        <v>86.720775574488215</v>
      </c>
      <c r="Q226" s="9">
        <v>87.220565391837752</v>
      </c>
      <c r="R226" s="9">
        <v>86.625198629261661</v>
      </c>
      <c r="S226" s="9">
        <v>85.699131494938342</v>
      </c>
      <c r="T226" s="9">
        <v>85.107610085522083</v>
      </c>
      <c r="U226" s="9">
        <v>84.58069060919135</v>
      </c>
      <c r="V226" s="9">
        <v>84.052232991596668</v>
      </c>
      <c r="W226" s="9">
        <v>83.459173440916487</v>
      </c>
      <c r="X226" s="9">
        <v>83.052998053805069</v>
      </c>
      <c r="Y226" s="9">
        <v>82.334579990113724</v>
      </c>
      <c r="Z226" s="9">
        <v>81.376211889247656</v>
      </c>
      <c r="AA226" s="9">
        <v>80.607035163846277</v>
      </c>
      <c r="AB226" s="9">
        <v>79.368725352943045</v>
      </c>
      <c r="AC226" s="9">
        <v>78.556480672151324</v>
      </c>
      <c r="AD226" s="9">
        <v>77.865749151210906</v>
      </c>
      <c r="AE226" s="9">
        <v>77.178093912798374</v>
      </c>
      <c r="AF226" s="9">
        <v>76.549657113047559</v>
      </c>
      <c r="AG226" s="9">
        <v>75.867385369058809</v>
      </c>
      <c r="AH226" s="9">
        <v>75.504165239753064</v>
      </c>
      <c r="AI226" s="9">
        <v>75.399235129642548</v>
      </c>
      <c r="AJ226" s="9">
        <v>75.294047693118131</v>
      </c>
      <c r="AK226" s="9">
        <v>75.188602930179826</v>
      </c>
      <c r="AL226" s="9">
        <v>75.082900840827605</v>
      </c>
      <c r="AM226" s="9">
        <v>74.976941425061483</v>
      </c>
      <c r="AN226" s="9">
        <v>74.870724682881459</v>
      </c>
      <c r="AO226" s="9">
        <v>74.764250614287533</v>
      </c>
      <c r="AP226" s="9">
        <v>74.65751921927972</v>
      </c>
      <c r="AQ226" s="9">
        <v>74.550530497857991</v>
      </c>
      <c r="AR226" s="9">
        <v>74.443284450022375</v>
      </c>
      <c r="AS226" s="9">
        <v>74.335781075772843</v>
      </c>
      <c r="AT226" s="9">
        <v>74.228020375109409</v>
      </c>
      <c r="AU226" s="9">
        <v>74.120002348032088</v>
      </c>
      <c r="AV226" s="9">
        <v>74.011726994540851</v>
      </c>
      <c r="AW226" s="9">
        <v>73.903194314635726</v>
      </c>
      <c r="AX226" s="9">
        <v>73.7944043083167</v>
      </c>
      <c r="AY226" s="9">
        <v>73.685356975583773</v>
      </c>
      <c r="AZ226" s="9">
        <v>73.576052316436943</v>
      </c>
      <c r="BA226" s="9">
        <v>73.466490330876212</v>
      </c>
      <c r="BB226" s="9">
        <v>73.356671018901579</v>
      </c>
    </row>
    <row r="227" spans="3:54" ht="15" customHeight="1" x14ac:dyDescent="0.3">
      <c r="C227" s="46" t="s">
        <v>321</v>
      </c>
      <c r="E227" s="382"/>
      <c r="F227" s="382"/>
      <c r="G227" s="9">
        <v>390.62871634986277</v>
      </c>
      <c r="H227" s="9">
        <v>365.10264771037004</v>
      </c>
      <c r="I227" s="9">
        <v>351.16258563688569</v>
      </c>
      <c r="J227" s="9">
        <v>345.62519690005445</v>
      </c>
      <c r="K227" s="9">
        <v>345.42652326662142</v>
      </c>
      <c r="L227" s="9">
        <v>349.47229393899573</v>
      </c>
      <c r="M227" s="9">
        <v>353.96240487463427</v>
      </c>
      <c r="N227" s="9">
        <v>355.55767215482769</v>
      </c>
      <c r="O227" s="9">
        <v>360.31637683169311</v>
      </c>
      <c r="P227" s="9">
        <v>357.50471717249741</v>
      </c>
      <c r="Q227" s="9">
        <v>358.16819628868154</v>
      </c>
      <c r="R227" s="9">
        <v>354.10973111465495</v>
      </c>
      <c r="S227" s="9">
        <v>348.62539793164626</v>
      </c>
      <c r="T227" s="9">
        <v>344.58351261818922</v>
      </c>
      <c r="U227" s="9">
        <v>340.82016896230084</v>
      </c>
      <c r="V227" s="9">
        <v>337.05019336218459</v>
      </c>
      <c r="W227" s="9">
        <v>333.00167610449978</v>
      </c>
      <c r="X227" s="9">
        <v>329.75894007049556</v>
      </c>
      <c r="Y227" s="9">
        <v>325.16991935824302</v>
      </c>
      <c r="Z227" s="9">
        <v>319.54631534645</v>
      </c>
      <c r="AA227" s="9">
        <v>314.73844047467929</v>
      </c>
      <c r="AB227" s="9">
        <v>307.90782261342235</v>
      </c>
      <c r="AC227" s="9">
        <v>302.91425330327252</v>
      </c>
      <c r="AD227" s="9">
        <v>298.44460758712086</v>
      </c>
      <c r="AE227" s="9">
        <v>293.98822575942489</v>
      </c>
      <c r="AF227" s="9">
        <v>289.78717378450011</v>
      </c>
      <c r="AG227" s="9">
        <v>285.3540037616014</v>
      </c>
      <c r="AH227" s="9">
        <v>283.41506024134185</v>
      </c>
      <c r="AI227" s="9">
        <v>282.58977581213207</v>
      </c>
      <c r="AJ227" s="9">
        <v>281.76338187857095</v>
      </c>
      <c r="AK227" s="9">
        <v>280.93587844065848</v>
      </c>
      <c r="AL227" s="9">
        <v>280.10726549839467</v>
      </c>
      <c r="AM227" s="9">
        <v>279.2775430517795</v>
      </c>
      <c r="AN227" s="9">
        <v>278.44671110081293</v>
      </c>
      <c r="AO227" s="9">
        <v>277.61476964549507</v>
      </c>
      <c r="AP227" s="9">
        <v>276.78171868582581</v>
      </c>
      <c r="AQ227" s="9">
        <v>275.94755822180531</v>
      </c>
      <c r="AR227" s="9">
        <v>275.11228825343341</v>
      </c>
      <c r="AS227" s="9">
        <v>274.27590878071004</v>
      </c>
      <c r="AT227" s="9">
        <v>273.4384198036355</v>
      </c>
      <c r="AU227" s="9">
        <v>272.59982132220949</v>
      </c>
      <c r="AV227" s="9">
        <v>271.76011333643214</v>
      </c>
      <c r="AW227" s="9">
        <v>270.91929584630338</v>
      </c>
      <c r="AX227" s="9">
        <v>270.07736885182339</v>
      </c>
      <c r="AY227" s="9">
        <v>269.23433235299206</v>
      </c>
      <c r="AZ227" s="9">
        <v>268.39018634980926</v>
      </c>
      <c r="BA227" s="9">
        <v>267.54493084227522</v>
      </c>
      <c r="BB227" s="9">
        <v>266.69856583038978</v>
      </c>
    </row>
    <row r="228" spans="3:54" ht="15" customHeight="1" x14ac:dyDescent="0.3">
      <c r="C228" s="46" t="s">
        <v>322</v>
      </c>
      <c r="E228" s="382"/>
      <c r="F228" s="382"/>
      <c r="G228" s="9">
        <v>336.26639582020312</v>
      </c>
      <c r="H228" s="9">
        <v>314.37586081134555</v>
      </c>
      <c r="I228" s="9">
        <v>302.45458844635414</v>
      </c>
      <c r="J228" s="9">
        <v>297.76345676240373</v>
      </c>
      <c r="K228" s="9">
        <v>297.66606087027475</v>
      </c>
      <c r="L228" s="9">
        <v>301.22082759524619</v>
      </c>
      <c r="M228" s="9">
        <v>305.15793009419536</v>
      </c>
      <c r="N228" s="9">
        <v>306.60414355820024</v>
      </c>
      <c r="O228" s="9">
        <v>310.77235947276279</v>
      </c>
      <c r="P228" s="9">
        <v>308.4266009694814</v>
      </c>
      <c r="Q228" s="9">
        <v>309.07105060895094</v>
      </c>
      <c r="R228" s="9">
        <v>305.65246933689639</v>
      </c>
      <c r="S228" s="9">
        <v>301.00698968565962</v>
      </c>
      <c r="T228" s="9">
        <v>297.60267467382806</v>
      </c>
      <c r="U228" s="9">
        <v>294.43803283374376</v>
      </c>
      <c r="V228" s="9">
        <v>291.26768448957023</v>
      </c>
      <c r="W228" s="9">
        <v>287.85766297364955</v>
      </c>
      <c r="X228" s="9">
        <v>285.1409817045689</v>
      </c>
      <c r="Y228" s="9">
        <v>281.26588010537677</v>
      </c>
      <c r="Z228" s="9">
        <v>276.50056386826634</v>
      </c>
      <c r="AA228" s="9">
        <v>272.43714763412999</v>
      </c>
      <c r="AB228" s="9">
        <v>266.63324765278185</v>
      </c>
      <c r="AC228" s="9">
        <v>262.41004930414726</v>
      </c>
      <c r="AD228" s="9">
        <v>258.63766477856109</v>
      </c>
      <c r="AE228" s="9">
        <v>254.87669326115341</v>
      </c>
      <c r="AF228" s="9">
        <v>251.33542215118061</v>
      </c>
      <c r="AG228" s="9">
        <v>247.59442339808513</v>
      </c>
      <c r="AH228" s="9">
        <v>245.94443407263657</v>
      </c>
      <c r="AI228" s="9">
        <v>245.25270071840225</v>
      </c>
      <c r="AJ228" s="9">
        <v>244.56001268317232</v>
      </c>
      <c r="AK228" s="9">
        <v>243.86636996694685</v>
      </c>
      <c r="AL228" s="9">
        <v>243.17177256972582</v>
      </c>
      <c r="AM228" s="9">
        <v>242.47622049150922</v>
      </c>
      <c r="AN228" s="9">
        <v>241.77971373229701</v>
      </c>
      <c r="AO228" s="9">
        <v>241.08225229208921</v>
      </c>
      <c r="AP228" s="9">
        <v>240.3838361708859</v>
      </c>
      <c r="AQ228" s="9">
        <v>239.684465368687</v>
      </c>
      <c r="AR228" s="9">
        <v>238.98413988549248</v>
      </c>
      <c r="AS228" s="9">
        <v>238.28285972130243</v>
      </c>
      <c r="AT228" s="9">
        <v>237.58062487611684</v>
      </c>
      <c r="AU228" s="9">
        <v>236.87743534993567</v>
      </c>
      <c r="AV228" s="9">
        <v>236.17329114275884</v>
      </c>
      <c r="AW228" s="9">
        <v>235.46819225458648</v>
      </c>
      <c r="AX228" s="9">
        <v>234.76213868541859</v>
      </c>
      <c r="AY228" s="9">
        <v>234.05513043525514</v>
      </c>
      <c r="AZ228" s="9">
        <v>233.34716750409606</v>
      </c>
      <c r="BA228" s="9">
        <v>232.63824989194146</v>
      </c>
      <c r="BB228" s="9">
        <v>231.92837759879129</v>
      </c>
    </row>
    <row r="229" spans="3:54" ht="15" customHeight="1" x14ac:dyDescent="0.3">
      <c r="C229" s="46" t="s">
        <v>323</v>
      </c>
      <c r="E229" s="382"/>
      <c r="F229" s="382"/>
      <c r="G229" s="9">
        <v>112.55897387798478</v>
      </c>
      <c r="H229" s="9">
        <v>105.37162233065816</v>
      </c>
      <c r="I229" s="9">
        <v>101.51394741017576</v>
      </c>
      <c r="J229" s="9">
        <v>100.07109806852088</v>
      </c>
      <c r="K229" s="9">
        <v>100.16253017197735</v>
      </c>
      <c r="L229" s="9">
        <v>101.4737636727895</v>
      </c>
      <c r="M229" s="9">
        <v>102.91269513238731</v>
      </c>
      <c r="N229" s="9">
        <v>103.51968392019489</v>
      </c>
      <c r="O229" s="9">
        <v>105.03580593696914</v>
      </c>
      <c r="P229" s="9">
        <v>104.37629780517857</v>
      </c>
      <c r="Q229" s="9">
        <v>104.71550206747293</v>
      </c>
      <c r="R229" s="9">
        <v>103.69767727520913</v>
      </c>
      <c r="S229" s="9">
        <v>102.27007545102119</v>
      </c>
      <c r="T229" s="9">
        <v>101.2570155079658</v>
      </c>
      <c r="U229" s="9">
        <v>100.3240050316119</v>
      </c>
      <c r="V229" s="9">
        <v>99.389088615574622</v>
      </c>
      <c r="W229" s="9">
        <v>98.3741227328359</v>
      </c>
      <c r="X229" s="9">
        <v>97.590728521626389</v>
      </c>
      <c r="Y229" s="9">
        <v>96.420428554693146</v>
      </c>
      <c r="Z229" s="9">
        <v>94.952801997154452</v>
      </c>
      <c r="AA229" s="9">
        <v>93.719606020670057</v>
      </c>
      <c r="AB229" s="9">
        <v>91.905098440758366</v>
      </c>
      <c r="AC229" s="9">
        <v>90.618536153139644</v>
      </c>
      <c r="AD229" s="9">
        <v>89.48254310050703</v>
      </c>
      <c r="AE229" s="9">
        <v>88.350361927241138</v>
      </c>
      <c r="AF229" s="9">
        <v>87.291559431784947</v>
      </c>
      <c r="AG229" s="9">
        <v>86.166049047410851</v>
      </c>
      <c r="AH229" s="9">
        <v>85.645952505975458</v>
      </c>
      <c r="AI229" s="9">
        <v>85.445907970778393</v>
      </c>
      <c r="AJ229" s="9">
        <v>85.245544577596448</v>
      </c>
      <c r="AK229" s="9">
        <v>85.04486232642968</v>
      </c>
      <c r="AL229" s="9">
        <v>84.843861217278061</v>
      </c>
      <c r="AM229" s="9">
        <v>84.642541250141591</v>
      </c>
      <c r="AN229" s="9">
        <v>84.440902425020255</v>
      </c>
      <c r="AO229" s="9">
        <v>84.238944741914082</v>
      </c>
      <c r="AP229" s="9">
        <v>84.036668200823058</v>
      </c>
      <c r="AQ229" s="9">
        <v>83.834072801747197</v>
      </c>
      <c r="AR229" s="9">
        <v>83.631158544686485</v>
      </c>
      <c r="AS229" s="9">
        <v>83.427925429640922</v>
      </c>
      <c r="AT229" s="9">
        <v>83.224373456610508</v>
      </c>
      <c r="AU229" s="9">
        <v>83.020502625595256</v>
      </c>
      <c r="AV229" s="9">
        <v>82.816312936595139</v>
      </c>
      <c r="AW229" s="9">
        <v>82.611804389610171</v>
      </c>
      <c r="AX229" s="9">
        <v>82.40697698464038</v>
      </c>
      <c r="AY229" s="9">
        <v>82.201830721685724</v>
      </c>
      <c r="AZ229" s="9">
        <v>81.99636560074623</v>
      </c>
      <c r="BA229" s="9">
        <v>81.790581621821872</v>
      </c>
      <c r="BB229" s="9">
        <v>81.584478784912676</v>
      </c>
    </row>
    <row r="230" spans="3:54" ht="15" customHeight="1" x14ac:dyDescent="0.3">
      <c r="C230" s="46" t="s">
        <v>324</v>
      </c>
      <c r="E230" s="382"/>
      <c r="F230" s="382"/>
      <c r="G230" s="9">
        <v>55.134843737016176</v>
      </c>
      <c r="H230" s="9">
        <v>51.530685844953418</v>
      </c>
      <c r="I230" s="9">
        <v>49.561890340966052</v>
      </c>
      <c r="J230" s="9">
        <v>48.779130409784401</v>
      </c>
      <c r="K230" s="9">
        <v>48.749928991711322</v>
      </c>
      <c r="L230" s="9">
        <v>49.319829993997885</v>
      </c>
      <c r="M230" s="9">
        <v>49.95244953091585</v>
      </c>
      <c r="N230" s="9">
        <v>50.176462495197903</v>
      </c>
      <c r="O230" s="9">
        <v>50.846993982154252</v>
      </c>
      <c r="P230" s="9">
        <v>50.448970136547281</v>
      </c>
      <c r="Q230" s="9">
        <v>50.541461397609758</v>
      </c>
      <c r="R230" s="9">
        <v>49.967451216022162</v>
      </c>
      <c r="S230" s="9">
        <v>49.192180065094995</v>
      </c>
      <c r="T230" s="9">
        <v>48.620510127336921</v>
      </c>
      <c r="U230" s="9">
        <v>48.088156285914955</v>
      </c>
      <c r="V230" s="9">
        <v>47.55486634696117</v>
      </c>
      <c r="W230" s="9">
        <v>46.982260311671283</v>
      </c>
      <c r="X230" s="9">
        <v>46.523390126496551</v>
      </c>
      <c r="Y230" s="9">
        <v>45.874492142363998</v>
      </c>
      <c r="Z230" s="9">
        <v>45.079562943268776</v>
      </c>
      <c r="AA230" s="9">
        <v>44.399773740586433</v>
      </c>
      <c r="AB230" s="9">
        <v>43.434474790701451</v>
      </c>
      <c r="AC230" s="9">
        <v>42.728474857128361</v>
      </c>
      <c r="AD230" s="9">
        <v>42.096426628568423</v>
      </c>
      <c r="AE230" s="9">
        <v>41.466250595072104</v>
      </c>
      <c r="AF230" s="9">
        <v>40.872114316550544</v>
      </c>
      <c r="AG230" s="9">
        <v>40.245214624415567</v>
      </c>
      <c r="AH230" s="9">
        <v>39.971243485522386</v>
      </c>
      <c r="AI230" s="9">
        <v>39.854465092918879</v>
      </c>
      <c r="AJ230" s="9">
        <v>39.73753009400972</v>
      </c>
      <c r="AK230" s="9">
        <v>39.620438488794903</v>
      </c>
      <c r="AL230" s="9">
        <v>39.503190277274435</v>
      </c>
      <c r="AM230" s="9">
        <v>39.3857854594483</v>
      </c>
      <c r="AN230" s="9">
        <v>39.268224035316514</v>
      </c>
      <c r="AO230" s="9">
        <v>39.15050600487907</v>
      </c>
      <c r="AP230" s="9">
        <v>39.032631368135981</v>
      </c>
      <c r="AQ230" s="9">
        <v>38.91460012508724</v>
      </c>
      <c r="AR230" s="9">
        <v>38.796412275732827</v>
      </c>
      <c r="AS230" s="9">
        <v>38.678067820072762</v>
      </c>
      <c r="AT230" s="9">
        <v>38.559566758107046</v>
      </c>
      <c r="AU230" s="9">
        <v>38.440909089835685</v>
      </c>
      <c r="AV230" s="9">
        <v>38.322094815258644</v>
      </c>
      <c r="AW230" s="9">
        <v>38.203123934375959</v>
      </c>
      <c r="AX230" s="9">
        <v>38.083996447187623</v>
      </c>
      <c r="AY230" s="9">
        <v>37.964712353693628</v>
      </c>
      <c r="AZ230" s="9">
        <v>37.845271653893967</v>
      </c>
      <c r="BA230" s="9">
        <v>37.725674347788662</v>
      </c>
      <c r="BB230" s="9">
        <v>37.605920435377705</v>
      </c>
    </row>
    <row r="231" spans="3:54" ht="15" customHeight="1" x14ac:dyDescent="0.3">
      <c r="C231" s="46" t="s">
        <v>325</v>
      </c>
      <c r="E231" s="382"/>
      <c r="F231" s="382"/>
      <c r="G231" s="9">
        <v>89.408257715714399</v>
      </c>
      <c r="H231" s="9">
        <v>83.67878171933819</v>
      </c>
      <c r="I231" s="9">
        <v>80.595216552864684</v>
      </c>
      <c r="J231" s="9">
        <v>79.430580419869585</v>
      </c>
      <c r="K231" s="9">
        <v>79.485153341294449</v>
      </c>
      <c r="L231" s="9">
        <v>80.509035324618438</v>
      </c>
      <c r="M231" s="9">
        <v>81.634391850359989</v>
      </c>
      <c r="N231" s="9">
        <v>82.098649304978139</v>
      </c>
      <c r="O231" s="9">
        <v>83.285344919793005</v>
      </c>
      <c r="P231" s="9">
        <v>82.743186949986224</v>
      </c>
      <c r="Q231" s="9">
        <v>82.994650774609354</v>
      </c>
      <c r="R231" s="9">
        <v>82.167758267869715</v>
      </c>
      <c r="S231" s="9">
        <v>81.015238498148349</v>
      </c>
      <c r="T231" s="9">
        <v>80.192132354931758</v>
      </c>
      <c r="U231" s="9">
        <v>79.432637118902292</v>
      </c>
      <c r="V231" s="9">
        <v>78.671627337463619</v>
      </c>
      <c r="W231" s="9">
        <v>77.847006648837819</v>
      </c>
      <c r="X231" s="9">
        <v>77.20640322743192</v>
      </c>
      <c r="Y231" s="9">
        <v>76.258347087954888</v>
      </c>
      <c r="Z231" s="9">
        <v>75.07402186463996</v>
      </c>
      <c r="AA231" s="9">
        <v>74.075985726658757</v>
      </c>
      <c r="AB231" s="9">
        <v>72.616013238866287</v>
      </c>
      <c r="AC231" s="9">
        <v>71.575569829426996</v>
      </c>
      <c r="AD231" s="9">
        <v>70.65477550731589</v>
      </c>
      <c r="AE231" s="9">
        <v>69.737010276023213</v>
      </c>
      <c r="AF231" s="9">
        <v>68.877555042985406</v>
      </c>
      <c r="AG231" s="9">
        <v>67.965090720624985</v>
      </c>
      <c r="AH231" s="9">
        <v>67.547277827530422</v>
      </c>
      <c r="AI231" s="9">
        <v>67.383792655815995</v>
      </c>
      <c r="AJ231" s="9">
        <v>67.220054105203289</v>
      </c>
      <c r="AK231" s="9">
        <v>67.056062175692304</v>
      </c>
      <c r="AL231" s="9">
        <v>66.891816867283083</v>
      </c>
      <c r="AM231" s="9">
        <v>66.727318179975569</v>
      </c>
      <c r="AN231" s="9">
        <v>66.562566113769776</v>
      </c>
      <c r="AO231" s="9">
        <v>66.397560668665704</v>
      </c>
      <c r="AP231" s="9">
        <v>66.232301844663382</v>
      </c>
      <c r="AQ231" s="9">
        <v>66.066789641762796</v>
      </c>
      <c r="AR231" s="9">
        <v>65.901024059963916</v>
      </c>
      <c r="AS231" s="9">
        <v>65.735005099266772</v>
      </c>
      <c r="AT231" s="9">
        <v>65.568732759671363</v>
      </c>
      <c r="AU231" s="9">
        <v>65.402207041177675</v>
      </c>
      <c r="AV231" s="9">
        <v>65.235427943785709</v>
      </c>
      <c r="AW231" s="9">
        <v>65.068395467495478</v>
      </c>
      <c r="AX231" s="9">
        <v>64.901109612306982</v>
      </c>
      <c r="AY231" s="9">
        <v>64.733570378220207</v>
      </c>
      <c r="AZ231" s="9">
        <v>64.565777765235168</v>
      </c>
      <c r="BA231" s="9">
        <v>64.39773177335185</v>
      </c>
      <c r="BB231" s="9">
        <v>64.229432402570254</v>
      </c>
    </row>
    <row r="232" spans="3:54" ht="15" customHeight="1" x14ac:dyDescent="0.3">
      <c r="C232" s="46" t="s">
        <v>326</v>
      </c>
      <c r="E232" s="382"/>
      <c r="F232" s="382"/>
      <c r="G232" s="9">
        <v>65.997259887023617</v>
      </c>
      <c r="H232" s="9">
        <v>62.095114963911804</v>
      </c>
      <c r="I232" s="9">
        <v>60.128904625162846</v>
      </c>
      <c r="J232" s="9">
        <v>59.56671782298389</v>
      </c>
      <c r="K232" s="9">
        <v>59.896590173874245</v>
      </c>
      <c r="L232" s="9">
        <v>60.935677255155127</v>
      </c>
      <c r="M232" s="9">
        <v>62.049010253523775</v>
      </c>
      <c r="N232" s="9">
        <v>62.678636642805756</v>
      </c>
      <c r="O232" s="9">
        <v>63.836849635831939</v>
      </c>
      <c r="P232" s="9">
        <v>63.730111668325627</v>
      </c>
      <c r="Q232" s="9">
        <v>64.204043261326561</v>
      </c>
      <c r="R232" s="9">
        <v>63.888973466768043</v>
      </c>
      <c r="S232" s="9">
        <v>63.335651848718953</v>
      </c>
      <c r="T232" s="9">
        <v>63.023352424201022</v>
      </c>
      <c r="U232" s="9">
        <v>62.757595216364969</v>
      </c>
      <c r="V232" s="9">
        <v>62.49072986051268</v>
      </c>
      <c r="W232" s="9">
        <v>62.177322287978512</v>
      </c>
      <c r="X232" s="9">
        <v>61.998554699416928</v>
      </c>
      <c r="Y232" s="9">
        <v>61.594833063559591</v>
      </c>
      <c r="Z232" s="9">
        <v>61.018240337169559</v>
      </c>
      <c r="AA232" s="9">
        <v>60.577949816776467</v>
      </c>
      <c r="AB232" s="9">
        <v>59.799674151431638</v>
      </c>
      <c r="AC232" s="9">
        <v>59.328355486583952</v>
      </c>
      <c r="AD232" s="9">
        <v>58.944580515018856</v>
      </c>
      <c r="AE232" s="9">
        <v>58.563021839486218</v>
      </c>
      <c r="AF232" s="9">
        <v>58.224126862578643</v>
      </c>
      <c r="AG232" s="9">
        <v>57.846446705102835</v>
      </c>
      <c r="AH232" s="9">
        <v>57.613231126700427</v>
      </c>
      <c r="AI232" s="9">
        <v>57.566099609037188</v>
      </c>
      <c r="AJ232" s="9">
        <v>57.51878270153896</v>
      </c>
      <c r="AK232" s="9">
        <v>57.471280404205771</v>
      </c>
      <c r="AL232" s="9">
        <v>57.423592717037614</v>
      </c>
      <c r="AM232" s="9">
        <v>57.375719640034482</v>
      </c>
      <c r="AN232" s="9">
        <v>57.327661173196361</v>
      </c>
      <c r="AO232" s="9">
        <v>57.279417316523279</v>
      </c>
      <c r="AP232" s="9">
        <v>57.230988070015222</v>
      </c>
      <c r="AQ232" s="9">
        <v>57.18237343367219</v>
      </c>
      <c r="AR232" s="9">
        <v>57.133573407494183</v>
      </c>
      <c r="AS232" s="9">
        <v>57.0845879914812</v>
      </c>
      <c r="AT232" s="9">
        <v>57.035417185633243</v>
      </c>
      <c r="AU232" s="9">
        <v>56.986060989950317</v>
      </c>
      <c r="AV232" s="9">
        <v>56.936519404432403</v>
      </c>
      <c r="AW232" s="9">
        <v>56.886792429079513</v>
      </c>
      <c r="AX232" s="9">
        <v>56.83688006389167</v>
      </c>
      <c r="AY232" s="9">
        <v>56.786782308868844</v>
      </c>
      <c r="AZ232" s="9">
        <v>56.736499164011043</v>
      </c>
      <c r="BA232" s="9">
        <v>56.686030629318267</v>
      </c>
      <c r="BB232" s="9">
        <v>56.635376704790517</v>
      </c>
    </row>
    <row r="233" spans="3:54" ht="15" customHeight="1" x14ac:dyDescent="0.3">
      <c r="C233" s="46" t="s">
        <v>327</v>
      </c>
      <c r="E233" s="382"/>
      <c r="F233" s="382"/>
      <c r="G233" s="9">
        <v>188.2224549294254</v>
      </c>
      <c r="H233" s="9">
        <v>176.17761016661521</v>
      </c>
      <c r="I233" s="9">
        <v>169.7020579812156</v>
      </c>
      <c r="J233" s="9">
        <v>167.26559777954765</v>
      </c>
      <c r="K233" s="9">
        <v>167.39541149019533</v>
      </c>
      <c r="L233" s="9">
        <v>169.5654926590816</v>
      </c>
      <c r="M233" s="9">
        <v>171.94916432750222</v>
      </c>
      <c r="N233" s="9">
        <v>172.94130983104606</v>
      </c>
      <c r="O233" s="9">
        <v>175.45409217455833</v>
      </c>
      <c r="P233" s="9">
        <v>174.32786623122792</v>
      </c>
      <c r="Q233" s="9">
        <v>174.87210926933028</v>
      </c>
      <c r="R233" s="9">
        <v>173.14655476014229</v>
      </c>
      <c r="S233" s="9">
        <v>170.73559790170231</v>
      </c>
      <c r="T233" s="9">
        <v>169.01801318727306</v>
      </c>
      <c r="U233" s="9">
        <v>167.43432102479071</v>
      </c>
      <c r="V233" s="9">
        <v>165.84744094440489</v>
      </c>
      <c r="W233" s="9">
        <v>164.12666831207218</v>
      </c>
      <c r="X233" s="9">
        <v>162.79322770501437</v>
      </c>
      <c r="Y233" s="9">
        <v>160.81263976354657</v>
      </c>
      <c r="Z233" s="9">
        <v>158.33473662913312</v>
      </c>
      <c r="AA233" s="9">
        <v>156.2489473968499</v>
      </c>
      <c r="AB233" s="9">
        <v>153.19084320399983</v>
      </c>
      <c r="AC233" s="9">
        <v>151.01579227041867</v>
      </c>
      <c r="AD233" s="9">
        <v>149.09258685121384</v>
      </c>
      <c r="AE233" s="9">
        <v>147.17575726781598</v>
      </c>
      <c r="AF233" s="9">
        <v>145.38166252370277</v>
      </c>
      <c r="AG233" s="9">
        <v>143.47599065296717</v>
      </c>
      <c r="AH233" s="9">
        <v>142.60028596787015</v>
      </c>
      <c r="AI233" s="9">
        <v>142.25990752087031</v>
      </c>
      <c r="AJ233" s="9">
        <v>141.91899574477952</v>
      </c>
      <c r="AK233" s="9">
        <v>141.57755063959792</v>
      </c>
      <c r="AL233" s="9">
        <v>141.23557220532544</v>
      </c>
      <c r="AM233" s="9">
        <v>140.89306044196212</v>
      </c>
      <c r="AN233" s="9">
        <v>140.55001534950787</v>
      </c>
      <c r="AO233" s="9">
        <v>140.20643692796281</v>
      </c>
      <c r="AP233" s="9">
        <v>139.86232517732685</v>
      </c>
      <c r="AQ233" s="9">
        <v>139.51768009760008</v>
      </c>
      <c r="AR233" s="9">
        <v>139.1725016887824</v>
      </c>
      <c r="AS233" s="9">
        <v>138.82678995087386</v>
      </c>
      <c r="AT233" s="9">
        <v>138.4805448838745</v>
      </c>
      <c r="AU233" s="9">
        <v>138.13376648778427</v>
      </c>
      <c r="AV233" s="9">
        <v>137.78645476260311</v>
      </c>
      <c r="AW233" s="9">
        <v>137.43860970833111</v>
      </c>
      <c r="AX233" s="9">
        <v>137.09023132496833</v>
      </c>
      <c r="AY233" s="9">
        <v>136.74131961251462</v>
      </c>
      <c r="AZ233" s="9">
        <v>136.39187457097</v>
      </c>
      <c r="BA233" s="9">
        <v>136.04189620033461</v>
      </c>
      <c r="BB233" s="9">
        <v>135.69138450060828</v>
      </c>
    </row>
    <row r="234" spans="3:54" ht="15" customHeight="1" x14ac:dyDescent="0.3">
      <c r="C234" s="46" t="s">
        <v>328</v>
      </c>
      <c r="E234" s="382"/>
      <c r="F234" s="382"/>
      <c r="G234" s="9">
        <v>220.36693437550304</v>
      </c>
      <c r="H234" s="9">
        <v>206.08741746808727</v>
      </c>
      <c r="I234" s="9">
        <v>198.3376332357644</v>
      </c>
      <c r="J234" s="9">
        <v>195.32349370827433</v>
      </c>
      <c r="K234" s="9">
        <v>195.31818921424144</v>
      </c>
      <c r="L234" s="9">
        <v>197.70500201388887</v>
      </c>
      <c r="M234" s="9">
        <v>200.34223959271853</v>
      </c>
      <c r="N234" s="9">
        <v>201.34797842359271</v>
      </c>
      <c r="O234" s="9">
        <v>204.13659217491301</v>
      </c>
      <c r="P234" s="9">
        <v>202.65864047195822</v>
      </c>
      <c r="Q234" s="9">
        <v>203.13923480320412</v>
      </c>
      <c r="R234" s="9">
        <v>200.95859864523072</v>
      </c>
      <c r="S234" s="9">
        <v>197.97436058391162</v>
      </c>
      <c r="T234" s="9">
        <v>195.80306863411667</v>
      </c>
      <c r="U234" s="9">
        <v>193.7887593817195</v>
      </c>
      <c r="V234" s="9">
        <v>191.77071244605094</v>
      </c>
      <c r="W234" s="9">
        <v>189.59568281298465</v>
      </c>
      <c r="X234" s="9">
        <v>187.87478169739043</v>
      </c>
      <c r="Y234" s="9">
        <v>185.395130877707</v>
      </c>
      <c r="Z234" s="9">
        <v>182.33240146768898</v>
      </c>
      <c r="AA234" s="9">
        <v>179.72940710005017</v>
      </c>
      <c r="AB234" s="9">
        <v>175.98641933464185</v>
      </c>
      <c r="AC234" s="9">
        <v>173.27876983540452</v>
      </c>
      <c r="AD234" s="9">
        <v>170.86639731460585</v>
      </c>
      <c r="AE234" s="9">
        <v>168.46150016034994</v>
      </c>
      <c r="AF234" s="9">
        <v>166.20050381204203</v>
      </c>
      <c r="AG234" s="9">
        <v>163.80868854923588</v>
      </c>
      <c r="AH234" s="9">
        <v>162.7425899037946</v>
      </c>
      <c r="AI234" s="9">
        <v>162.30413600499767</v>
      </c>
      <c r="AJ234" s="9">
        <v>161.86505680301494</v>
      </c>
      <c r="AK234" s="9">
        <v>161.42535229784644</v>
      </c>
      <c r="AL234" s="9">
        <v>160.9850224894922</v>
      </c>
      <c r="AM234" s="9">
        <v>160.54406737795216</v>
      </c>
      <c r="AN234" s="9">
        <v>160.10248696322634</v>
      </c>
      <c r="AO234" s="9">
        <v>159.66028124531471</v>
      </c>
      <c r="AP234" s="9">
        <v>159.21745022421734</v>
      </c>
      <c r="AQ234" s="9">
        <v>158.7739938999342</v>
      </c>
      <c r="AR234" s="9">
        <v>158.32991227246526</v>
      </c>
      <c r="AS234" s="9">
        <v>157.88520534181055</v>
      </c>
      <c r="AT234" s="9">
        <v>157.43987310797004</v>
      </c>
      <c r="AU234" s="9">
        <v>156.99391557094381</v>
      </c>
      <c r="AV234" s="9">
        <v>156.54733273073171</v>
      </c>
      <c r="AW234" s="9">
        <v>156.10012458733388</v>
      </c>
      <c r="AX234" s="9">
        <v>155.65229114075029</v>
      </c>
      <c r="AY234" s="9">
        <v>155.20383239098089</v>
      </c>
      <c r="AZ234" s="9">
        <v>154.75474833802571</v>
      </c>
      <c r="BA234" s="9">
        <v>154.30503898188479</v>
      </c>
      <c r="BB234" s="9">
        <v>153.85470432255806</v>
      </c>
    </row>
    <row r="235" spans="3:54" ht="15" customHeight="1" x14ac:dyDescent="0.3">
      <c r="C235" s="46" t="s">
        <v>329</v>
      </c>
      <c r="E235" s="382"/>
      <c r="F235" s="382"/>
      <c r="G235" s="9">
        <v>280.40042370634717</v>
      </c>
      <c r="H235" s="9">
        <v>262.24050764179617</v>
      </c>
      <c r="I235" s="9">
        <v>252.38867858973069</v>
      </c>
      <c r="J235" s="9">
        <v>248.56223376480858</v>
      </c>
      <c r="K235" s="9">
        <v>248.56407173613763</v>
      </c>
      <c r="L235" s="9">
        <v>251.60951342125657</v>
      </c>
      <c r="M235" s="9">
        <v>254.97358237016286</v>
      </c>
      <c r="N235" s="9">
        <v>256.26181847364842</v>
      </c>
      <c r="O235" s="9">
        <v>259.81849047006796</v>
      </c>
      <c r="P235" s="9">
        <v>257.94660990509522</v>
      </c>
      <c r="Q235" s="9">
        <v>258.56667988078783</v>
      </c>
      <c r="R235" s="9">
        <v>255.80074072488935</v>
      </c>
      <c r="S235" s="9">
        <v>252.0123409463896</v>
      </c>
      <c r="T235" s="9">
        <v>249.25829086749809</v>
      </c>
      <c r="U235" s="9">
        <v>246.70397728232405</v>
      </c>
      <c r="V235" s="9">
        <v>244.1449080663472</v>
      </c>
      <c r="W235" s="9">
        <v>241.38610235665291</v>
      </c>
      <c r="X235" s="9">
        <v>239.20510578949839</v>
      </c>
      <c r="Y235" s="9">
        <v>236.05871616937617</v>
      </c>
      <c r="Z235" s="9">
        <v>232.17044814401768</v>
      </c>
      <c r="AA235" s="9">
        <v>228.86712270740315</v>
      </c>
      <c r="AB235" s="9">
        <v>224.11332987593568</v>
      </c>
      <c r="AC235" s="9">
        <v>220.67684677684284</v>
      </c>
      <c r="AD235" s="9">
        <v>217.61605851117093</v>
      </c>
      <c r="AE235" s="9">
        <v>214.56478150710467</v>
      </c>
      <c r="AF235" s="9">
        <v>211.69659628894604</v>
      </c>
      <c r="AG235" s="9">
        <v>208.66196399268952</v>
      </c>
      <c r="AH235" s="9">
        <v>207.30766316057515</v>
      </c>
      <c r="AI235" s="9">
        <v>206.75194435739149</v>
      </c>
      <c r="AJ235" s="9">
        <v>206.19542995145724</v>
      </c>
      <c r="AK235" s="9">
        <v>205.63811994277248</v>
      </c>
      <c r="AL235" s="9">
        <v>205.08001433133717</v>
      </c>
      <c r="AM235" s="9">
        <v>204.52111311715132</v>
      </c>
      <c r="AN235" s="9">
        <v>203.96141630021486</v>
      </c>
      <c r="AO235" s="9">
        <v>203.4009238805279</v>
      </c>
      <c r="AP235" s="9">
        <v>202.83963585809042</v>
      </c>
      <c r="AQ235" s="9">
        <v>202.27755223290239</v>
      </c>
      <c r="AR235" s="9">
        <v>201.71467300496377</v>
      </c>
      <c r="AS235" s="9">
        <v>201.1509981742746</v>
      </c>
      <c r="AT235" s="9">
        <v>200.58652774083495</v>
      </c>
      <c r="AU235" s="9">
        <v>200.02126170464479</v>
      </c>
      <c r="AV235" s="9">
        <v>199.45520006570393</v>
      </c>
      <c r="AW235" s="9">
        <v>198.88834282401257</v>
      </c>
      <c r="AX235" s="9">
        <v>198.32068997957077</v>
      </c>
      <c r="AY235" s="9">
        <v>197.75224153237838</v>
      </c>
      <c r="AZ235" s="9">
        <v>197.18299748243538</v>
      </c>
      <c r="BA235" s="9">
        <v>196.6129578297419</v>
      </c>
      <c r="BB235" s="9">
        <v>196.04212257429788</v>
      </c>
    </row>
    <row r="236" spans="3:54" ht="15" customHeight="1" x14ac:dyDescent="0.3">
      <c r="C236" s="46" t="s">
        <v>330</v>
      </c>
      <c r="E236" s="382"/>
      <c r="F236" s="382"/>
      <c r="G236" s="9">
        <v>434.15774736577248</v>
      </c>
      <c r="H236" s="9">
        <v>406.50401159051245</v>
      </c>
      <c r="I236" s="9">
        <v>391.68974393709749</v>
      </c>
      <c r="J236" s="9">
        <v>386.18721418315465</v>
      </c>
      <c r="K236" s="9">
        <v>386.60098198964994</v>
      </c>
      <c r="L236" s="9">
        <v>391.71839009264261</v>
      </c>
      <c r="M236" s="9">
        <v>397.32821053917479</v>
      </c>
      <c r="N236" s="9">
        <v>399.73000131473651</v>
      </c>
      <c r="O236" s="9">
        <v>405.6374739987815</v>
      </c>
      <c r="P236" s="9">
        <v>403.15556324774553</v>
      </c>
      <c r="Q236" s="9">
        <v>404.52475798946676</v>
      </c>
      <c r="R236" s="9">
        <v>400.66115290133473</v>
      </c>
      <c r="S236" s="9">
        <v>395.21741865109817</v>
      </c>
      <c r="T236" s="9">
        <v>391.37218715787435</v>
      </c>
      <c r="U236" s="9">
        <v>387.83563205910815</v>
      </c>
      <c r="V236" s="9">
        <v>384.29172752237866</v>
      </c>
      <c r="W236" s="9">
        <v>380.43914659119162</v>
      </c>
      <c r="X236" s="9">
        <v>377.4795223725427</v>
      </c>
      <c r="Y236" s="9">
        <v>373.02796224734846</v>
      </c>
      <c r="Z236" s="9">
        <v>367.42988979988297</v>
      </c>
      <c r="AA236" s="9">
        <v>362.73579822190067</v>
      </c>
      <c r="AB236" s="9">
        <v>355.80012806511883</v>
      </c>
      <c r="AC236" s="9">
        <v>350.90025222416466</v>
      </c>
      <c r="AD236" s="9">
        <v>346.58098198230948</v>
      </c>
      <c r="AE236" s="9">
        <v>342.27641061638087</v>
      </c>
      <c r="AF236" s="9">
        <v>338.25479261203839</v>
      </c>
      <c r="AG236" s="9">
        <v>333.97594427898116</v>
      </c>
      <c r="AH236" s="9">
        <v>331.98571509081643</v>
      </c>
      <c r="AI236" s="9">
        <v>331.22962903183725</v>
      </c>
      <c r="AJ236" s="9">
        <v>330.47231343395947</v>
      </c>
      <c r="AK236" s="9">
        <v>329.71376829718338</v>
      </c>
      <c r="AL236" s="9">
        <v>328.95399362150891</v>
      </c>
      <c r="AM236" s="9">
        <v>328.19298940693602</v>
      </c>
      <c r="AN236" s="9">
        <v>327.4307556534647</v>
      </c>
      <c r="AO236" s="9">
        <v>326.66729236109489</v>
      </c>
      <c r="AP236" s="9">
        <v>325.90259952982672</v>
      </c>
      <c r="AQ236" s="9">
        <v>325.13667715966017</v>
      </c>
      <c r="AR236" s="9">
        <v>324.36952525059513</v>
      </c>
      <c r="AS236" s="9">
        <v>323.60114380263173</v>
      </c>
      <c r="AT236" s="9">
        <v>322.83153281576983</v>
      </c>
      <c r="AU236" s="9">
        <v>322.06069229000963</v>
      </c>
      <c r="AV236" s="9">
        <v>321.28862222535088</v>
      </c>
      <c r="AW236" s="9">
        <v>320.51532262179376</v>
      </c>
      <c r="AX236" s="9">
        <v>319.74079347933827</v>
      </c>
      <c r="AY236" s="9">
        <v>318.9650347979844</v>
      </c>
      <c r="AZ236" s="9">
        <v>318.18804657773205</v>
      </c>
      <c r="BA236" s="9">
        <v>317.40982881858127</v>
      </c>
      <c r="BB236" s="9">
        <v>316.63038152053207</v>
      </c>
    </row>
    <row r="237" spans="3:54" ht="15" customHeight="1" x14ac:dyDescent="0.3">
      <c r="C237" s="46" t="s">
        <v>331</v>
      </c>
      <c r="E237" s="382"/>
      <c r="F237" s="382"/>
      <c r="G237" s="9">
        <v>67.114479371336429</v>
      </c>
      <c r="H237" s="9">
        <v>67.635247970015797</v>
      </c>
      <c r="I237" s="9">
        <v>69.889217217022292</v>
      </c>
      <c r="J237" s="9">
        <v>73.400178577039966</v>
      </c>
      <c r="K237" s="9">
        <v>77.709781334827113</v>
      </c>
      <c r="L237" s="9">
        <v>82.654328806368952</v>
      </c>
      <c r="M237" s="9">
        <v>87.665347052631972</v>
      </c>
      <c r="N237" s="9">
        <v>92.243313162091994</v>
      </c>
      <c r="O237" s="9">
        <v>97.294511503522301</v>
      </c>
      <c r="P237" s="9">
        <v>101.21322642190427</v>
      </c>
      <c r="Q237" s="9">
        <v>105.65180232467284</v>
      </c>
      <c r="R237" s="9">
        <v>109.3840022333894</v>
      </c>
      <c r="S237" s="9">
        <v>112.90290040232898</v>
      </c>
      <c r="T237" s="9">
        <v>116.63758056383361</v>
      </c>
      <c r="U237" s="9">
        <v>120.41392897217841</v>
      </c>
      <c r="V237" s="9">
        <v>124.18928527940798</v>
      </c>
      <c r="W237" s="9">
        <v>127.92297333979738</v>
      </c>
      <c r="X237" s="9">
        <v>131.77720168568862</v>
      </c>
      <c r="Y237" s="9">
        <v>135.43003350518586</v>
      </c>
      <c r="Z237" s="9">
        <v>138.92809755070536</v>
      </c>
      <c r="AA237" s="9">
        <v>142.54819003339961</v>
      </c>
      <c r="AB237" s="9">
        <v>145.86569167594513</v>
      </c>
      <c r="AC237" s="9">
        <v>149.45800532741259</v>
      </c>
      <c r="AD237" s="9">
        <v>153.12869496698414</v>
      </c>
      <c r="AE237" s="9">
        <v>156.80136880878621</v>
      </c>
      <c r="AF237" s="9">
        <v>160.51223854352506</v>
      </c>
      <c r="AG237" s="9">
        <v>164.18838473923046</v>
      </c>
      <c r="AH237" s="9">
        <v>164.98316062347277</v>
      </c>
      <c r="AI237" s="9">
        <v>165.94453357009601</v>
      </c>
      <c r="AJ237" s="9">
        <v>166.90574054118227</v>
      </c>
      <c r="AK237" s="9">
        <v>167.86678153673159</v>
      </c>
      <c r="AL237" s="9">
        <v>168.82765655674396</v>
      </c>
      <c r="AM237" s="9">
        <v>169.78836560121934</v>
      </c>
      <c r="AN237" s="9">
        <v>170.74890867015776</v>
      </c>
      <c r="AO237" s="9">
        <v>171.70928576355919</v>
      </c>
      <c r="AP237" s="9">
        <v>172.6694968814237</v>
      </c>
      <c r="AQ237" s="9">
        <v>173.62954202375121</v>
      </c>
      <c r="AR237" s="9">
        <v>174.58942119054177</v>
      </c>
      <c r="AS237" s="9">
        <v>175.54913438179537</v>
      </c>
      <c r="AT237" s="9">
        <v>176.50868159751198</v>
      </c>
      <c r="AU237" s="9">
        <v>177.46806283769163</v>
      </c>
      <c r="AV237" s="9">
        <v>178.4272781023343</v>
      </c>
      <c r="AW237" s="9">
        <v>179.38632739144003</v>
      </c>
      <c r="AX237" s="9">
        <v>180.34521070500881</v>
      </c>
      <c r="AY237" s="9">
        <v>181.3039280430406</v>
      </c>
      <c r="AZ237" s="9">
        <v>182.26247940553543</v>
      </c>
      <c r="BA237" s="9">
        <v>183.22086479249327</v>
      </c>
      <c r="BB237" s="9">
        <v>184.17908420391416</v>
      </c>
    </row>
    <row r="239" spans="3:54" ht="15" customHeight="1" x14ac:dyDescent="0.3">
      <c r="C239" s="47" t="s">
        <v>336</v>
      </c>
    </row>
    <row r="240" spans="3:54" ht="15" customHeight="1" x14ac:dyDescent="0.3">
      <c r="C240" s="46" t="s">
        <v>316</v>
      </c>
      <c r="E240" s="382" t="s">
        <v>208</v>
      </c>
      <c r="F240" s="382" t="s">
        <v>317</v>
      </c>
      <c r="G240" s="9">
        <v>346.42675470480856</v>
      </c>
      <c r="H240" s="9">
        <v>346.42675470480856</v>
      </c>
      <c r="I240" s="9">
        <v>346.42675470480856</v>
      </c>
      <c r="J240" s="9">
        <v>346.42675470480856</v>
      </c>
      <c r="K240" s="9">
        <v>346.42675470480856</v>
      </c>
      <c r="L240" s="9">
        <v>346.42675470480856</v>
      </c>
      <c r="M240" s="9">
        <v>346.42675470480856</v>
      </c>
      <c r="N240" s="9">
        <v>346.42675470480856</v>
      </c>
      <c r="O240" s="9">
        <v>346.42675470480856</v>
      </c>
      <c r="P240" s="9">
        <v>346.42675470480856</v>
      </c>
      <c r="Q240" s="9">
        <v>346.42675470480856</v>
      </c>
      <c r="R240" s="9">
        <v>346.42675470480856</v>
      </c>
      <c r="S240" s="9">
        <v>346.42675470480856</v>
      </c>
      <c r="T240" s="9">
        <v>346.42675470480856</v>
      </c>
      <c r="U240" s="9">
        <v>346.42675470480856</v>
      </c>
      <c r="V240" s="9">
        <v>346.42675470480856</v>
      </c>
      <c r="W240" s="9">
        <v>346.42675470480856</v>
      </c>
      <c r="X240" s="9">
        <v>346.42675470480856</v>
      </c>
      <c r="Y240" s="9">
        <v>346.42675470480856</v>
      </c>
      <c r="Z240" s="9">
        <v>346.42675470480856</v>
      </c>
      <c r="AA240" s="9">
        <v>346.42675470480856</v>
      </c>
      <c r="AB240" s="9">
        <v>346.42675470480856</v>
      </c>
      <c r="AC240" s="9">
        <v>346.42675470480856</v>
      </c>
      <c r="AD240" s="9">
        <v>346.42675470480856</v>
      </c>
      <c r="AE240" s="9">
        <v>346.42675470480856</v>
      </c>
      <c r="AF240" s="9">
        <v>346.42675470480856</v>
      </c>
      <c r="AG240" s="9">
        <v>346.42675470480856</v>
      </c>
      <c r="AH240" s="9">
        <v>346.42675470480856</v>
      </c>
      <c r="AI240" s="9">
        <v>346.42675470480856</v>
      </c>
      <c r="AJ240" s="9">
        <v>346.42675470480856</v>
      </c>
      <c r="AK240" s="9">
        <v>346.42675470480856</v>
      </c>
      <c r="AL240" s="9">
        <v>346.42675470480856</v>
      </c>
      <c r="AM240" s="9">
        <v>346.42675470480856</v>
      </c>
      <c r="AN240" s="9">
        <v>346.42675470480856</v>
      </c>
      <c r="AO240" s="9">
        <v>346.42675470480856</v>
      </c>
      <c r="AP240" s="9">
        <v>346.42675470480856</v>
      </c>
      <c r="AQ240" s="9">
        <v>346.42675470480856</v>
      </c>
      <c r="AR240" s="9">
        <v>346.42675470480856</v>
      </c>
      <c r="AS240" s="9">
        <v>346.42675470480856</v>
      </c>
      <c r="AT240" s="9">
        <v>346.42675470480856</v>
      </c>
      <c r="AU240" s="9">
        <v>346.42675470480856</v>
      </c>
      <c r="AV240" s="9">
        <v>346.42675470480856</v>
      </c>
      <c r="AW240" s="9">
        <v>346.42675470480856</v>
      </c>
      <c r="AX240" s="9">
        <v>346.42675470480856</v>
      </c>
      <c r="AY240" s="9">
        <v>346.42675470480856</v>
      </c>
      <c r="AZ240" s="9">
        <v>346.42675470480856</v>
      </c>
      <c r="BA240" s="9">
        <v>346.42675470480856</v>
      </c>
      <c r="BB240" s="9">
        <v>346.42675470480856</v>
      </c>
    </row>
    <row r="241" spans="3:54" ht="15" customHeight="1" x14ac:dyDescent="0.3">
      <c r="C241" s="46" t="s">
        <v>333</v>
      </c>
      <c r="E241" s="382"/>
      <c r="F241" s="382"/>
      <c r="G241" s="9">
        <v>442.1026525821639</v>
      </c>
      <c r="H241" s="9">
        <v>442.1026525821639</v>
      </c>
      <c r="I241" s="9">
        <v>442.1026525821639</v>
      </c>
      <c r="J241" s="9">
        <v>442.1026525821639</v>
      </c>
      <c r="K241" s="9">
        <v>442.1026525821639</v>
      </c>
      <c r="L241" s="9">
        <v>442.1026525821639</v>
      </c>
      <c r="M241" s="9">
        <v>442.1026525821639</v>
      </c>
      <c r="N241" s="9">
        <v>442.1026525821639</v>
      </c>
      <c r="O241" s="9">
        <v>442.1026525821639</v>
      </c>
      <c r="P241" s="9">
        <v>442.1026525821639</v>
      </c>
      <c r="Q241" s="9">
        <v>442.1026525821639</v>
      </c>
      <c r="R241" s="9">
        <v>442.1026525821639</v>
      </c>
      <c r="S241" s="9">
        <v>442.1026525821639</v>
      </c>
      <c r="T241" s="9">
        <v>442.1026525821639</v>
      </c>
      <c r="U241" s="9">
        <v>442.1026525821639</v>
      </c>
      <c r="V241" s="9">
        <v>442.1026525821639</v>
      </c>
      <c r="W241" s="9">
        <v>442.1026525821639</v>
      </c>
      <c r="X241" s="9">
        <v>442.1026525821639</v>
      </c>
      <c r="Y241" s="9">
        <v>442.1026525821639</v>
      </c>
      <c r="Z241" s="9">
        <v>442.1026525821639</v>
      </c>
      <c r="AA241" s="9">
        <v>442.1026525821639</v>
      </c>
      <c r="AB241" s="9">
        <v>442.1026525821639</v>
      </c>
      <c r="AC241" s="9">
        <v>442.1026525821639</v>
      </c>
      <c r="AD241" s="9">
        <v>442.1026525821639</v>
      </c>
      <c r="AE241" s="9">
        <v>442.1026525821639</v>
      </c>
      <c r="AF241" s="9">
        <v>442.1026525821639</v>
      </c>
      <c r="AG241" s="9">
        <v>442.1026525821639</v>
      </c>
      <c r="AH241" s="9">
        <v>442.1026525821639</v>
      </c>
      <c r="AI241" s="9">
        <v>442.1026525821639</v>
      </c>
      <c r="AJ241" s="9">
        <v>442.1026525821639</v>
      </c>
      <c r="AK241" s="9">
        <v>442.1026525821639</v>
      </c>
      <c r="AL241" s="9">
        <v>442.1026525821639</v>
      </c>
      <c r="AM241" s="9">
        <v>442.1026525821639</v>
      </c>
      <c r="AN241" s="9">
        <v>442.1026525821639</v>
      </c>
      <c r="AO241" s="9">
        <v>442.1026525821639</v>
      </c>
      <c r="AP241" s="9">
        <v>442.1026525821639</v>
      </c>
      <c r="AQ241" s="9">
        <v>442.1026525821639</v>
      </c>
      <c r="AR241" s="9">
        <v>442.1026525821639</v>
      </c>
      <c r="AS241" s="9">
        <v>442.1026525821639</v>
      </c>
      <c r="AT241" s="9">
        <v>442.1026525821639</v>
      </c>
      <c r="AU241" s="9">
        <v>442.1026525821639</v>
      </c>
      <c r="AV241" s="9">
        <v>442.1026525821639</v>
      </c>
      <c r="AW241" s="9">
        <v>442.1026525821639</v>
      </c>
      <c r="AX241" s="9">
        <v>442.1026525821639</v>
      </c>
      <c r="AY241" s="9">
        <v>442.1026525821639</v>
      </c>
      <c r="AZ241" s="9">
        <v>442.1026525821639</v>
      </c>
      <c r="BA241" s="9">
        <v>442.1026525821639</v>
      </c>
      <c r="BB241" s="9">
        <v>442.1026525821639</v>
      </c>
    </row>
    <row r="242" spans="3:54" ht="15" customHeight="1" x14ac:dyDescent="0.3">
      <c r="C242" s="46" t="s">
        <v>319</v>
      </c>
      <c r="E242" s="382"/>
      <c r="F242" s="382"/>
      <c r="G242" s="9">
        <v>34.064999999999998</v>
      </c>
      <c r="H242" s="9">
        <v>34.064999999999998</v>
      </c>
      <c r="I242" s="9">
        <v>34.064999999999998</v>
      </c>
      <c r="J242" s="9">
        <v>34.064999999999998</v>
      </c>
      <c r="K242" s="9">
        <v>34.064999999999998</v>
      </c>
      <c r="L242" s="9">
        <v>34.064999999999998</v>
      </c>
      <c r="M242" s="9">
        <v>34.064999999999998</v>
      </c>
      <c r="N242" s="9">
        <v>34.064999999999998</v>
      </c>
      <c r="O242" s="9">
        <v>34.064999999999998</v>
      </c>
      <c r="P242" s="9">
        <v>34.064999999999998</v>
      </c>
      <c r="Q242" s="9">
        <v>34.064999999999998</v>
      </c>
      <c r="R242" s="9">
        <v>34.064999999999998</v>
      </c>
      <c r="S242" s="9">
        <v>34.064999999999998</v>
      </c>
      <c r="T242" s="9">
        <v>34.064999999999998</v>
      </c>
      <c r="U242" s="9">
        <v>34.064999999999998</v>
      </c>
      <c r="V242" s="9">
        <v>34.064999999999998</v>
      </c>
      <c r="W242" s="9">
        <v>34.064999999999998</v>
      </c>
      <c r="X242" s="9">
        <v>34.064999999999998</v>
      </c>
      <c r="Y242" s="9">
        <v>34.064999999999998</v>
      </c>
      <c r="Z242" s="9">
        <v>34.064999999999998</v>
      </c>
      <c r="AA242" s="9">
        <v>34.064999999999998</v>
      </c>
      <c r="AB242" s="9">
        <v>34.064999999999998</v>
      </c>
      <c r="AC242" s="9">
        <v>34.064999999999998</v>
      </c>
      <c r="AD242" s="9">
        <v>34.064999999999998</v>
      </c>
      <c r="AE242" s="9">
        <v>34.064999999999998</v>
      </c>
      <c r="AF242" s="9">
        <v>34.064999999999998</v>
      </c>
      <c r="AG242" s="9">
        <v>34.064999999999998</v>
      </c>
      <c r="AH242" s="9">
        <v>34.064999999999998</v>
      </c>
      <c r="AI242" s="9">
        <v>34.064999999999998</v>
      </c>
      <c r="AJ242" s="9">
        <v>34.064999999999998</v>
      </c>
      <c r="AK242" s="9">
        <v>34.064999999999998</v>
      </c>
      <c r="AL242" s="9">
        <v>34.064999999999998</v>
      </c>
      <c r="AM242" s="9">
        <v>34.064999999999998</v>
      </c>
      <c r="AN242" s="9">
        <v>34.064999999999998</v>
      </c>
      <c r="AO242" s="9">
        <v>34.064999999999998</v>
      </c>
      <c r="AP242" s="9">
        <v>34.064999999999998</v>
      </c>
      <c r="AQ242" s="9">
        <v>34.064999999999998</v>
      </c>
      <c r="AR242" s="9">
        <v>34.064999999999998</v>
      </c>
      <c r="AS242" s="9">
        <v>34.064999999999998</v>
      </c>
      <c r="AT242" s="9">
        <v>34.064999999999998</v>
      </c>
      <c r="AU242" s="9">
        <v>34.064999999999998</v>
      </c>
      <c r="AV242" s="9">
        <v>34.064999999999998</v>
      </c>
      <c r="AW242" s="9">
        <v>34.064999999999998</v>
      </c>
      <c r="AX242" s="9">
        <v>34.064999999999998</v>
      </c>
      <c r="AY242" s="9">
        <v>34.064999999999998</v>
      </c>
      <c r="AZ242" s="9">
        <v>34.064999999999998</v>
      </c>
      <c r="BA242" s="9">
        <v>34.064999999999998</v>
      </c>
      <c r="BB242" s="9">
        <v>34.064999999999998</v>
      </c>
    </row>
    <row r="243" spans="3:54" ht="15" customHeight="1" x14ac:dyDescent="0.3">
      <c r="C243" s="46" t="s">
        <v>320</v>
      </c>
      <c r="E243" s="382"/>
      <c r="F243" s="382"/>
      <c r="G243" s="9">
        <v>74.325000000000003</v>
      </c>
      <c r="H243" s="9">
        <v>74.325000000000003</v>
      </c>
      <c r="I243" s="9">
        <v>74.325000000000003</v>
      </c>
      <c r="J243" s="9">
        <v>74.325000000000003</v>
      </c>
      <c r="K243" s="9">
        <v>74.325000000000003</v>
      </c>
      <c r="L243" s="9">
        <v>74.325000000000003</v>
      </c>
      <c r="M243" s="9">
        <v>74.325000000000003</v>
      </c>
      <c r="N243" s="9">
        <v>74.325000000000003</v>
      </c>
      <c r="O243" s="9">
        <v>74.325000000000003</v>
      </c>
      <c r="P243" s="9">
        <v>74.325000000000003</v>
      </c>
      <c r="Q243" s="9">
        <v>74.325000000000003</v>
      </c>
      <c r="R243" s="9">
        <v>74.325000000000003</v>
      </c>
      <c r="S243" s="9">
        <v>74.325000000000003</v>
      </c>
      <c r="T243" s="9">
        <v>74.325000000000003</v>
      </c>
      <c r="U243" s="9">
        <v>74.325000000000003</v>
      </c>
      <c r="V243" s="9">
        <v>74.325000000000003</v>
      </c>
      <c r="W243" s="9">
        <v>74.325000000000003</v>
      </c>
      <c r="X243" s="9">
        <v>74.325000000000003</v>
      </c>
      <c r="Y243" s="9">
        <v>74.325000000000003</v>
      </c>
      <c r="Z243" s="9">
        <v>74.325000000000003</v>
      </c>
      <c r="AA243" s="9">
        <v>74.325000000000003</v>
      </c>
      <c r="AB243" s="9">
        <v>74.325000000000003</v>
      </c>
      <c r="AC243" s="9">
        <v>74.325000000000003</v>
      </c>
      <c r="AD243" s="9">
        <v>74.325000000000003</v>
      </c>
      <c r="AE243" s="9">
        <v>74.325000000000003</v>
      </c>
      <c r="AF243" s="9">
        <v>74.325000000000003</v>
      </c>
      <c r="AG243" s="9">
        <v>74.325000000000003</v>
      </c>
      <c r="AH243" s="9">
        <v>74.325000000000003</v>
      </c>
      <c r="AI243" s="9">
        <v>74.325000000000003</v>
      </c>
      <c r="AJ243" s="9">
        <v>74.325000000000003</v>
      </c>
      <c r="AK243" s="9">
        <v>74.325000000000003</v>
      </c>
      <c r="AL243" s="9">
        <v>74.325000000000003</v>
      </c>
      <c r="AM243" s="9">
        <v>74.325000000000003</v>
      </c>
      <c r="AN243" s="9">
        <v>74.325000000000003</v>
      </c>
      <c r="AO243" s="9">
        <v>74.325000000000003</v>
      </c>
      <c r="AP243" s="9">
        <v>74.325000000000003</v>
      </c>
      <c r="AQ243" s="9">
        <v>74.325000000000003</v>
      </c>
      <c r="AR243" s="9">
        <v>74.325000000000003</v>
      </c>
      <c r="AS243" s="9">
        <v>74.325000000000003</v>
      </c>
      <c r="AT243" s="9">
        <v>74.325000000000003</v>
      </c>
      <c r="AU243" s="9">
        <v>74.325000000000003</v>
      </c>
      <c r="AV243" s="9">
        <v>74.325000000000003</v>
      </c>
      <c r="AW243" s="9">
        <v>74.325000000000003</v>
      </c>
      <c r="AX243" s="9">
        <v>74.325000000000003</v>
      </c>
      <c r="AY243" s="9">
        <v>74.325000000000003</v>
      </c>
      <c r="AZ243" s="9">
        <v>74.325000000000003</v>
      </c>
      <c r="BA243" s="9">
        <v>74.325000000000003</v>
      </c>
      <c r="BB243" s="9">
        <v>74.325000000000003</v>
      </c>
    </row>
    <row r="244" spans="3:54" ht="15" customHeight="1" x14ac:dyDescent="0.3">
      <c r="C244" s="46" t="s">
        <v>321</v>
      </c>
      <c r="E244" s="382"/>
      <c r="F244" s="382"/>
      <c r="G244" s="9">
        <v>45.045000000000002</v>
      </c>
      <c r="H244" s="9">
        <v>45.045000000000002</v>
      </c>
      <c r="I244" s="9">
        <v>45.045000000000002</v>
      </c>
      <c r="J244" s="9">
        <v>45.045000000000002</v>
      </c>
      <c r="K244" s="9">
        <v>45.045000000000002</v>
      </c>
      <c r="L244" s="9">
        <v>45.045000000000002</v>
      </c>
      <c r="M244" s="9">
        <v>45.045000000000002</v>
      </c>
      <c r="N244" s="9">
        <v>45.045000000000002</v>
      </c>
      <c r="O244" s="9">
        <v>45.045000000000002</v>
      </c>
      <c r="P244" s="9">
        <v>45.045000000000002</v>
      </c>
      <c r="Q244" s="9">
        <v>45.045000000000002</v>
      </c>
      <c r="R244" s="9">
        <v>45.045000000000002</v>
      </c>
      <c r="S244" s="9">
        <v>45.045000000000002</v>
      </c>
      <c r="T244" s="9">
        <v>45.045000000000002</v>
      </c>
      <c r="U244" s="9">
        <v>45.045000000000002</v>
      </c>
      <c r="V244" s="9">
        <v>45.045000000000002</v>
      </c>
      <c r="W244" s="9">
        <v>45.045000000000002</v>
      </c>
      <c r="X244" s="9">
        <v>45.045000000000002</v>
      </c>
      <c r="Y244" s="9">
        <v>45.045000000000002</v>
      </c>
      <c r="Z244" s="9">
        <v>45.045000000000002</v>
      </c>
      <c r="AA244" s="9">
        <v>45.045000000000002</v>
      </c>
      <c r="AB244" s="9">
        <v>45.045000000000002</v>
      </c>
      <c r="AC244" s="9">
        <v>45.045000000000002</v>
      </c>
      <c r="AD244" s="9">
        <v>45.045000000000002</v>
      </c>
      <c r="AE244" s="9">
        <v>45.045000000000002</v>
      </c>
      <c r="AF244" s="9">
        <v>45.045000000000002</v>
      </c>
      <c r="AG244" s="9">
        <v>45.045000000000002</v>
      </c>
      <c r="AH244" s="9">
        <v>45.045000000000002</v>
      </c>
      <c r="AI244" s="9">
        <v>45.045000000000002</v>
      </c>
      <c r="AJ244" s="9">
        <v>45.045000000000002</v>
      </c>
      <c r="AK244" s="9">
        <v>45.045000000000002</v>
      </c>
      <c r="AL244" s="9">
        <v>45.045000000000002</v>
      </c>
      <c r="AM244" s="9">
        <v>45.045000000000002</v>
      </c>
      <c r="AN244" s="9">
        <v>45.045000000000002</v>
      </c>
      <c r="AO244" s="9">
        <v>45.045000000000002</v>
      </c>
      <c r="AP244" s="9">
        <v>45.045000000000002</v>
      </c>
      <c r="AQ244" s="9">
        <v>45.045000000000002</v>
      </c>
      <c r="AR244" s="9">
        <v>45.045000000000002</v>
      </c>
      <c r="AS244" s="9">
        <v>45.045000000000002</v>
      </c>
      <c r="AT244" s="9">
        <v>45.045000000000002</v>
      </c>
      <c r="AU244" s="9">
        <v>45.045000000000002</v>
      </c>
      <c r="AV244" s="9">
        <v>45.045000000000002</v>
      </c>
      <c r="AW244" s="9">
        <v>45.045000000000002</v>
      </c>
      <c r="AX244" s="9">
        <v>45.045000000000002</v>
      </c>
      <c r="AY244" s="9">
        <v>45.045000000000002</v>
      </c>
      <c r="AZ244" s="9">
        <v>45.045000000000002</v>
      </c>
      <c r="BA244" s="9">
        <v>45.045000000000002</v>
      </c>
      <c r="BB244" s="9">
        <v>45.045000000000002</v>
      </c>
    </row>
    <row r="245" spans="3:54" ht="15" customHeight="1" x14ac:dyDescent="0.3">
      <c r="C245" s="46" t="s">
        <v>322</v>
      </c>
      <c r="E245" s="382"/>
      <c r="F245" s="382"/>
      <c r="G245" s="9">
        <v>37.725000000000001</v>
      </c>
      <c r="H245" s="9">
        <v>37.725000000000001</v>
      </c>
      <c r="I245" s="9">
        <v>37.725000000000001</v>
      </c>
      <c r="J245" s="9">
        <v>37.725000000000001</v>
      </c>
      <c r="K245" s="9">
        <v>37.725000000000001</v>
      </c>
      <c r="L245" s="9">
        <v>37.725000000000001</v>
      </c>
      <c r="M245" s="9">
        <v>37.725000000000001</v>
      </c>
      <c r="N245" s="9">
        <v>37.725000000000001</v>
      </c>
      <c r="O245" s="9">
        <v>37.725000000000001</v>
      </c>
      <c r="P245" s="9">
        <v>37.725000000000001</v>
      </c>
      <c r="Q245" s="9">
        <v>37.725000000000001</v>
      </c>
      <c r="R245" s="9">
        <v>37.725000000000001</v>
      </c>
      <c r="S245" s="9">
        <v>37.725000000000001</v>
      </c>
      <c r="T245" s="9">
        <v>37.725000000000001</v>
      </c>
      <c r="U245" s="9">
        <v>37.725000000000001</v>
      </c>
      <c r="V245" s="9">
        <v>37.725000000000001</v>
      </c>
      <c r="W245" s="9">
        <v>37.725000000000001</v>
      </c>
      <c r="X245" s="9">
        <v>37.725000000000001</v>
      </c>
      <c r="Y245" s="9">
        <v>37.725000000000001</v>
      </c>
      <c r="Z245" s="9">
        <v>37.725000000000001</v>
      </c>
      <c r="AA245" s="9">
        <v>37.725000000000001</v>
      </c>
      <c r="AB245" s="9">
        <v>37.725000000000001</v>
      </c>
      <c r="AC245" s="9">
        <v>37.725000000000001</v>
      </c>
      <c r="AD245" s="9">
        <v>37.725000000000001</v>
      </c>
      <c r="AE245" s="9">
        <v>37.725000000000001</v>
      </c>
      <c r="AF245" s="9">
        <v>37.725000000000001</v>
      </c>
      <c r="AG245" s="9">
        <v>37.725000000000001</v>
      </c>
      <c r="AH245" s="9">
        <v>37.725000000000001</v>
      </c>
      <c r="AI245" s="9">
        <v>37.725000000000001</v>
      </c>
      <c r="AJ245" s="9">
        <v>37.725000000000001</v>
      </c>
      <c r="AK245" s="9">
        <v>37.725000000000001</v>
      </c>
      <c r="AL245" s="9">
        <v>37.725000000000001</v>
      </c>
      <c r="AM245" s="9">
        <v>37.725000000000001</v>
      </c>
      <c r="AN245" s="9">
        <v>37.725000000000001</v>
      </c>
      <c r="AO245" s="9">
        <v>37.725000000000001</v>
      </c>
      <c r="AP245" s="9">
        <v>37.725000000000001</v>
      </c>
      <c r="AQ245" s="9">
        <v>37.725000000000001</v>
      </c>
      <c r="AR245" s="9">
        <v>37.725000000000001</v>
      </c>
      <c r="AS245" s="9">
        <v>37.725000000000001</v>
      </c>
      <c r="AT245" s="9">
        <v>37.725000000000001</v>
      </c>
      <c r="AU245" s="9">
        <v>37.725000000000001</v>
      </c>
      <c r="AV245" s="9">
        <v>37.725000000000001</v>
      </c>
      <c r="AW245" s="9">
        <v>37.725000000000001</v>
      </c>
      <c r="AX245" s="9">
        <v>37.725000000000001</v>
      </c>
      <c r="AY245" s="9">
        <v>37.725000000000001</v>
      </c>
      <c r="AZ245" s="9">
        <v>37.725000000000001</v>
      </c>
      <c r="BA245" s="9">
        <v>37.725000000000001</v>
      </c>
      <c r="BB245" s="9">
        <v>37.725000000000001</v>
      </c>
    </row>
    <row r="246" spans="3:54" ht="15" customHeight="1" x14ac:dyDescent="0.3">
      <c r="C246" s="46" t="s">
        <v>323</v>
      </c>
      <c r="E246" s="382"/>
      <c r="F246" s="382"/>
      <c r="G246" s="9">
        <v>45.045000000000002</v>
      </c>
      <c r="H246" s="9">
        <v>45.045000000000002</v>
      </c>
      <c r="I246" s="9">
        <v>45.045000000000002</v>
      </c>
      <c r="J246" s="9">
        <v>45.045000000000002</v>
      </c>
      <c r="K246" s="9">
        <v>45.045000000000002</v>
      </c>
      <c r="L246" s="9">
        <v>45.045000000000002</v>
      </c>
      <c r="M246" s="9">
        <v>45.045000000000002</v>
      </c>
      <c r="N246" s="9">
        <v>45.045000000000002</v>
      </c>
      <c r="O246" s="9">
        <v>45.045000000000002</v>
      </c>
      <c r="P246" s="9">
        <v>45.045000000000002</v>
      </c>
      <c r="Q246" s="9">
        <v>45.045000000000002</v>
      </c>
      <c r="R246" s="9">
        <v>45.045000000000002</v>
      </c>
      <c r="S246" s="9">
        <v>45.045000000000002</v>
      </c>
      <c r="T246" s="9">
        <v>45.045000000000002</v>
      </c>
      <c r="U246" s="9">
        <v>45.045000000000002</v>
      </c>
      <c r="V246" s="9">
        <v>45.045000000000002</v>
      </c>
      <c r="W246" s="9">
        <v>45.045000000000002</v>
      </c>
      <c r="X246" s="9">
        <v>45.045000000000002</v>
      </c>
      <c r="Y246" s="9">
        <v>45.045000000000002</v>
      </c>
      <c r="Z246" s="9">
        <v>45.045000000000002</v>
      </c>
      <c r="AA246" s="9">
        <v>45.045000000000002</v>
      </c>
      <c r="AB246" s="9">
        <v>45.045000000000002</v>
      </c>
      <c r="AC246" s="9">
        <v>45.045000000000002</v>
      </c>
      <c r="AD246" s="9">
        <v>45.045000000000002</v>
      </c>
      <c r="AE246" s="9">
        <v>45.045000000000002</v>
      </c>
      <c r="AF246" s="9">
        <v>45.045000000000002</v>
      </c>
      <c r="AG246" s="9">
        <v>45.045000000000002</v>
      </c>
      <c r="AH246" s="9">
        <v>45.045000000000002</v>
      </c>
      <c r="AI246" s="9">
        <v>45.045000000000002</v>
      </c>
      <c r="AJ246" s="9">
        <v>45.045000000000002</v>
      </c>
      <c r="AK246" s="9">
        <v>45.045000000000002</v>
      </c>
      <c r="AL246" s="9">
        <v>45.045000000000002</v>
      </c>
      <c r="AM246" s="9">
        <v>45.045000000000002</v>
      </c>
      <c r="AN246" s="9">
        <v>45.045000000000002</v>
      </c>
      <c r="AO246" s="9">
        <v>45.045000000000002</v>
      </c>
      <c r="AP246" s="9">
        <v>45.045000000000002</v>
      </c>
      <c r="AQ246" s="9">
        <v>45.045000000000002</v>
      </c>
      <c r="AR246" s="9">
        <v>45.045000000000002</v>
      </c>
      <c r="AS246" s="9">
        <v>45.045000000000002</v>
      </c>
      <c r="AT246" s="9">
        <v>45.045000000000002</v>
      </c>
      <c r="AU246" s="9">
        <v>45.045000000000002</v>
      </c>
      <c r="AV246" s="9">
        <v>45.045000000000002</v>
      </c>
      <c r="AW246" s="9">
        <v>45.045000000000002</v>
      </c>
      <c r="AX246" s="9">
        <v>45.045000000000002</v>
      </c>
      <c r="AY246" s="9">
        <v>45.045000000000002</v>
      </c>
      <c r="AZ246" s="9">
        <v>45.045000000000002</v>
      </c>
      <c r="BA246" s="9">
        <v>45.045000000000002</v>
      </c>
      <c r="BB246" s="9">
        <v>45.045000000000002</v>
      </c>
    </row>
    <row r="247" spans="3:54" ht="15" customHeight="1" x14ac:dyDescent="0.3">
      <c r="C247" s="46" t="s">
        <v>324</v>
      </c>
      <c r="E247" s="382"/>
      <c r="F247" s="382"/>
      <c r="G247" s="9">
        <v>98.815778835603453</v>
      </c>
      <c r="H247" s="9">
        <v>98.815778835603453</v>
      </c>
      <c r="I247" s="9">
        <v>98.815778835603453</v>
      </c>
      <c r="J247" s="9">
        <v>98.815778835603453</v>
      </c>
      <c r="K247" s="9">
        <v>98.815778835603453</v>
      </c>
      <c r="L247" s="9">
        <v>98.815778835603453</v>
      </c>
      <c r="M247" s="9">
        <v>98.815778835603453</v>
      </c>
      <c r="N247" s="9">
        <v>98.815778835603453</v>
      </c>
      <c r="O247" s="9">
        <v>98.815778835603453</v>
      </c>
      <c r="P247" s="9">
        <v>98.815778835603453</v>
      </c>
      <c r="Q247" s="9">
        <v>98.815778835603453</v>
      </c>
      <c r="R247" s="9">
        <v>98.815778835603453</v>
      </c>
      <c r="S247" s="9">
        <v>98.815778835603453</v>
      </c>
      <c r="T247" s="9">
        <v>98.815778835603453</v>
      </c>
      <c r="U247" s="9">
        <v>98.815778835603453</v>
      </c>
      <c r="V247" s="9">
        <v>98.815778835603453</v>
      </c>
      <c r="W247" s="9">
        <v>98.815778835603453</v>
      </c>
      <c r="X247" s="9">
        <v>98.815778835603453</v>
      </c>
      <c r="Y247" s="9">
        <v>98.815778835603453</v>
      </c>
      <c r="Z247" s="9">
        <v>98.815778835603453</v>
      </c>
      <c r="AA247" s="9">
        <v>98.815778835603453</v>
      </c>
      <c r="AB247" s="9">
        <v>98.815778835603453</v>
      </c>
      <c r="AC247" s="9">
        <v>98.815778835603453</v>
      </c>
      <c r="AD247" s="9">
        <v>98.815778835603453</v>
      </c>
      <c r="AE247" s="9">
        <v>98.815778835603453</v>
      </c>
      <c r="AF247" s="9">
        <v>98.815778835603453</v>
      </c>
      <c r="AG247" s="9">
        <v>98.815778835603453</v>
      </c>
      <c r="AH247" s="9">
        <v>98.815778835603453</v>
      </c>
      <c r="AI247" s="9">
        <v>98.815778835603453</v>
      </c>
      <c r="AJ247" s="9">
        <v>98.815778835603453</v>
      </c>
      <c r="AK247" s="9">
        <v>98.815778835603453</v>
      </c>
      <c r="AL247" s="9">
        <v>98.815778835603453</v>
      </c>
      <c r="AM247" s="9">
        <v>98.815778835603453</v>
      </c>
      <c r="AN247" s="9">
        <v>98.815778835603453</v>
      </c>
      <c r="AO247" s="9">
        <v>98.815778835603453</v>
      </c>
      <c r="AP247" s="9">
        <v>98.815778835603453</v>
      </c>
      <c r="AQ247" s="9">
        <v>98.815778835603453</v>
      </c>
      <c r="AR247" s="9">
        <v>98.815778835603453</v>
      </c>
      <c r="AS247" s="9">
        <v>98.815778835603453</v>
      </c>
      <c r="AT247" s="9">
        <v>98.815778835603453</v>
      </c>
      <c r="AU247" s="9">
        <v>98.815778835603453</v>
      </c>
      <c r="AV247" s="9">
        <v>98.815778835603453</v>
      </c>
      <c r="AW247" s="9">
        <v>98.815778835603453</v>
      </c>
      <c r="AX247" s="9">
        <v>98.815778835603453</v>
      </c>
      <c r="AY247" s="9">
        <v>98.815778835603453</v>
      </c>
      <c r="AZ247" s="9">
        <v>98.815778835603453</v>
      </c>
      <c r="BA247" s="9">
        <v>98.815778835603453</v>
      </c>
      <c r="BB247" s="9">
        <v>98.815778835603453</v>
      </c>
    </row>
    <row r="248" spans="3:54" ht="15" customHeight="1" x14ac:dyDescent="0.3">
      <c r="C248" s="46" t="s">
        <v>325</v>
      </c>
      <c r="E248" s="382"/>
      <c r="F248" s="382"/>
      <c r="G248" s="9">
        <v>32.234999999999999</v>
      </c>
      <c r="H248" s="9">
        <v>32.234999999999999</v>
      </c>
      <c r="I248" s="9">
        <v>32.234999999999999</v>
      </c>
      <c r="J248" s="9">
        <v>32.234999999999999</v>
      </c>
      <c r="K248" s="9">
        <v>32.234999999999999</v>
      </c>
      <c r="L248" s="9">
        <v>32.234999999999999</v>
      </c>
      <c r="M248" s="9">
        <v>32.234999999999999</v>
      </c>
      <c r="N248" s="9">
        <v>32.234999999999999</v>
      </c>
      <c r="O248" s="9">
        <v>32.234999999999999</v>
      </c>
      <c r="P248" s="9">
        <v>32.234999999999999</v>
      </c>
      <c r="Q248" s="9">
        <v>32.234999999999999</v>
      </c>
      <c r="R248" s="9">
        <v>32.234999999999999</v>
      </c>
      <c r="S248" s="9">
        <v>32.234999999999999</v>
      </c>
      <c r="T248" s="9">
        <v>32.234999999999999</v>
      </c>
      <c r="U248" s="9">
        <v>32.234999999999999</v>
      </c>
      <c r="V248" s="9">
        <v>32.234999999999999</v>
      </c>
      <c r="W248" s="9">
        <v>32.234999999999999</v>
      </c>
      <c r="X248" s="9">
        <v>32.234999999999999</v>
      </c>
      <c r="Y248" s="9">
        <v>32.234999999999999</v>
      </c>
      <c r="Z248" s="9">
        <v>32.234999999999999</v>
      </c>
      <c r="AA248" s="9">
        <v>32.234999999999999</v>
      </c>
      <c r="AB248" s="9">
        <v>32.234999999999999</v>
      </c>
      <c r="AC248" s="9">
        <v>32.234999999999999</v>
      </c>
      <c r="AD248" s="9">
        <v>32.234999999999999</v>
      </c>
      <c r="AE248" s="9">
        <v>32.234999999999999</v>
      </c>
      <c r="AF248" s="9">
        <v>32.234999999999999</v>
      </c>
      <c r="AG248" s="9">
        <v>32.234999999999999</v>
      </c>
      <c r="AH248" s="9">
        <v>32.234999999999999</v>
      </c>
      <c r="AI248" s="9">
        <v>32.234999999999999</v>
      </c>
      <c r="AJ248" s="9">
        <v>32.234999999999999</v>
      </c>
      <c r="AK248" s="9">
        <v>32.234999999999999</v>
      </c>
      <c r="AL248" s="9">
        <v>32.234999999999999</v>
      </c>
      <c r="AM248" s="9">
        <v>32.234999999999999</v>
      </c>
      <c r="AN248" s="9">
        <v>32.234999999999999</v>
      </c>
      <c r="AO248" s="9">
        <v>32.234999999999999</v>
      </c>
      <c r="AP248" s="9">
        <v>32.234999999999999</v>
      </c>
      <c r="AQ248" s="9">
        <v>32.234999999999999</v>
      </c>
      <c r="AR248" s="9">
        <v>32.234999999999999</v>
      </c>
      <c r="AS248" s="9">
        <v>32.234999999999999</v>
      </c>
      <c r="AT248" s="9">
        <v>32.234999999999999</v>
      </c>
      <c r="AU248" s="9">
        <v>32.234999999999999</v>
      </c>
      <c r="AV248" s="9">
        <v>32.234999999999999</v>
      </c>
      <c r="AW248" s="9">
        <v>32.234999999999999</v>
      </c>
      <c r="AX248" s="9">
        <v>32.234999999999999</v>
      </c>
      <c r="AY248" s="9">
        <v>32.234999999999999</v>
      </c>
      <c r="AZ248" s="9">
        <v>32.234999999999999</v>
      </c>
      <c r="BA248" s="9">
        <v>32.234999999999999</v>
      </c>
      <c r="BB248" s="9">
        <v>32.234999999999999</v>
      </c>
    </row>
    <row r="249" spans="3:54" ht="15" customHeight="1" x14ac:dyDescent="0.3">
      <c r="C249" s="46" t="s">
        <v>326</v>
      </c>
      <c r="E249" s="382"/>
      <c r="F249" s="382"/>
      <c r="G249" s="9">
        <v>37.725000000000001</v>
      </c>
      <c r="H249" s="9">
        <v>37.725000000000001</v>
      </c>
      <c r="I249" s="9">
        <v>37.725000000000001</v>
      </c>
      <c r="J249" s="9">
        <v>37.725000000000001</v>
      </c>
      <c r="K249" s="9">
        <v>37.725000000000001</v>
      </c>
      <c r="L249" s="9">
        <v>37.725000000000001</v>
      </c>
      <c r="M249" s="9">
        <v>37.725000000000001</v>
      </c>
      <c r="N249" s="9">
        <v>37.725000000000001</v>
      </c>
      <c r="O249" s="9">
        <v>37.725000000000001</v>
      </c>
      <c r="P249" s="9">
        <v>37.725000000000001</v>
      </c>
      <c r="Q249" s="9">
        <v>37.725000000000001</v>
      </c>
      <c r="R249" s="9">
        <v>37.725000000000001</v>
      </c>
      <c r="S249" s="9">
        <v>37.725000000000001</v>
      </c>
      <c r="T249" s="9">
        <v>37.725000000000001</v>
      </c>
      <c r="U249" s="9">
        <v>37.725000000000001</v>
      </c>
      <c r="V249" s="9">
        <v>37.725000000000001</v>
      </c>
      <c r="W249" s="9">
        <v>37.725000000000001</v>
      </c>
      <c r="X249" s="9">
        <v>37.725000000000001</v>
      </c>
      <c r="Y249" s="9">
        <v>37.725000000000001</v>
      </c>
      <c r="Z249" s="9">
        <v>37.725000000000001</v>
      </c>
      <c r="AA249" s="9">
        <v>37.725000000000001</v>
      </c>
      <c r="AB249" s="9">
        <v>37.725000000000001</v>
      </c>
      <c r="AC249" s="9">
        <v>37.725000000000001</v>
      </c>
      <c r="AD249" s="9">
        <v>37.725000000000001</v>
      </c>
      <c r="AE249" s="9">
        <v>37.725000000000001</v>
      </c>
      <c r="AF249" s="9">
        <v>37.725000000000001</v>
      </c>
      <c r="AG249" s="9">
        <v>37.725000000000001</v>
      </c>
      <c r="AH249" s="9">
        <v>37.725000000000001</v>
      </c>
      <c r="AI249" s="9">
        <v>37.725000000000001</v>
      </c>
      <c r="AJ249" s="9">
        <v>37.725000000000001</v>
      </c>
      <c r="AK249" s="9">
        <v>37.725000000000001</v>
      </c>
      <c r="AL249" s="9">
        <v>37.725000000000001</v>
      </c>
      <c r="AM249" s="9">
        <v>37.725000000000001</v>
      </c>
      <c r="AN249" s="9">
        <v>37.725000000000001</v>
      </c>
      <c r="AO249" s="9">
        <v>37.725000000000001</v>
      </c>
      <c r="AP249" s="9">
        <v>37.725000000000001</v>
      </c>
      <c r="AQ249" s="9">
        <v>37.725000000000001</v>
      </c>
      <c r="AR249" s="9">
        <v>37.725000000000001</v>
      </c>
      <c r="AS249" s="9">
        <v>37.725000000000001</v>
      </c>
      <c r="AT249" s="9">
        <v>37.725000000000001</v>
      </c>
      <c r="AU249" s="9">
        <v>37.725000000000001</v>
      </c>
      <c r="AV249" s="9">
        <v>37.725000000000001</v>
      </c>
      <c r="AW249" s="9">
        <v>37.725000000000001</v>
      </c>
      <c r="AX249" s="9">
        <v>37.725000000000001</v>
      </c>
      <c r="AY249" s="9">
        <v>37.725000000000001</v>
      </c>
      <c r="AZ249" s="9">
        <v>37.725000000000001</v>
      </c>
      <c r="BA249" s="9">
        <v>37.725000000000001</v>
      </c>
      <c r="BB249" s="9">
        <v>37.725000000000001</v>
      </c>
    </row>
    <row r="250" spans="3:54" ht="15" customHeight="1" x14ac:dyDescent="0.3">
      <c r="C250" s="46" t="s">
        <v>327</v>
      </c>
      <c r="E250" s="382"/>
      <c r="F250" s="382"/>
      <c r="G250" s="9">
        <v>24.54</v>
      </c>
      <c r="H250" s="9">
        <v>24.54</v>
      </c>
      <c r="I250" s="9">
        <v>24.54</v>
      </c>
      <c r="J250" s="9">
        <v>24.54</v>
      </c>
      <c r="K250" s="9">
        <v>24.54</v>
      </c>
      <c r="L250" s="9">
        <v>24.54</v>
      </c>
      <c r="M250" s="9">
        <v>24.54</v>
      </c>
      <c r="N250" s="9">
        <v>24.54</v>
      </c>
      <c r="O250" s="9">
        <v>24.54</v>
      </c>
      <c r="P250" s="9">
        <v>24.54</v>
      </c>
      <c r="Q250" s="9">
        <v>24.54</v>
      </c>
      <c r="R250" s="9">
        <v>24.54</v>
      </c>
      <c r="S250" s="9">
        <v>24.54</v>
      </c>
      <c r="T250" s="9">
        <v>24.54</v>
      </c>
      <c r="U250" s="9">
        <v>24.54</v>
      </c>
      <c r="V250" s="9">
        <v>24.54</v>
      </c>
      <c r="W250" s="9">
        <v>24.54</v>
      </c>
      <c r="X250" s="9">
        <v>24.54</v>
      </c>
      <c r="Y250" s="9">
        <v>24.54</v>
      </c>
      <c r="Z250" s="9">
        <v>24.54</v>
      </c>
      <c r="AA250" s="9">
        <v>24.54</v>
      </c>
      <c r="AB250" s="9">
        <v>24.54</v>
      </c>
      <c r="AC250" s="9">
        <v>24.54</v>
      </c>
      <c r="AD250" s="9">
        <v>24.54</v>
      </c>
      <c r="AE250" s="9">
        <v>24.54</v>
      </c>
      <c r="AF250" s="9">
        <v>24.54</v>
      </c>
      <c r="AG250" s="9">
        <v>24.54</v>
      </c>
      <c r="AH250" s="9">
        <v>24.54</v>
      </c>
      <c r="AI250" s="9">
        <v>24.54</v>
      </c>
      <c r="AJ250" s="9">
        <v>24.54</v>
      </c>
      <c r="AK250" s="9">
        <v>24.54</v>
      </c>
      <c r="AL250" s="9">
        <v>24.54</v>
      </c>
      <c r="AM250" s="9">
        <v>24.54</v>
      </c>
      <c r="AN250" s="9">
        <v>24.54</v>
      </c>
      <c r="AO250" s="9">
        <v>24.54</v>
      </c>
      <c r="AP250" s="9">
        <v>24.54</v>
      </c>
      <c r="AQ250" s="9">
        <v>24.54</v>
      </c>
      <c r="AR250" s="9">
        <v>24.54</v>
      </c>
      <c r="AS250" s="9">
        <v>24.54</v>
      </c>
      <c r="AT250" s="9">
        <v>24.54</v>
      </c>
      <c r="AU250" s="9">
        <v>24.54</v>
      </c>
      <c r="AV250" s="9">
        <v>24.54</v>
      </c>
      <c r="AW250" s="9">
        <v>24.54</v>
      </c>
      <c r="AX250" s="9">
        <v>24.54</v>
      </c>
      <c r="AY250" s="9">
        <v>24.54</v>
      </c>
      <c r="AZ250" s="9">
        <v>24.54</v>
      </c>
      <c r="BA250" s="9">
        <v>24.54</v>
      </c>
      <c r="BB250" s="9">
        <v>24.54</v>
      </c>
    </row>
    <row r="251" spans="3:54" ht="15" customHeight="1" x14ac:dyDescent="0.3">
      <c r="C251" s="46" t="s">
        <v>328</v>
      </c>
      <c r="E251" s="382"/>
      <c r="F251" s="382"/>
      <c r="G251" s="9">
        <v>407.91624296543074</v>
      </c>
      <c r="H251" s="9">
        <v>407.91624296543074</v>
      </c>
      <c r="I251" s="9">
        <v>407.91624296543074</v>
      </c>
      <c r="J251" s="9">
        <v>407.91624296543074</v>
      </c>
      <c r="K251" s="9">
        <v>407.91624296543074</v>
      </c>
      <c r="L251" s="9">
        <v>407.91624296543074</v>
      </c>
      <c r="M251" s="9">
        <v>407.91624296543074</v>
      </c>
      <c r="N251" s="9">
        <v>407.91624296543074</v>
      </c>
      <c r="O251" s="9">
        <v>407.91624296543074</v>
      </c>
      <c r="P251" s="9">
        <v>407.91624296543074</v>
      </c>
      <c r="Q251" s="9">
        <v>407.91624296543074</v>
      </c>
      <c r="R251" s="9">
        <v>407.91624296543074</v>
      </c>
      <c r="S251" s="9">
        <v>407.91624296543074</v>
      </c>
      <c r="T251" s="9">
        <v>407.91624296543074</v>
      </c>
      <c r="U251" s="9">
        <v>407.91624296543074</v>
      </c>
      <c r="V251" s="9">
        <v>407.91624296543074</v>
      </c>
      <c r="W251" s="9">
        <v>407.91624296543074</v>
      </c>
      <c r="X251" s="9">
        <v>407.91624296543074</v>
      </c>
      <c r="Y251" s="9">
        <v>407.91624296543074</v>
      </c>
      <c r="Z251" s="9">
        <v>407.91624296543074</v>
      </c>
      <c r="AA251" s="9">
        <v>407.91624296543074</v>
      </c>
      <c r="AB251" s="9">
        <v>407.91624296543074</v>
      </c>
      <c r="AC251" s="9">
        <v>407.91624296543074</v>
      </c>
      <c r="AD251" s="9">
        <v>407.91624296543074</v>
      </c>
      <c r="AE251" s="9">
        <v>407.91624296543074</v>
      </c>
      <c r="AF251" s="9">
        <v>407.91624296543074</v>
      </c>
      <c r="AG251" s="9">
        <v>407.91624296543074</v>
      </c>
      <c r="AH251" s="9">
        <v>407.91624296543074</v>
      </c>
      <c r="AI251" s="9">
        <v>407.91624296543074</v>
      </c>
      <c r="AJ251" s="9">
        <v>407.91624296543074</v>
      </c>
      <c r="AK251" s="9">
        <v>407.91624296543074</v>
      </c>
      <c r="AL251" s="9">
        <v>407.91624296543074</v>
      </c>
      <c r="AM251" s="9">
        <v>407.91624296543074</v>
      </c>
      <c r="AN251" s="9">
        <v>407.91624296543074</v>
      </c>
      <c r="AO251" s="9">
        <v>407.91624296543074</v>
      </c>
      <c r="AP251" s="9">
        <v>407.91624296543074</v>
      </c>
      <c r="AQ251" s="9">
        <v>407.91624296543074</v>
      </c>
      <c r="AR251" s="9">
        <v>407.91624296543074</v>
      </c>
      <c r="AS251" s="9">
        <v>407.91624296543074</v>
      </c>
      <c r="AT251" s="9">
        <v>407.91624296543074</v>
      </c>
      <c r="AU251" s="9">
        <v>407.91624296543074</v>
      </c>
      <c r="AV251" s="9">
        <v>407.91624296543074</v>
      </c>
      <c r="AW251" s="9">
        <v>407.91624296543074</v>
      </c>
      <c r="AX251" s="9">
        <v>407.91624296543074</v>
      </c>
      <c r="AY251" s="9">
        <v>407.91624296543074</v>
      </c>
      <c r="AZ251" s="9">
        <v>407.91624296543074</v>
      </c>
      <c r="BA251" s="9">
        <v>407.91624296543074</v>
      </c>
      <c r="BB251" s="9">
        <v>407.91624296543074</v>
      </c>
    </row>
    <row r="252" spans="3:54" ht="15" customHeight="1" x14ac:dyDescent="0.3">
      <c r="C252" s="46" t="s">
        <v>329</v>
      </c>
      <c r="E252" s="382"/>
      <c r="F252" s="382"/>
      <c r="G252" s="9">
        <v>274.89082312911711</v>
      </c>
      <c r="H252" s="9">
        <v>274.89082312911711</v>
      </c>
      <c r="I252" s="9">
        <v>274.89082312911711</v>
      </c>
      <c r="J252" s="9">
        <v>274.89082312911711</v>
      </c>
      <c r="K252" s="9">
        <v>274.89082312911711</v>
      </c>
      <c r="L252" s="9">
        <v>274.89082312911711</v>
      </c>
      <c r="M252" s="9">
        <v>274.89082312911711</v>
      </c>
      <c r="N252" s="9">
        <v>274.89082312911711</v>
      </c>
      <c r="O252" s="9">
        <v>274.89082312911711</v>
      </c>
      <c r="P252" s="9">
        <v>274.89082312911711</v>
      </c>
      <c r="Q252" s="9">
        <v>274.89082312911711</v>
      </c>
      <c r="R252" s="9">
        <v>274.89082312911711</v>
      </c>
      <c r="S252" s="9">
        <v>274.89082312911711</v>
      </c>
      <c r="T252" s="9">
        <v>274.89082312911711</v>
      </c>
      <c r="U252" s="9">
        <v>274.89082312911711</v>
      </c>
      <c r="V252" s="9">
        <v>274.89082312911711</v>
      </c>
      <c r="W252" s="9">
        <v>274.89082312911711</v>
      </c>
      <c r="X252" s="9">
        <v>274.89082312911711</v>
      </c>
      <c r="Y252" s="9">
        <v>274.89082312911711</v>
      </c>
      <c r="Z252" s="9">
        <v>274.89082312911711</v>
      </c>
      <c r="AA252" s="9">
        <v>274.89082312911711</v>
      </c>
      <c r="AB252" s="9">
        <v>274.89082312911711</v>
      </c>
      <c r="AC252" s="9">
        <v>274.89082312911711</v>
      </c>
      <c r="AD252" s="9">
        <v>274.89082312911711</v>
      </c>
      <c r="AE252" s="9">
        <v>274.89082312911711</v>
      </c>
      <c r="AF252" s="9">
        <v>274.89082312911711</v>
      </c>
      <c r="AG252" s="9">
        <v>274.89082312911711</v>
      </c>
      <c r="AH252" s="9">
        <v>274.89082312911711</v>
      </c>
      <c r="AI252" s="9">
        <v>274.89082312911711</v>
      </c>
      <c r="AJ252" s="9">
        <v>274.89082312911711</v>
      </c>
      <c r="AK252" s="9">
        <v>274.89082312911711</v>
      </c>
      <c r="AL252" s="9">
        <v>274.89082312911711</v>
      </c>
      <c r="AM252" s="9">
        <v>274.89082312911711</v>
      </c>
      <c r="AN252" s="9">
        <v>274.89082312911711</v>
      </c>
      <c r="AO252" s="9">
        <v>274.89082312911711</v>
      </c>
      <c r="AP252" s="9">
        <v>274.89082312911711</v>
      </c>
      <c r="AQ252" s="9">
        <v>274.89082312911711</v>
      </c>
      <c r="AR252" s="9">
        <v>274.89082312911711</v>
      </c>
      <c r="AS252" s="9">
        <v>274.89082312911711</v>
      </c>
      <c r="AT252" s="9">
        <v>274.89082312911711</v>
      </c>
      <c r="AU252" s="9">
        <v>274.89082312911711</v>
      </c>
      <c r="AV252" s="9">
        <v>274.89082312911711</v>
      </c>
      <c r="AW252" s="9">
        <v>274.89082312911711</v>
      </c>
      <c r="AX252" s="9">
        <v>274.89082312911711</v>
      </c>
      <c r="AY252" s="9">
        <v>274.89082312911711</v>
      </c>
      <c r="AZ252" s="9">
        <v>274.89082312911711</v>
      </c>
      <c r="BA252" s="9">
        <v>274.89082312911711</v>
      </c>
      <c r="BB252" s="9">
        <v>274.89082312911711</v>
      </c>
    </row>
    <row r="253" spans="3:54" ht="15" customHeight="1" x14ac:dyDescent="0.3">
      <c r="C253" s="46" t="s">
        <v>330</v>
      </c>
      <c r="E253" s="382"/>
      <c r="F253" s="382"/>
      <c r="G253" s="9">
        <v>30.03</v>
      </c>
      <c r="H253" s="9">
        <v>30.03</v>
      </c>
      <c r="I253" s="9">
        <v>30.03</v>
      </c>
      <c r="J253" s="9">
        <v>30.03</v>
      </c>
      <c r="K253" s="9">
        <v>30.03</v>
      </c>
      <c r="L253" s="9">
        <v>30.03</v>
      </c>
      <c r="M253" s="9">
        <v>30.03</v>
      </c>
      <c r="N253" s="9">
        <v>30.03</v>
      </c>
      <c r="O253" s="9">
        <v>30.03</v>
      </c>
      <c r="P253" s="9">
        <v>30.03</v>
      </c>
      <c r="Q253" s="9">
        <v>30.03</v>
      </c>
      <c r="R253" s="9">
        <v>30.03</v>
      </c>
      <c r="S253" s="9">
        <v>30.03</v>
      </c>
      <c r="T253" s="9">
        <v>30.03</v>
      </c>
      <c r="U253" s="9">
        <v>30.03</v>
      </c>
      <c r="V253" s="9">
        <v>30.03</v>
      </c>
      <c r="W253" s="9">
        <v>30.03</v>
      </c>
      <c r="X253" s="9">
        <v>30.03</v>
      </c>
      <c r="Y253" s="9">
        <v>30.03</v>
      </c>
      <c r="Z253" s="9">
        <v>30.03</v>
      </c>
      <c r="AA253" s="9">
        <v>30.03</v>
      </c>
      <c r="AB253" s="9">
        <v>30.03</v>
      </c>
      <c r="AC253" s="9">
        <v>30.03</v>
      </c>
      <c r="AD253" s="9">
        <v>30.03</v>
      </c>
      <c r="AE253" s="9">
        <v>30.03</v>
      </c>
      <c r="AF253" s="9">
        <v>30.03</v>
      </c>
      <c r="AG253" s="9">
        <v>30.03</v>
      </c>
      <c r="AH253" s="9">
        <v>30.03</v>
      </c>
      <c r="AI253" s="9">
        <v>30.03</v>
      </c>
      <c r="AJ253" s="9">
        <v>30.03</v>
      </c>
      <c r="AK253" s="9">
        <v>30.03</v>
      </c>
      <c r="AL253" s="9">
        <v>30.03</v>
      </c>
      <c r="AM253" s="9">
        <v>30.03</v>
      </c>
      <c r="AN253" s="9">
        <v>30.03</v>
      </c>
      <c r="AO253" s="9">
        <v>30.03</v>
      </c>
      <c r="AP253" s="9">
        <v>30.03</v>
      </c>
      <c r="AQ253" s="9">
        <v>30.03</v>
      </c>
      <c r="AR253" s="9">
        <v>30.03</v>
      </c>
      <c r="AS253" s="9">
        <v>30.03</v>
      </c>
      <c r="AT253" s="9">
        <v>30.03</v>
      </c>
      <c r="AU253" s="9">
        <v>30.03</v>
      </c>
      <c r="AV253" s="9">
        <v>30.03</v>
      </c>
      <c r="AW253" s="9">
        <v>30.03</v>
      </c>
      <c r="AX253" s="9">
        <v>30.03</v>
      </c>
      <c r="AY253" s="9">
        <v>30.03</v>
      </c>
      <c r="AZ253" s="9">
        <v>30.03</v>
      </c>
      <c r="BA253" s="9">
        <v>30.03</v>
      </c>
      <c r="BB253" s="9">
        <v>30.03</v>
      </c>
    </row>
    <row r="254" spans="3:54" ht="15" customHeight="1" x14ac:dyDescent="0.3">
      <c r="C254" s="46" t="s">
        <v>331</v>
      </c>
      <c r="E254" s="382"/>
      <c r="F254" s="382"/>
      <c r="G254" s="9">
        <v>106.98</v>
      </c>
      <c r="H254" s="9">
        <v>106.98</v>
      </c>
      <c r="I254" s="9">
        <v>106.98</v>
      </c>
      <c r="J254" s="9">
        <v>106.98</v>
      </c>
      <c r="K254" s="9">
        <v>106.98</v>
      </c>
      <c r="L254" s="9">
        <v>106.98</v>
      </c>
      <c r="M254" s="9">
        <v>106.98</v>
      </c>
      <c r="N254" s="9">
        <v>106.98</v>
      </c>
      <c r="O254" s="9">
        <v>106.98</v>
      </c>
      <c r="P254" s="9">
        <v>106.98</v>
      </c>
      <c r="Q254" s="9">
        <v>106.98</v>
      </c>
      <c r="R254" s="9">
        <v>106.98</v>
      </c>
      <c r="S254" s="9">
        <v>106.98</v>
      </c>
      <c r="T254" s="9">
        <v>106.98</v>
      </c>
      <c r="U254" s="9">
        <v>106.98</v>
      </c>
      <c r="V254" s="9">
        <v>106.98</v>
      </c>
      <c r="W254" s="9">
        <v>106.98</v>
      </c>
      <c r="X254" s="9">
        <v>106.98</v>
      </c>
      <c r="Y254" s="9">
        <v>106.98</v>
      </c>
      <c r="Z254" s="9">
        <v>106.98</v>
      </c>
      <c r="AA254" s="9">
        <v>106.98</v>
      </c>
      <c r="AB254" s="9">
        <v>106.98</v>
      </c>
      <c r="AC254" s="9">
        <v>106.98</v>
      </c>
      <c r="AD254" s="9">
        <v>106.98</v>
      </c>
      <c r="AE254" s="9">
        <v>106.98</v>
      </c>
      <c r="AF254" s="9">
        <v>106.98</v>
      </c>
      <c r="AG254" s="9">
        <v>106.98</v>
      </c>
      <c r="AH254" s="9">
        <v>106.98</v>
      </c>
      <c r="AI254" s="9">
        <v>106.98</v>
      </c>
      <c r="AJ254" s="9">
        <v>106.98</v>
      </c>
      <c r="AK254" s="9">
        <v>106.98</v>
      </c>
      <c r="AL254" s="9">
        <v>106.98</v>
      </c>
      <c r="AM254" s="9">
        <v>106.98</v>
      </c>
      <c r="AN254" s="9">
        <v>106.98</v>
      </c>
      <c r="AO254" s="9">
        <v>106.98</v>
      </c>
      <c r="AP254" s="9">
        <v>106.98</v>
      </c>
      <c r="AQ254" s="9">
        <v>106.98</v>
      </c>
      <c r="AR254" s="9">
        <v>106.98</v>
      </c>
      <c r="AS254" s="9">
        <v>106.98</v>
      </c>
      <c r="AT254" s="9">
        <v>106.98</v>
      </c>
      <c r="AU254" s="9">
        <v>106.98</v>
      </c>
      <c r="AV254" s="9">
        <v>106.98</v>
      </c>
      <c r="AW254" s="9">
        <v>106.98</v>
      </c>
      <c r="AX254" s="9">
        <v>106.98</v>
      </c>
      <c r="AY254" s="9">
        <v>106.98</v>
      </c>
      <c r="AZ254" s="9">
        <v>106.98</v>
      </c>
      <c r="BA254" s="9">
        <v>106.98</v>
      </c>
      <c r="BB254" s="9">
        <v>106.98</v>
      </c>
    </row>
    <row r="256" spans="3:54" ht="15" customHeight="1" x14ac:dyDescent="0.3">
      <c r="C256" s="47" t="s">
        <v>337</v>
      </c>
    </row>
    <row r="257" spans="3:54" ht="15" customHeight="1" x14ac:dyDescent="0.3">
      <c r="C257" s="46" t="s">
        <v>316</v>
      </c>
      <c r="E257" s="382" t="s">
        <v>208</v>
      </c>
      <c r="F257" s="382" t="s">
        <v>317</v>
      </c>
      <c r="G257" s="11">
        <v>40.063928716363655</v>
      </c>
      <c r="H257" s="11">
        <v>40.063928716363655</v>
      </c>
      <c r="I257" s="11">
        <v>40.063928716363655</v>
      </c>
      <c r="J257" s="11">
        <v>40.063928716363655</v>
      </c>
      <c r="K257" s="11">
        <v>40.063928716363655</v>
      </c>
      <c r="L257" s="11">
        <v>40.063928716363655</v>
      </c>
      <c r="M257" s="11">
        <v>40.063928716363655</v>
      </c>
      <c r="N257" s="11">
        <v>40.063928716363655</v>
      </c>
      <c r="O257" s="11">
        <v>40.063928716363655</v>
      </c>
      <c r="P257" s="11">
        <v>40.063928716363655</v>
      </c>
      <c r="Q257" s="11">
        <v>40.063928716363655</v>
      </c>
      <c r="R257" s="11">
        <v>40.063928716363655</v>
      </c>
      <c r="S257" s="11">
        <v>40.063928716363655</v>
      </c>
      <c r="T257" s="11">
        <v>40.063928716363655</v>
      </c>
      <c r="U257" s="11">
        <v>40.063928716363655</v>
      </c>
      <c r="V257" s="11">
        <v>40.063928716363655</v>
      </c>
      <c r="W257" s="11">
        <v>40.063928716363655</v>
      </c>
      <c r="X257" s="11">
        <v>40.063928716363655</v>
      </c>
      <c r="Y257" s="11">
        <v>40.063928716363655</v>
      </c>
      <c r="Z257" s="11">
        <v>40.063928716363655</v>
      </c>
      <c r="AA257" s="11">
        <v>40.063928716363655</v>
      </c>
      <c r="AB257" s="11">
        <v>40.063928716363655</v>
      </c>
      <c r="AC257" s="11">
        <v>40.063928716363655</v>
      </c>
      <c r="AD257" s="11">
        <v>40.063928716363655</v>
      </c>
      <c r="AE257" s="11">
        <v>40.063928716363655</v>
      </c>
      <c r="AF257" s="11">
        <v>40.063928716363655</v>
      </c>
      <c r="AG257" s="11">
        <v>40.063928716363655</v>
      </c>
      <c r="AH257" s="11">
        <v>40.063928716363655</v>
      </c>
      <c r="AI257" s="11">
        <v>40.063928716363655</v>
      </c>
      <c r="AJ257" s="11">
        <v>40.063928716363655</v>
      </c>
      <c r="AK257" s="11">
        <v>40.063928716363655</v>
      </c>
      <c r="AL257" s="11">
        <v>40.063928716363655</v>
      </c>
      <c r="AM257" s="11">
        <v>40.063928716363655</v>
      </c>
      <c r="AN257" s="11">
        <v>40.063928716363655</v>
      </c>
      <c r="AO257" s="11">
        <v>40.063928716363655</v>
      </c>
      <c r="AP257" s="11">
        <v>40.063928716363655</v>
      </c>
      <c r="AQ257" s="11">
        <v>40.063928716363655</v>
      </c>
      <c r="AR257" s="11">
        <v>40.063928716363655</v>
      </c>
      <c r="AS257" s="11">
        <v>40.063928716363655</v>
      </c>
      <c r="AT257" s="11">
        <v>40.063928716363655</v>
      </c>
      <c r="AU257" s="11">
        <v>40.063928716363655</v>
      </c>
      <c r="AV257" s="11">
        <v>40.063928716363655</v>
      </c>
      <c r="AW257" s="11">
        <v>40.063928716363655</v>
      </c>
      <c r="AX257" s="11">
        <v>40.063928716363655</v>
      </c>
      <c r="AY257" s="11">
        <v>40.063928716363655</v>
      </c>
      <c r="AZ257" s="11">
        <v>40.063928716363655</v>
      </c>
      <c r="BA257" s="11">
        <v>40.063928716363655</v>
      </c>
      <c r="BB257" s="11">
        <v>40.063928716363655</v>
      </c>
    </row>
    <row r="258" spans="3:54" ht="15" customHeight="1" x14ac:dyDescent="0.3">
      <c r="C258" s="46" t="s">
        <v>318</v>
      </c>
      <c r="E258" s="382"/>
      <c r="F258" s="382"/>
      <c r="G258" s="11">
        <v>24.643523819673064</v>
      </c>
      <c r="H258" s="11">
        <v>24.643523819673064</v>
      </c>
      <c r="I258" s="11">
        <v>24.643523819673064</v>
      </c>
      <c r="J258" s="11">
        <v>24.643523819673064</v>
      </c>
      <c r="K258" s="11">
        <v>24.643523819673064</v>
      </c>
      <c r="L258" s="11">
        <v>24.643523819673064</v>
      </c>
      <c r="M258" s="11">
        <v>24.643523819673064</v>
      </c>
      <c r="N258" s="11">
        <v>24.643523819673064</v>
      </c>
      <c r="O258" s="11">
        <v>24.643523819673064</v>
      </c>
      <c r="P258" s="11">
        <v>24.643523819673064</v>
      </c>
      <c r="Q258" s="11">
        <v>24.643523819673064</v>
      </c>
      <c r="R258" s="11">
        <v>24.643523819673064</v>
      </c>
      <c r="S258" s="11">
        <v>24.643523819673064</v>
      </c>
      <c r="T258" s="11">
        <v>24.643523819673064</v>
      </c>
      <c r="U258" s="11">
        <v>24.643523819673064</v>
      </c>
      <c r="V258" s="11">
        <v>24.643523819673064</v>
      </c>
      <c r="W258" s="11">
        <v>24.643523819673064</v>
      </c>
      <c r="X258" s="11">
        <v>24.643523819673064</v>
      </c>
      <c r="Y258" s="11">
        <v>24.643523819673064</v>
      </c>
      <c r="Z258" s="11">
        <v>24.643523819673064</v>
      </c>
      <c r="AA258" s="11">
        <v>24.643523819673064</v>
      </c>
      <c r="AB258" s="11">
        <v>24.643523819673064</v>
      </c>
      <c r="AC258" s="11">
        <v>24.643523819673064</v>
      </c>
      <c r="AD258" s="11">
        <v>24.643523819673064</v>
      </c>
      <c r="AE258" s="11">
        <v>24.643523819673064</v>
      </c>
      <c r="AF258" s="11">
        <v>24.643523819673064</v>
      </c>
      <c r="AG258" s="11">
        <v>24.643523819673064</v>
      </c>
      <c r="AH258" s="11">
        <v>24.643523819673064</v>
      </c>
      <c r="AI258" s="11">
        <v>24.643523819673064</v>
      </c>
      <c r="AJ258" s="11">
        <v>24.643523819673064</v>
      </c>
      <c r="AK258" s="11">
        <v>24.643523819673064</v>
      </c>
      <c r="AL258" s="11">
        <v>24.643523819673064</v>
      </c>
      <c r="AM258" s="11">
        <v>24.643523819673064</v>
      </c>
      <c r="AN258" s="11">
        <v>24.643523819673064</v>
      </c>
      <c r="AO258" s="11">
        <v>24.643523819673064</v>
      </c>
      <c r="AP258" s="11">
        <v>24.643523819673064</v>
      </c>
      <c r="AQ258" s="11">
        <v>24.643523819673064</v>
      </c>
      <c r="AR258" s="11">
        <v>24.643523819673064</v>
      </c>
      <c r="AS258" s="11">
        <v>24.643523819673064</v>
      </c>
      <c r="AT258" s="11">
        <v>24.643523819673064</v>
      </c>
      <c r="AU258" s="11">
        <v>24.643523819673064</v>
      </c>
      <c r="AV258" s="11">
        <v>24.643523819673064</v>
      </c>
      <c r="AW258" s="11">
        <v>24.643523819673064</v>
      </c>
      <c r="AX258" s="11">
        <v>24.643523819673064</v>
      </c>
      <c r="AY258" s="11">
        <v>24.643523819673064</v>
      </c>
      <c r="AZ258" s="11">
        <v>24.643523819673064</v>
      </c>
      <c r="BA258" s="11">
        <v>24.643523819673064</v>
      </c>
      <c r="BB258" s="11">
        <v>24.643523819673064</v>
      </c>
    </row>
    <row r="259" spans="3:54" ht="15" customHeight="1" x14ac:dyDescent="0.3">
      <c r="C259" s="46" t="s">
        <v>319</v>
      </c>
      <c r="E259" s="382"/>
      <c r="F259" s="382"/>
      <c r="G259" s="11">
        <v>22.411278003142929</v>
      </c>
      <c r="H259" s="11">
        <v>22.411278003142929</v>
      </c>
      <c r="I259" s="11">
        <v>22.411278003142929</v>
      </c>
      <c r="J259" s="11">
        <v>22.411278003142929</v>
      </c>
      <c r="K259" s="11">
        <v>22.411278003142929</v>
      </c>
      <c r="L259" s="11">
        <v>22.411278003142929</v>
      </c>
      <c r="M259" s="11">
        <v>22.411278003142929</v>
      </c>
      <c r="N259" s="11">
        <v>22.411278003142929</v>
      </c>
      <c r="O259" s="11">
        <v>22.411278003142929</v>
      </c>
      <c r="P259" s="11">
        <v>22.411278003142929</v>
      </c>
      <c r="Q259" s="11">
        <v>22.411278003142929</v>
      </c>
      <c r="R259" s="11">
        <v>22.411278003142929</v>
      </c>
      <c r="S259" s="11">
        <v>22.411278003142929</v>
      </c>
      <c r="T259" s="11">
        <v>22.411278003142929</v>
      </c>
      <c r="U259" s="11">
        <v>22.411278003142929</v>
      </c>
      <c r="V259" s="11">
        <v>22.411278003142929</v>
      </c>
      <c r="W259" s="11">
        <v>22.411278003142929</v>
      </c>
      <c r="X259" s="11">
        <v>22.411278003142929</v>
      </c>
      <c r="Y259" s="11">
        <v>22.411278003142929</v>
      </c>
      <c r="Z259" s="11">
        <v>22.411278003142929</v>
      </c>
      <c r="AA259" s="11">
        <v>22.411278003142929</v>
      </c>
      <c r="AB259" s="11">
        <v>22.411278003142929</v>
      </c>
      <c r="AC259" s="11">
        <v>22.411278003142929</v>
      </c>
      <c r="AD259" s="11">
        <v>22.411278003142929</v>
      </c>
      <c r="AE259" s="11">
        <v>22.411278003142929</v>
      </c>
      <c r="AF259" s="11">
        <v>22.411278003142929</v>
      </c>
      <c r="AG259" s="11">
        <v>22.411278003142929</v>
      </c>
      <c r="AH259" s="11">
        <v>22.411278003142929</v>
      </c>
      <c r="AI259" s="11">
        <v>22.411278003142929</v>
      </c>
      <c r="AJ259" s="11">
        <v>22.411278003142929</v>
      </c>
      <c r="AK259" s="11">
        <v>22.411278003142929</v>
      </c>
      <c r="AL259" s="11">
        <v>22.411278003142929</v>
      </c>
      <c r="AM259" s="11">
        <v>22.411278003142929</v>
      </c>
      <c r="AN259" s="11">
        <v>22.411278003142929</v>
      </c>
      <c r="AO259" s="11">
        <v>22.411278003142929</v>
      </c>
      <c r="AP259" s="11">
        <v>22.411278003142929</v>
      </c>
      <c r="AQ259" s="11">
        <v>22.411278003142929</v>
      </c>
      <c r="AR259" s="11">
        <v>22.411278003142929</v>
      </c>
      <c r="AS259" s="11">
        <v>22.411278003142929</v>
      </c>
      <c r="AT259" s="11">
        <v>22.411278003142929</v>
      </c>
      <c r="AU259" s="11">
        <v>22.411278003142929</v>
      </c>
      <c r="AV259" s="11">
        <v>22.411278003142929</v>
      </c>
      <c r="AW259" s="11">
        <v>22.411278003142929</v>
      </c>
      <c r="AX259" s="11">
        <v>22.411278003142929</v>
      </c>
      <c r="AY259" s="11">
        <v>22.411278003142929</v>
      </c>
      <c r="AZ259" s="11">
        <v>22.411278003142929</v>
      </c>
      <c r="BA259" s="11">
        <v>22.411278003142929</v>
      </c>
      <c r="BB259" s="11">
        <v>22.411278003142929</v>
      </c>
    </row>
    <row r="260" spans="3:54" ht="15" customHeight="1" x14ac:dyDescent="0.3">
      <c r="C260" s="46" t="s">
        <v>320</v>
      </c>
      <c r="E260" s="382"/>
      <c r="F260" s="382"/>
      <c r="G260" s="11">
        <v>433.01606557760567</v>
      </c>
      <c r="H260" s="11">
        <v>433.01606557760567</v>
      </c>
      <c r="I260" s="11">
        <v>433.01606557760567</v>
      </c>
      <c r="J260" s="11">
        <v>433.01606557760567</v>
      </c>
      <c r="K260" s="11">
        <v>433.01606557760567</v>
      </c>
      <c r="L260" s="11">
        <v>433.01606557760567</v>
      </c>
      <c r="M260" s="11">
        <v>433.01606557760567</v>
      </c>
      <c r="N260" s="11">
        <v>433.01606557760567</v>
      </c>
      <c r="O260" s="11">
        <v>433.01606557760567</v>
      </c>
      <c r="P260" s="11">
        <v>433.01606557760567</v>
      </c>
      <c r="Q260" s="11">
        <v>433.01606557760567</v>
      </c>
      <c r="R260" s="11">
        <v>433.01606557760567</v>
      </c>
      <c r="S260" s="11">
        <v>433.01606557760567</v>
      </c>
      <c r="T260" s="11">
        <v>433.01606557760567</v>
      </c>
      <c r="U260" s="11">
        <v>433.01606557760567</v>
      </c>
      <c r="V260" s="11">
        <v>433.01606557760567</v>
      </c>
      <c r="W260" s="11">
        <v>433.01606557760567</v>
      </c>
      <c r="X260" s="11">
        <v>433.01606557760567</v>
      </c>
      <c r="Y260" s="11">
        <v>433.01606557760567</v>
      </c>
      <c r="Z260" s="11">
        <v>433.01606557760567</v>
      </c>
      <c r="AA260" s="11">
        <v>433.01606557760567</v>
      </c>
      <c r="AB260" s="11">
        <v>433.01606557760567</v>
      </c>
      <c r="AC260" s="11">
        <v>433.01606557760567</v>
      </c>
      <c r="AD260" s="11">
        <v>433.01606557760567</v>
      </c>
      <c r="AE260" s="11">
        <v>433.01606557760567</v>
      </c>
      <c r="AF260" s="11">
        <v>433.01606557760567</v>
      </c>
      <c r="AG260" s="11">
        <v>433.01606557760567</v>
      </c>
      <c r="AH260" s="11">
        <v>433.01606557760567</v>
      </c>
      <c r="AI260" s="11">
        <v>433.01606557760567</v>
      </c>
      <c r="AJ260" s="11">
        <v>433.01606557760567</v>
      </c>
      <c r="AK260" s="11">
        <v>433.01606557760567</v>
      </c>
      <c r="AL260" s="11">
        <v>433.01606557760567</v>
      </c>
      <c r="AM260" s="11">
        <v>433.01606557760567</v>
      </c>
      <c r="AN260" s="11">
        <v>433.01606557760567</v>
      </c>
      <c r="AO260" s="11">
        <v>433.01606557760567</v>
      </c>
      <c r="AP260" s="11">
        <v>433.01606557760567</v>
      </c>
      <c r="AQ260" s="11">
        <v>433.01606557760567</v>
      </c>
      <c r="AR260" s="11">
        <v>433.01606557760567</v>
      </c>
      <c r="AS260" s="11">
        <v>433.01606557760567</v>
      </c>
      <c r="AT260" s="11">
        <v>433.01606557760567</v>
      </c>
      <c r="AU260" s="11">
        <v>433.01606557760567</v>
      </c>
      <c r="AV260" s="11">
        <v>433.01606557760567</v>
      </c>
      <c r="AW260" s="11">
        <v>433.01606557760567</v>
      </c>
      <c r="AX260" s="11">
        <v>433.01606557760567</v>
      </c>
      <c r="AY260" s="11">
        <v>433.01606557760567</v>
      </c>
      <c r="AZ260" s="11">
        <v>433.01606557760567</v>
      </c>
      <c r="BA260" s="11">
        <v>433.01606557760567</v>
      </c>
      <c r="BB260" s="11">
        <v>433.01606557760567</v>
      </c>
    </row>
    <row r="261" spans="3:54" ht="15" customHeight="1" x14ac:dyDescent="0.3">
      <c r="C261" s="46" t="s">
        <v>321</v>
      </c>
      <c r="E261" s="382"/>
      <c r="F261" s="382"/>
      <c r="G261" s="11">
        <v>1.9297139669349841</v>
      </c>
      <c r="H261" s="11">
        <v>1.9297139669349841</v>
      </c>
      <c r="I261" s="11">
        <v>1.9297139669349841</v>
      </c>
      <c r="J261" s="11">
        <v>1.9297139669349841</v>
      </c>
      <c r="K261" s="11">
        <v>1.9297139669349841</v>
      </c>
      <c r="L261" s="11">
        <v>1.9297139669349841</v>
      </c>
      <c r="M261" s="11">
        <v>1.9297139669349841</v>
      </c>
      <c r="N261" s="11">
        <v>1.9297139669349841</v>
      </c>
      <c r="O261" s="11">
        <v>1.9297139669349841</v>
      </c>
      <c r="P261" s="11">
        <v>1.9297139669349841</v>
      </c>
      <c r="Q261" s="11">
        <v>1.9297139669349841</v>
      </c>
      <c r="R261" s="11">
        <v>1.9297139669349841</v>
      </c>
      <c r="S261" s="11">
        <v>1.9297139669349841</v>
      </c>
      <c r="T261" s="11">
        <v>1.9297139669349841</v>
      </c>
      <c r="U261" s="11">
        <v>1.9297139669349841</v>
      </c>
      <c r="V261" s="11">
        <v>1.9297139669349841</v>
      </c>
      <c r="W261" s="11">
        <v>1.9297139669349841</v>
      </c>
      <c r="X261" s="11">
        <v>1.9297139669349841</v>
      </c>
      <c r="Y261" s="11">
        <v>1.9297139669349841</v>
      </c>
      <c r="Z261" s="11">
        <v>1.9297139669349841</v>
      </c>
      <c r="AA261" s="11">
        <v>1.9297139669349841</v>
      </c>
      <c r="AB261" s="11">
        <v>1.9297139669349841</v>
      </c>
      <c r="AC261" s="11">
        <v>1.9297139669349841</v>
      </c>
      <c r="AD261" s="11">
        <v>1.9297139669349841</v>
      </c>
      <c r="AE261" s="11">
        <v>1.9297139669349841</v>
      </c>
      <c r="AF261" s="11">
        <v>1.9297139669349841</v>
      </c>
      <c r="AG261" s="11">
        <v>1.9297139669349841</v>
      </c>
      <c r="AH261" s="11">
        <v>1.9297139669349841</v>
      </c>
      <c r="AI261" s="11">
        <v>1.9297139669349841</v>
      </c>
      <c r="AJ261" s="11">
        <v>1.9297139669349841</v>
      </c>
      <c r="AK261" s="11">
        <v>1.9297139669349841</v>
      </c>
      <c r="AL261" s="11">
        <v>1.9297139669349841</v>
      </c>
      <c r="AM261" s="11">
        <v>1.9297139669349841</v>
      </c>
      <c r="AN261" s="11">
        <v>1.9297139669349841</v>
      </c>
      <c r="AO261" s="11">
        <v>1.9297139669349841</v>
      </c>
      <c r="AP261" s="11">
        <v>1.9297139669349841</v>
      </c>
      <c r="AQ261" s="11">
        <v>1.9297139669349841</v>
      </c>
      <c r="AR261" s="11">
        <v>1.9297139669349841</v>
      </c>
      <c r="AS261" s="11">
        <v>1.9297139669349841</v>
      </c>
      <c r="AT261" s="11">
        <v>1.9297139669349841</v>
      </c>
      <c r="AU261" s="11">
        <v>1.9297139669349841</v>
      </c>
      <c r="AV261" s="11">
        <v>1.9297139669349841</v>
      </c>
      <c r="AW261" s="11">
        <v>1.9297139669349841</v>
      </c>
      <c r="AX261" s="11">
        <v>1.9297139669349841</v>
      </c>
      <c r="AY261" s="11">
        <v>1.9297139669349841</v>
      </c>
      <c r="AZ261" s="11">
        <v>1.9297139669349841</v>
      </c>
      <c r="BA261" s="11">
        <v>1.9297139669349841</v>
      </c>
      <c r="BB261" s="11">
        <v>1.9297139669349841</v>
      </c>
    </row>
    <row r="262" spans="3:54" ht="15" customHeight="1" x14ac:dyDescent="0.3">
      <c r="C262" s="46" t="s">
        <v>322</v>
      </c>
      <c r="E262" s="382"/>
      <c r="F262" s="382"/>
      <c r="G262" s="11">
        <v>273.41862934226174</v>
      </c>
      <c r="H262" s="11">
        <v>273.41862934226174</v>
      </c>
      <c r="I262" s="11">
        <v>273.41862934226174</v>
      </c>
      <c r="J262" s="11">
        <v>273.41862934226174</v>
      </c>
      <c r="K262" s="11">
        <v>273.41862934226174</v>
      </c>
      <c r="L262" s="11">
        <v>273.41862934226174</v>
      </c>
      <c r="M262" s="11">
        <v>273.41862934226174</v>
      </c>
      <c r="N262" s="11">
        <v>273.41862934226174</v>
      </c>
      <c r="O262" s="11">
        <v>273.41862934226174</v>
      </c>
      <c r="P262" s="11">
        <v>273.41862934226174</v>
      </c>
      <c r="Q262" s="11">
        <v>273.41862934226174</v>
      </c>
      <c r="R262" s="11">
        <v>273.41862934226174</v>
      </c>
      <c r="S262" s="11">
        <v>273.41862934226174</v>
      </c>
      <c r="T262" s="11">
        <v>273.41862934226174</v>
      </c>
      <c r="U262" s="11">
        <v>273.41862934226174</v>
      </c>
      <c r="V262" s="11">
        <v>273.41862934226174</v>
      </c>
      <c r="W262" s="11">
        <v>273.41862934226174</v>
      </c>
      <c r="X262" s="11">
        <v>273.41862934226174</v>
      </c>
      <c r="Y262" s="11">
        <v>273.41862934226174</v>
      </c>
      <c r="Z262" s="11">
        <v>273.41862934226174</v>
      </c>
      <c r="AA262" s="11">
        <v>273.41862934226174</v>
      </c>
      <c r="AB262" s="11">
        <v>273.41862934226174</v>
      </c>
      <c r="AC262" s="11">
        <v>273.41862934226174</v>
      </c>
      <c r="AD262" s="11">
        <v>273.41862934226174</v>
      </c>
      <c r="AE262" s="11">
        <v>273.41862934226174</v>
      </c>
      <c r="AF262" s="11">
        <v>273.41862934226174</v>
      </c>
      <c r="AG262" s="11">
        <v>273.41862934226174</v>
      </c>
      <c r="AH262" s="11">
        <v>273.41862934226174</v>
      </c>
      <c r="AI262" s="11">
        <v>273.41862934226174</v>
      </c>
      <c r="AJ262" s="11">
        <v>273.41862934226174</v>
      </c>
      <c r="AK262" s="11">
        <v>273.41862934226174</v>
      </c>
      <c r="AL262" s="11">
        <v>273.41862934226174</v>
      </c>
      <c r="AM262" s="11">
        <v>273.41862934226174</v>
      </c>
      <c r="AN262" s="11">
        <v>273.41862934226174</v>
      </c>
      <c r="AO262" s="11">
        <v>273.41862934226174</v>
      </c>
      <c r="AP262" s="11">
        <v>273.41862934226174</v>
      </c>
      <c r="AQ262" s="11">
        <v>273.41862934226174</v>
      </c>
      <c r="AR262" s="11">
        <v>273.41862934226174</v>
      </c>
      <c r="AS262" s="11">
        <v>273.41862934226174</v>
      </c>
      <c r="AT262" s="11">
        <v>273.41862934226174</v>
      </c>
      <c r="AU262" s="11">
        <v>273.41862934226174</v>
      </c>
      <c r="AV262" s="11">
        <v>273.41862934226174</v>
      </c>
      <c r="AW262" s="11">
        <v>273.41862934226174</v>
      </c>
      <c r="AX262" s="11">
        <v>273.41862934226174</v>
      </c>
      <c r="AY262" s="11">
        <v>273.41862934226174</v>
      </c>
      <c r="AZ262" s="11">
        <v>273.41862934226174</v>
      </c>
      <c r="BA262" s="11">
        <v>273.41862934226174</v>
      </c>
      <c r="BB262" s="11">
        <v>273.41862934226174</v>
      </c>
    </row>
    <row r="263" spans="3:54" ht="15" customHeight="1" x14ac:dyDescent="0.3">
      <c r="C263" s="46" t="s">
        <v>323</v>
      </c>
      <c r="E263" s="382"/>
      <c r="F263" s="382"/>
      <c r="G263" s="11">
        <v>2.2480544508007001</v>
      </c>
      <c r="H263" s="11">
        <v>2.2480544508007001</v>
      </c>
      <c r="I263" s="11">
        <v>2.2480544508007001</v>
      </c>
      <c r="J263" s="11">
        <v>2.2480544508007001</v>
      </c>
      <c r="K263" s="11">
        <v>2.2480544508007001</v>
      </c>
      <c r="L263" s="11">
        <v>2.2480544508007001</v>
      </c>
      <c r="M263" s="11">
        <v>2.2480544508007001</v>
      </c>
      <c r="N263" s="11">
        <v>2.2480544508007001</v>
      </c>
      <c r="O263" s="11">
        <v>2.2480544508007001</v>
      </c>
      <c r="P263" s="11">
        <v>2.2480544508007001</v>
      </c>
      <c r="Q263" s="11">
        <v>2.2480544508007001</v>
      </c>
      <c r="R263" s="11">
        <v>2.2480544508007001</v>
      </c>
      <c r="S263" s="11">
        <v>2.2480544508007001</v>
      </c>
      <c r="T263" s="11">
        <v>2.2480544508007001</v>
      </c>
      <c r="U263" s="11">
        <v>2.2480544508007001</v>
      </c>
      <c r="V263" s="11">
        <v>2.2480544508007001</v>
      </c>
      <c r="W263" s="11">
        <v>2.2480544508007001</v>
      </c>
      <c r="X263" s="11">
        <v>2.2480544508007001</v>
      </c>
      <c r="Y263" s="11">
        <v>2.2480544508007001</v>
      </c>
      <c r="Z263" s="11">
        <v>2.2480544508007001</v>
      </c>
      <c r="AA263" s="11">
        <v>2.2480544508007001</v>
      </c>
      <c r="AB263" s="11">
        <v>2.2480544508007001</v>
      </c>
      <c r="AC263" s="11">
        <v>2.2480544508007001</v>
      </c>
      <c r="AD263" s="11">
        <v>2.2480544508007001</v>
      </c>
      <c r="AE263" s="11">
        <v>2.2480544508007001</v>
      </c>
      <c r="AF263" s="11">
        <v>2.2480544508007001</v>
      </c>
      <c r="AG263" s="11">
        <v>2.2480544508007001</v>
      </c>
      <c r="AH263" s="11">
        <v>2.2480544508007001</v>
      </c>
      <c r="AI263" s="11">
        <v>2.2480544508007001</v>
      </c>
      <c r="AJ263" s="11">
        <v>2.2480544508007001</v>
      </c>
      <c r="AK263" s="11">
        <v>2.2480544508007001</v>
      </c>
      <c r="AL263" s="11">
        <v>2.2480544508007001</v>
      </c>
      <c r="AM263" s="11">
        <v>2.2480544508007001</v>
      </c>
      <c r="AN263" s="11">
        <v>2.2480544508007001</v>
      </c>
      <c r="AO263" s="11">
        <v>2.2480544508007001</v>
      </c>
      <c r="AP263" s="11">
        <v>2.2480544508007001</v>
      </c>
      <c r="AQ263" s="11">
        <v>2.2480544508007001</v>
      </c>
      <c r="AR263" s="11">
        <v>2.2480544508007001</v>
      </c>
      <c r="AS263" s="11">
        <v>2.2480544508007001</v>
      </c>
      <c r="AT263" s="11">
        <v>2.2480544508007001</v>
      </c>
      <c r="AU263" s="11">
        <v>2.2480544508007001</v>
      </c>
      <c r="AV263" s="11">
        <v>2.2480544508007001</v>
      </c>
      <c r="AW263" s="11">
        <v>2.2480544508007001</v>
      </c>
      <c r="AX263" s="11">
        <v>2.2480544508007001</v>
      </c>
      <c r="AY263" s="11">
        <v>2.2480544508007001</v>
      </c>
      <c r="AZ263" s="11">
        <v>2.2480544508007001</v>
      </c>
      <c r="BA263" s="11">
        <v>2.2480544508007001</v>
      </c>
      <c r="BB263" s="11">
        <v>2.2480544508007001</v>
      </c>
    </row>
    <row r="264" spans="3:54" ht="15" customHeight="1" x14ac:dyDescent="0.3">
      <c r="C264" s="46" t="s">
        <v>324</v>
      </c>
      <c r="E264" s="382"/>
      <c r="F264" s="382"/>
      <c r="G264" s="11">
        <v>6.7242993738295391</v>
      </c>
      <c r="H264" s="11">
        <v>6.7242993738295391</v>
      </c>
      <c r="I264" s="11">
        <v>6.7242993738295391</v>
      </c>
      <c r="J264" s="11">
        <v>6.7242993738295391</v>
      </c>
      <c r="K264" s="11">
        <v>6.7242993738295391</v>
      </c>
      <c r="L264" s="11">
        <v>6.7242993738295391</v>
      </c>
      <c r="M264" s="11">
        <v>6.7242993738295391</v>
      </c>
      <c r="N264" s="11">
        <v>6.7242993738295391</v>
      </c>
      <c r="O264" s="11">
        <v>6.7242993738295391</v>
      </c>
      <c r="P264" s="11">
        <v>6.7242993738295391</v>
      </c>
      <c r="Q264" s="11">
        <v>6.7242993738295391</v>
      </c>
      <c r="R264" s="11">
        <v>6.7242993738295391</v>
      </c>
      <c r="S264" s="11">
        <v>6.7242993738295391</v>
      </c>
      <c r="T264" s="11">
        <v>6.7242993738295391</v>
      </c>
      <c r="U264" s="11">
        <v>6.7242993738295391</v>
      </c>
      <c r="V264" s="11">
        <v>6.7242993738295391</v>
      </c>
      <c r="W264" s="11">
        <v>6.7242993738295391</v>
      </c>
      <c r="X264" s="11">
        <v>6.7242993738295391</v>
      </c>
      <c r="Y264" s="11">
        <v>6.7242993738295391</v>
      </c>
      <c r="Z264" s="11">
        <v>6.7242993738295391</v>
      </c>
      <c r="AA264" s="11">
        <v>6.7242993738295391</v>
      </c>
      <c r="AB264" s="11">
        <v>6.7242993738295391</v>
      </c>
      <c r="AC264" s="11">
        <v>6.7242993738295391</v>
      </c>
      <c r="AD264" s="11">
        <v>6.7242993738295391</v>
      </c>
      <c r="AE264" s="11">
        <v>6.7242993738295391</v>
      </c>
      <c r="AF264" s="11">
        <v>6.7242993738295391</v>
      </c>
      <c r="AG264" s="11">
        <v>6.7242993738295391</v>
      </c>
      <c r="AH264" s="11">
        <v>6.7242993738295391</v>
      </c>
      <c r="AI264" s="11">
        <v>6.7242993738295391</v>
      </c>
      <c r="AJ264" s="11">
        <v>6.7242993738295391</v>
      </c>
      <c r="AK264" s="11">
        <v>6.7242993738295391</v>
      </c>
      <c r="AL264" s="11">
        <v>6.7242993738295391</v>
      </c>
      <c r="AM264" s="11">
        <v>6.7242993738295391</v>
      </c>
      <c r="AN264" s="11">
        <v>6.7242993738295391</v>
      </c>
      <c r="AO264" s="11">
        <v>6.7242993738295391</v>
      </c>
      <c r="AP264" s="11">
        <v>6.7242993738295391</v>
      </c>
      <c r="AQ264" s="11">
        <v>6.7242993738295391</v>
      </c>
      <c r="AR264" s="11">
        <v>6.7242993738295391</v>
      </c>
      <c r="AS264" s="11">
        <v>6.7242993738295391</v>
      </c>
      <c r="AT264" s="11">
        <v>6.7242993738295391</v>
      </c>
      <c r="AU264" s="11">
        <v>6.7242993738295391</v>
      </c>
      <c r="AV264" s="11">
        <v>6.7242993738295391</v>
      </c>
      <c r="AW264" s="11">
        <v>6.7242993738295391</v>
      </c>
      <c r="AX264" s="11">
        <v>6.7242993738295391</v>
      </c>
      <c r="AY264" s="11">
        <v>6.7242993738295391</v>
      </c>
      <c r="AZ264" s="11">
        <v>6.7242993738295391</v>
      </c>
      <c r="BA264" s="11">
        <v>6.7242993738295391</v>
      </c>
      <c r="BB264" s="11">
        <v>6.7242993738295391</v>
      </c>
    </row>
    <row r="265" spans="3:54" ht="15" customHeight="1" x14ac:dyDescent="0.3">
      <c r="C265" s="46" t="s">
        <v>325</v>
      </c>
      <c r="E265" s="382"/>
      <c r="F265" s="382"/>
      <c r="G265" s="11">
        <v>7.3517019541514399</v>
      </c>
      <c r="H265" s="11">
        <v>7.3517019541514399</v>
      </c>
      <c r="I265" s="11">
        <v>7.3517019541514399</v>
      </c>
      <c r="J265" s="11">
        <v>7.3517019541514399</v>
      </c>
      <c r="K265" s="11">
        <v>7.3517019541514399</v>
      </c>
      <c r="L265" s="11">
        <v>7.3517019541514399</v>
      </c>
      <c r="M265" s="11">
        <v>7.3517019541514399</v>
      </c>
      <c r="N265" s="11">
        <v>7.3517019541514399</v>
      </c>
      <c r="O265" s="11">
        <v>7.3517019541514399</v>
      </c>
      <c r="P265" s="11">
        <v>7.3517019541514399</v>
      </c>
      <c r="Q265" s="11">
        <v>7.3517019541514399</v>
      </c>
      <c r="R265" s="11">
        <v>7.3517019541514399</v>
      </c>
      <c r="S265" s="11">
        <v>7.3517019541514399</v>
      </c>
      <c r="T265" s="11">
        <v>7.3517019541514399</v>
      </c>
      <c r="U265" s="11">
        <v>7.3517019541514399</v>
      </c>
      <c r="V265" s="11">
        <v>7.3517019541514399</v>
      </c>
      <c r="W265" s="11">
        <v>7.3517019541514399</v>
      </c>
      <c r="X265" s="11">
        <v>7.3517019541514399</v>
      </c>
      <c r="Y265" s="11">
        <v>7.3517019541514399</v>
      </c>
      <c r="Z265" s="11">
        <v>7.3517019541514399</v>
      </c>
      <c r="AA265" s="11">
        <v>7.3517019541514399</v>
      </c>
      <c r="AB265" s="11">
        <v>7.3517019541514399</v>
      </c>
      <c r="AC265" s="11">
        <v>7.3517019541514399</v>
      </c>
      <c r="AD265" s="11">
        <v>7.3517019541514399</v>
      </c>
      <c r="AE265" s="11">
        <v>7.3517019541514399</v>
      </c>
      <c r="AF265" s="11">
        <v>7.3517019541514399</v>
      </c>
      <c r="AG265" s="11">
        <v>7.3517019541514399</v>
      </c>
      <c r="AH265" s="11">
        <v>7.3517019541514399</v>
      </c>
      <c r="AI265" s="11">
        <v>7.3517019541514399</v>
      </c>
      <c r="AJ265" s="11">
        <v>7.3517019541514399</v>
      </c>
      <c r="AK265" s="11">
        <v>7.3517019541514399</v>
      </c>
      <c r="AL265" s="11">
        <v>7.3517019541514399</v>
      </c>
      <c r="AM265" s="11">
        <v>7.3517019541514399</v>
      </c>
      <c r="AN265" s="11">
        <v>7.3517019541514399</v>
      </c>
      <c r="AO265" s="11">
        <v>7.3517019541514399</v>
      </c>
      <c r="AP265" s="11">
        <v>7.3517019541514399</v>
      </c>
      <c r="AQ265" s="11">
        <v>7.3517019541514399</v>
      </c>
      <c r="AR265" s="11">
        <v>7.3517019541514399</v>
      </c>
      <c r="AS265" s="11">
        <v>7.3517019541514399</v>
      </c>
      <c r="AT265" s="11">
        <v>7.3517019541514399</v>
      </c>
      <c r="AU265" s="11">
        <v>7.3517019541514399</v>
      </c>
      <c r="AV265" s="11">
        <v>7.3517019541514399</v>
      </c>
      <c r="AW265" s="11">
        <v>7.3517019541514399</v>
      </c>
      <c r="AX265" s="11">
        <v>7.3517019541514399</v>
      </c>
      <c r="AY265" s="11">
        <v>7.3517019541514399</v>
      </c>
      <c r="AZ265" s="11">
        <v>7.3517019541514399</v>
      </c>
      <c r="BA265" s="11">
        <v>7.3517019541514399</v>
      </c>
      <c r="BB265" s="11">
        <v>7.3517019541514399</v>
      </c>
    </row>
    <row r="266" spans="3:54" ht="15" customHeight="1" x14ac:dyDescent="0.3">
      <c r="C266" s="46" t="s">
        <v>326</v>
      </c>
      <c r="E266" s="382"/>
      <c r="F266" s="382"/>
      <c r="G266" s="11">
        <v>99.46735101226119</v>
      </c>
      <c r="H266" s="11">
        <v>99.46735101226119</v>
      </c>
      <c r="I266" s="11">
        <v>99.46735101226119</v>
      </c>
      <c r="J266" s="11">
        <v>99.46735101226119</v>
      </c>
      <c r="K266" s="11">
        <v>99.46735101226119</v>
      </c>
      <c r="L266" s="11">
        <v>99.46735101226119</v>
      </c>
      <c r="M266" s="11">
        <v>99.46735101226119</v>
      </c>
      <c r="N266" s="11">
        <v>99.46735101226119</v>
      </c>
      <c r="O266" s="11">
        <v>99.46735101226119</v>
      </c>
      <c r="P266" s="11">
        <v>99.46735101226119</v>
      </c>
      <c r="Q266" s="11">
        <v>99.46735101226119</v>
      </c>
      <c r="R266" s="11">
        <v>99.46735101226119</v>
      </c>
      <c r="S266" s="11">
        <v>99.46735101226119</v>
      </c>
      <c r="T266" s="11">
        <v>99.46735101226119</v>
      </c>
      <c r="U266" s="11">
        <v>99.46735101226119</v>
      </c>
      <c r="V266" s="11">
        <v>99.46735101226119</v>
      </c>
      <c r="W266" s="11">
        <v>99.46735101226119</v>
      </c>
      <c r="X266" s="11">
        <v>99.46735101226119</v>
      </c>
      <c r="Y266" s="11">
        <v>99.46735101226119</v>
      </c>
      <c r="Z266" s="11">
        <v>99.46735101226119</v>
      </c>
      <c r="AA266" s="11">
        <v>99.46735101226119</v>
      </c>
      <c r="AB266" s="11">
        <v>99.46735101226119</v>
      </c>
      <c r="AC266" s="11">
        <v>99.46735101226119</v>
      </c>
      <c r="AD266" s="11">
        <v>99.46735101226119</v>
      </c>
      <c r="AE266" s="11">
        <v>99.46735101226119</v>
      </c>
      <c r="AF266" s="11">
        <v>99.46735101226119</v>
      </c>
      <c r="AG266" s="11">
        <v>99.46735101226119</v>
      </c>
      <c r="AH266" s="11">
        <v>99.46735101226119</v>
      </c>
      <c r="AI266" s="11">
        <v>99.46735101226119</v>
      </c>
      <c r="AJ266" s="11">
        <v>99.46735101226119</v>
      </c>
      <c r="AK266" s="11">
        <v>99.46735101226119</v>
      </c>
      <c r="AL266" s="11">
        <v>99.46735101226119</v>
      </c>
      <c r="AM266" s="11">
        <v>99.46735101226119</v>
      </c>
      <c r="AN266" s="11">
        <v>99.46735101226119</v>
      </c>
      <c r="AO266" s="11">
        <v>99.46735101226119</v>
      </c>
      <c r="AP266" s="11">
        <v>99.46735101226119</v>
      </c>
      <c r="AQ266" s="11">
        <v>99.46735101226119</v>
      </c>
      <c r="AR266" s="11">
        <v>99.46735101226119</v>
      </c>
      <c r="AS266" s="11">
        <v>99.46735101226119</v>
      </c>
      <c r="AT266" s="11">
        <v>99.46735101226119</v>
      </c>
      <c r="AU266" s="11">
        <v>99.46735101226119</v>
      </c>
      <c r="AV266" s="11">
        <v>99.46735101226119</v>
      </c>
      <c r="AW266" s="11">
        <v>99.46735101226119</v>
      </c>
      <c r="AX266" s="11">
        <v>99.46735101226119</v>
      </c>
      <c r="AY266" s="11">
        <v>99.46735101226119</v>
      </c>
      <c r="AZ266" s="11">
        <v>99.46735101226119</v>
      </c>
      <c r="BA266" s="11">
        <v>99.46735101226119</v>
      </c>
      <c r="BB266" s="11">
        <v>99.46735101226119</v>
      </c>
    </row>
    <row r="267" spans="3:54" ht="15" customHeight="1" x14ac:dyDescent="0.3">
      <c r="C267" s="46" t="s">
        <v>327</v>
      </c>
      <c r="E267" s="382"/>
      <c r="F267" s="382"/>
      <c r="G267" s="11">
        <v>72.883314675163305</v>
      </c>
      <c r="H267" s="11">
        <v>72.883314675163305</v>
      </c>
      <c r="I267" s="11">
        <v>72.883314675163305</v>
      </c>
      <c r="J267" s="11">
        <v>72.883314675163305</v>
      </c>
      <c r="K267" s="11">
        <v>72.883314675163305</v>
      </c>
      <c r="L267" s="11">
        <v>72.883314675163305</v>
      </c>
      <c r="M267" s="11">
        <v>72.883314675163305</v>
      </c>
      <c r="N267" s="11">
        <v>72.883314675163305</v>
      </c>
      <c r="O267" s="11">
        <v>72.883314675163305</v>
      </c>
      <c r="P267" s="11">
        <v>72.883314675163305</v>
      </c>
      <c r="Q267" s="11">
        <v>72.883314675163305</v>
      </c>
      <c r="R267" s="11">
        <v>72.883314675163305</v>
      </c>
      <c r="S267" s="11">
        <v>72.883314675163305</v>
      </c>
      <c r="T267" s="11">
        <v>72.883314675163305</v>
      </c>
      <c r="U267" s="11">
        <v>72.883314675163305</v>
      </c>
      <c r="V267" s="11">
        <v>72.883314675163305</v>
      </c>
      <c r="W267" s="11">
        <v>72.883314675163305</v>
      </c>
      <c r="X267" s="11">
        <v>72.883314675163305</v>
      </c>
      <c r="Y267" s="11">
        <v>72.883314675163305</v>
      </c>
      <c r="Z267" s="11">
        <v>72.883314675163305</v>
      </c>
      <c r="AA267" s="11">
        <v>72.883314675163305</v>
      </c>
      <c r="AB267" s="11">
        <v>72.883314675163305</v>
      </c>
      <c r="AC267" s="11">
        <v>72.883314675163305</v>
      </c>
      <c r="AD267" s="11">
        <v>72.883314675163305</v>
      </c>
      <c r="AE267" s="11">
        <v>72.883314675163305</v>
      </c>
      <c r="AF267" s="11">
        <v>72.883314675163305</v>
      </c>
      <c r="AG267" s="11">
        <v>72.883314675163305</v>
      </c>
      <c r="AH267" s="11">
        <v>72.883314675163305</v>
      </c>
      <c r="AI267" s="11">
        <v>72.883314675163305</v>
      </c>
      <c r="AJ267" s="11">
        <v>72.883314675163305</v>
      </c>
      <c r="AK267" s="11">
        <v>72.883314675163305</v>
      </c>
      <c r="AL267" s="11">
        <v>72.883314675163305</v>
      </c>
      <c r="AM267" s="11">
        <v>72.883314675163305</v>
      </c>
      <c r="AN267" s="11">
        <v>72.883314675163305</v>
      </c>
      <c r="AO267" s="11">
        <v>72.883314675163305</v>
      </c>
      <c r="AP267" s="11">
        <v>72.883314675163305</v>
      </c>
      <c r="AQ267" s="11">
        <v>72.883314675163305</v>
      </c>
      <c r="AR267" s="11">
        <v>72.883314675163305</v>
      </c>
      <c r="AS267" s="11">
        <v>72.883314675163305</v>
      </c>
      <c r="AT267" s="11">
        <v>72.883314675163305</v>
      </c>
      <c r="AU267" s="11">
        <v>72.883314675163305</v>
      </c>
      <c r="AV267" s="11">
        <v>72.883314675163305</v>
      </c>
      <c r="AW267" s="11">
        <v>72.883314675163305</v>
      </c>
      <c r="AX267" s="11">
        <v>72.883314675163305</v>
      </c>
      <c r="AY267" s="11">
        <v>72.883314675163305</v>
      </c>
      <c r="AZ267" s="11">
        <v>72.883314675163305</v>
      </c>
      <c r="BA267" s="11">
        <v>72.883314675163305</v>
      </c>
      <c r="BB267" s="11">
        <v>72.883314675163305</v>
      </c>
    </row>
    <row r="268" spans="3:54" ht="15" customHeight="1" x14ac:dyDescent="0.3">
      <c r="C268" s="46" t="s">
        <v>328</v>
      </c>
      <c r="E268" s="382"/>
      <c r="F268" s="382"/>
      <c r="G268" s="11">
        <v>213.79909176515002</v>
      </c>
      <c r="H268" s="11">
        <v>213.79909176515002</v>
      </c>
      <c r="I268" s="11">
        <v>213.79909176515002</v>
      </c>
      <c r="J268" s="11">
        <v>213.79909176515002</v>
      </c>
      <c r="K268" s="11">
        <v>213.79909176515002</v>
      </c>
      <c r="L268" s="11">
        <v>213.79909176515002</v>
      </c>
      <c r="M268" s="11">
        <v>213.79909176515002</v>
      </c>
      <c r="N268" s="11">
        <v>213.79909176515002</v>
      </c>
      <c r="O268" s="11">
        <v>213.79909176515002</v>
      </c>
      <c r="P268" s="11">
        <v>213.79909176515002</v>
      </c>
      <c r="Q268" s="11">
        <v>213.79909176515002</v>
      </c>
      <c r="R268" s="11">
        <v>213.79909176515002</v>
      </c>
      <c r="S268" s="11">
        <v>213.79909176515002</v>
      </c>
      <c r="T268" s="11">
        <v>213.79909176515002</v>
      </c>
      <c r="U268" s="11">
        <v>213.79909176515002</v>
      </c>
      <c r="V268" s="11">
        <v>213.79909176515002</v>
      </c>
      <c r="W268" s="11">
        <v>213.79909176515002</v>
      </c>
      <c r="X268" s="11">
        <v>213.79909176515002</v>
      </c>
      <c r="Y268" s="11">
        <v>213.79909176515002</v>
      </c>
      <c r="Z268" s="11">
        <v>213.79909176515002</v>
      </c>
      <c r="AA268" s="11">
        <v>213.79909176515002</v>
      </c>
      <c r="AB268" s="11">
        <v>213.79909176515002</v>
      </c>
      <c r="AC268" s="11">
        <v>213.79909176515002</v>
      </c>
      <c r="AD268" s="11">
        <v>213.79909176515002</v>
      </c>
      <c r="AE268" s="11">
        <v>213.79909176515002</v>
      </c>
      <c r="AF268" s="11">
        <v>213.79909176515002</v>
      </c>
      <c r="AG268" s="11">
        <v>213.79909176515002</v>
      </c>
      <c r="AH268" s="11">
        <v>213.79909176515002</v>
      </c>
      <c r="AI268" s="11">
        <v>213.79909176515002</v>
      </c>
      <c r="AJ268" s="11">
        <v>213.79909176515002</v>
      </c>
      <c r="AK268" s="11">
        <v>213.79909176515002</v>
      </c>
      <c r="AL268" s="11">
        <v>213.79909176515002</v>
      </c>
      <c r="AM268" s="11">
        <v>213.79909176515002</v>
      </c>
      <c r="AN268" s="11">
        <v>213.79909176515002</v>
      </c>
      <c r="AO268" s="11">
        <v>213.79909176515002</v>
      </c>
      <c r="AP268" s="11">
        <v>213.79909176515002</v>
      </c>
      <c r="AQ268" s="11">
        <v>213.79909176515002</v>
      </c>
      <c r="AR268" s="11">
        <v>213.79909176515002</v>
      </c>
      <c r="AS268" s="11">
        <v>213.79909176515002</v>
      </c>
      <c r="AT268" s="11">
        <v>213.79909176515002</v>
      </c>
      <c r="AU268" s="11">
        <v>213.79909176515002</v>
      </c>
      <c r="AV268" s="11">
        <v>213.79909176515002</v>
      </c>
      <c r="AW268" s="11">
        <v>213.79909176515002</v>
      </c>
      <c r="AX268" s="11">
        <v>213.79909176515002</v>
      </c>
      <c r="AY268" s="11">
        <v>213.79909176515002</v>
      </c>
      <c r="AZ268" s="11">
        <v>213.79909176515002</v>
      </c>
      <c r="BA268" s="11">
        <v>213.79909176515002</v>
      </c>
      <c r="BB268" s="11">
        <v>213.79909176515002</v>
      </c>
    </row>
    <row r="269" spans="3:54" ht="15" customHeight="1" x14ac:dyDescent="0.3">
      <c r="C269" s="46" t="s">
        <v>329</v>
      </c>
      <c r="E269" s="382"/>
      <c r="F269" s="382"/>
      <c r="G269" s="11">
        <v>50.108261503683956</v>
      </c>
      <c r="H269" s="11">
        <v>50.108261503683956</v>
      </c>
      <c r="I269" s="11">
        <v>50.108261503683956</v>
      </c>
      <c r="J269" s="11">
        <v>50.108261503683956</v>
      </c>
      <c r="K269" s="11">
        <v>50.108261503683956</v>
      </c>
      <c r="L269" s="11">
        <v>50.108261503683956</v>
      </c>
      <c r="M269" s="11">
        <v>50.108261503683956</v>
      </c>
      <c r="N269" s="11">
        <v>50.108261503683956</v>
      </c>
      <c r="O269" s="11">
        <v>50.108261503683956</v>
      </c>
      <c r="P269" s="11">
        <v>50.108261503683956</v>
      </c>
      <c r="Q269" s="11">
        <v>50.108261503683956</v>
      </c>
      <c r="R269" s="11">
        <v>50.108261503683956</v>
      </c>
      <c r="S269" s="11">
        <v>50.108261503683956</v>
      </c>
      <c r="T269" s="11">
        <v>50.108261503683956</v>
      </c>
      <c r="U269" s="11">
        <v>50.108261503683956</v>
      </c>
      <c r="V269" s="11">
        <v>50.108261503683956</v>
      </c>
      <c r="W269" s="11">
        <v>50.108261503683956</v>
      </c>
      <c r="X269" s="11">
        <v>50.108261503683956</v>
      </c>
      <c r="Y269" s="11">
        <v>50.108261503683956</v>
      </c>
      <c r="Z269" s="11">
        <v>50.108261503683956</v>
      </c>
      <c r="AA269" s="11">
        <v>50.108261503683956</v>
      </c>
      <c r="AB269" s="11">
        <v>50.108261503683956</v>
      </c>
      <c r="AC269" s="11">
        <v>50.108261503683956</v>
      </c>
      <c r="AD269" s="11">
        <v>50.108261503683956</v>
      </c>
      <c r="AE269" s="11">
        <v>50.108261503683956</v>
      </c>
      <c r="AF269" s="11">
        <v>50.108261503683956</v>
      </c>
      <c r="AG269" s="11">
        <v>50.108261503683956</v>
      </c>
      <c r="AH269" s="11">
        <v>50.108261503683956</v>
      </c>
      <c r="AI269" s="11">
        <v>50.108261503683956</v>
      </c>
      <c r="AJ269" s="11">
        <v>50.108261503683956</v>
      </c>
      <c r="AK269" s="11">
        <v>50.108261503683956</v>
      </c>
      <c r="AL269" s="11">
        <v>50.108261503683956</v>
      </c>
      <c r="AM269" s="11">
        <v>50.108261503683956</v>
      </c>
      <c r="AN269" s="11">
        <v>50.108261503683956</v>
      </c>
      <c r="AO269" s="11">
        <v>50.108261503683956</v>
      </c>
      <c r="AP269" s="11">
        <v>50.108261503683956</v>
      </c>
      <c r="AQ269" s="11">
        <v>50.108261503683956</v>
      </c>
      <c r="AR269" s="11">
        <v>50.108261503683956</v>
      </c>
      <c r="AS269" s="11">
        <v>50.108261503683956</v>
      </c>
      <c r="AT269" s="11">
        <v>50.108261503683956</v>
      </c>
      <c r="AU269" s="11">
        <v>50.108261503683956</v>
      </c>
      <c r="AV269" s="11">
        <v>50.108261503683956</v>
      </c>
      <c r="AW269" s="11">
        <v>50.108261503683956</v>
      </c>
      <c r="AX269" s="11">
        <v>50.108261503683956</v>
      </c>
      <c r="AY269" s="11">
        <v>50.108261503683956</v>
      </c>
      <c r="AZ269" s="11">
        <v>50.108261503683956</v>
      </c>
      <c r="BA269" s="11">
        <v>50.108261503683956</v>
      </c>
      <c r="BB269" s="11">
        <v>50.108261503683956</v>
      </c>
    </row>
    <row r="270" spans="3:54" ht="15" customHeight="1" x14ac:dyDescent="0.3">
      <c r="C270" s="46" t="s">
        <v>330</v>
      </c>
      <c r="E270" s="382"/>
      <c r="F270" s="382"/>
      <c r="G270" s="11">
        <v>4.0499088052160834</v>
      </c>
      <c r="H270" s="11">
        <v>4.0499088052160834</v>
      </c>
      <c r="I270" s="11">
        <v>4.0499088052160834</v>
      </c>
      <c r="J270" s="11">
        <v>4.0499088052160834</v>
      </c>
      <c r="K270" s="11">
        <v>4.0499088052160834</v>
      </c>
      <c r="L270" s="11">
        <v>4.0499088052160834</v>
      </c>
      <c r="M270" s="11">
        <v>4.0499088052160834</v>
      </c>
      <c r="N270" s="11">
        <v>4.0499088052160834</v>
      </c>
      <c r="O270" s="11">
        <v>4.0499088052160834</v>
      </c>
      <c r="P270" s="11">
        <v>4.0499088052160834</v>
      </c>
      <c r="Q270" s="11">
        <v>4.0499088052160834</v>
      </c>
      <c r="R270" s="11">
        <v>4.0499088052160834</v>
      </c>
      <c r="S270" s="11">
        <v>4.0499088052160834</v>
      </c>
      <c r="T270" s="11">
        <v>4.0499088052160834</v>
      </c>
      <c r="U270" s="11">
        <v>4.0499088052160834</v>
      </c>
      <c r="V270" s="11">
        <v>4.0499088052160834</v>
      </c>
      <c r="W270" s="11">
        <v>4.0499088052160834</v>
      </c>
      <c r="X270" s="11">
        <v>4.0499088052160834</v>
      </c>
      <c r="Y270" s="11">
        <v>4.0499088052160834</v>
      </c>
      <c r="Z270" s="11">
        <v>4.0499088052160834</v>
      </c>
      <c r="AA270" s="11">
        <v>4.0499088052160834</v>
      </c>
      <c r="AB270" s="11">
        <v>4.0499088052160834</v>
      </c>
      <c r="AC270" s="11">
        <v>4.0499088052160834</v>
      </c>
      <c r="AD270" s="11">
        <v>4.0499088052160834</v>
      </c>
      <c r="AE270" s="11">
        <v>4.0499088052160834</v>
      </c>
      <c r="AF270" s="11">
        <v>4.0499088052160834</v>
      </c>
      <c r="AG270" s="11">
        <v>4.0499088052160834</v>
      </c>
      <c r="AH270" s="11">
        <v>4.0499088052160834</v>
      </c>
      <c r="AI270" s="11">
        <v>4.0499088052160834</v>
      </c>
      <c r="AJ270" s="11">
        <v>4.0499088052160834</v>
      </c>
      <c r="AK270" s="11">
        <v>4.0499088052160834</v>
      </c>
      <c r="AL270" s="11">
        <v>4.0499088052160834</v>
      </c>
      <c r="AM270" s="11">
        <v>4.0499088052160834</v>
      </c>
      <c r="AN270" s="11">
        <v>4.0499088052160834</v>
      </c>
      <c r="AO270" s="11">
        <v>4.0499088052160834</v>
      </c>
      <c r="AP270" s="11">
        <v>4.0499088052160834</v>
      </c>
      <c r="AQ270" s="11">
        <v>4.0499088052160834</v>
      </c>
      <c r="AR270" s="11">
        <v>4.0499088052160834</v>
      </c>
      <c r="AS270" s="11">
        <v>4.0499088052160834</v>
      </c>
      <c r="AT270" s="11">
        <v>4.0499088052160834</v>
      </c>
      <c r="AU270" s="11">
        <v>4.0499088052160834</v>
      </c>
      <c r="AV270" s="11">
        <v>4.0499088052160834</v>
      </c>
      <c r="AW270" s="11">
        <v>4.0499088052160834</v>
      </c>
      <c r="AX270" s="11">
        <v>4.0499088052160834</v>
      </c>
      <c r="AY270" s="11">
        <v>4.0499088052160834</v>
      </c>
      <c r="AZ270" s="11">
        <v>4.0499088052160834</v>
      </c>
      <c r="BA270" s="11">
        <v>4.0499088052160834</v>
      </c>
      <c r="BB270" s="11">
        <v>4.0499088052160834</v>
      </c>
    </row>
    <row r="271" spans="3:54" ht="15" customHeight="1" x14ac:dyDescent="0.3">
      <c r="C271" s="46" t="s">
        <v>331</v>
      </c>
      <c r="E271" s="382"/>
      <c r="F271" s="382"/>
      <c r="G271" s="11">
        <v>1.4729324025703214</v>
      </c>
      <c r="H271" s="11">
        <v>1.4729324025703214</v>
      </c>
      <c r="I271" s="11">
        <v>1.4729324025703214</v>
      </c>
      <c r="J271" s="11">
        <v>1.4729324025703214</v>
      </c>
      <c r="K271" s="11">
        <v>1.4729324025703214</v>
      </c>
      <c r="L271" s="11">
        <v>1.4729324025703214</v>
      </c>
      <c r="M271" s="11">
        <v>1.4729324025703214</v>
      </c>
      <c r="N271" s="11">
        <v>1.4729324025703214</v>
      </c>
      <c r="O271" s="11">
        <v>1.4729324025703214</v>
      </c>
      <c r="P271" s="11">
        <v>1.4729324025703214</v>
      </c>
      <c r="Q271" s="11">
        <v>1.4729324025703214</v>
      </c>
      <c r="R271" s="11">
        <v>1.4729324025703214</v>
      </c>
      <c r="S271" s="11">
        <v>1.4729324025703214</v>
      </c>
      <c r="T271" s="11">
        <v>1.4729324025703214</v>
      </c>
      <c r="U271" s="11">
        <v>1.4729324025703214</v>
      </c>
      <c r="V271" s="11">
        <v>1.4729324025703214</v>
      </c>
      <c r="W271" s="11">
        <v>1.4729324025703214</v>
      </c>
      <c r="X271" s="11">
        <v>1.4729324025703214</v>
      </c>
      <c r="Y271" s="11">
        <v>1.4729324025703214</v>
      </c>
      <c r="Z271" s="11">
        <v>1.4729324025703214</v>
      </c>
      <c r="AA271" s="11">
        <v>1.4729324025703214</v>
      </c>
      <c r="AB271" s="11">
        <v>1.4729324025703214</v>
      </c>
      <c r="AC271" s="11">
        <v>1.4729324025703214</v>
      </c>
      <c r="AD271" s="11">
        <v>1.4729324025703214</v>
      </c>
      <c r="AE271" s="11">
        <v>1.4729324025703214</v>
      </c>
      <c r="AF271" s="11">
        <v>1.4729324025703214</v>
      </c>
      <c r="AG271" s="11">
        <v>1.4729324025703214</v>
      </c>
      <c r="AH271" s="11">
        <v>1.4729324025703214</v>
      </c>
      <c r="AI271" s="11">
        <v>1.4729324025703214</v>
      </c>
      <c r="AJ271" s="11">
        <v>1.4729324025703214</v>
      </c>
      <c r="AK271" s="11">
        <v>1.4729324025703214</v>
      </c>
      <c r="AL271" s="11">
        <v>1.4729324025703214</v>
      </c>
      <c r="AM271" s="11">
        <v>1.4729324025703214</v>
      </c>
      <c r="AN271" s="11">
        <v>1.4729324025703214</v>
      </c>
      <c r="AO271" s="11">
        <v>1.4729324025703214</v>
      </c>
      <c r="AP271" s="11">
        <v>1.4729324025703214</v>
      </c>
      <c r="AQ271" s="11">
        <v>1.4729324025703214</v>
      </c>
      <c r="AR271" s="11">
        <v>1.4729324025703214</v>
      </c>
      <c r="AS271" s="11">
        <v>1.4729324025703214</v>
      </c>
      <c r="AT271" s="11">
        <v>1.4729324025703214</v>
      </c>
      <c r="AU271" s="11">
        <v>1.4729324025703214</v>
      </c>
      <c r="AV271" s="11">
        <v>1.4729324025703214</v>
      </c>
      <c r="AW271" s="11">
        <v>1.4729324025703214</v>
      </c>
      <c r="AX271" s="11">
        <v>1.4729324025703214</v>
      </c>
      <c r="AY271" s="11">
        <v>1.4729324025703214</v>
      </c>
      <c r="AZ271" s="11">
        <v>1.4729324025703214</v>
      </c>
      <c r="BA271" s="11">
        <v>1.4729324025703214</v>
      </c>
      <c r="BB271" s="11">
        <v>1.4729324025703214</v>
      </c>
    </row>
    <row r="272" spans="3:54" ht="15" hidden="1" customHeight="1" x14ac:dyDescent="0.3">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row>
    <row r="273" spans="3:54" ht="15" hidden="1" customHeight="1" x14ac:dyDescent="0.3">
      <c r="C273" s="47" t="s">
        <v>338</v>
      </c>
    </row>
    <row r="274" spans="3:54" ht="15" hidden="1" customHeight="1" x14ac:dyDescent="0.3">
      <c r="C274" s="47" t="s">
        <v>339</v>
      </c>
    </row>
    <row r="275" spans="3:54" ht="15" hidden="1" customHeight="1" x14ac:dyDescent="0.3">
      <c r="C275" s="9" t="s">
        <v>340</v>
      </c>
      <c r="G275" s="11">
        <v>2565.4224999999992</v>
      </c>
      <c r="H275" s="11">
        <v>2598.772992499999</v>
      </c>
      <c r="I275" s="11">
        <v>2632.5570414024987</v>
      </c>
      <c r="J275" s="11">
        <v>2666.780282940731</v>
      </c>
      <c r="K275" s="11">
        <v>2701.4484266189602</v>
      </c>
      <c r="L275" s="11">
        <v>2736.5672561650063</v>
      </c>
      <c r="M275" s="11">
        <v>2772.142630495151</v>
      </c>
      <c r="N275" s="11">
        <v>2808.1804846915879</v>
      </c>
      <c r="O275" s="11">
        <v>2844.6868309925785</v>
      </c>
      <c r="P275" s="11">
        <v>2881.6677597954817</v>
      </c>
      <c r="Q275" s="11">
        <v>2919.1294406728225</v>
      </c>
      <c r="R275" s="11">
        <v>2957.078123401569</v>
      </c>
      <c r="S275" s="11">
        <v>2995.5201390057891</v>
      </c>
      <c r="T275" s="11">
        <v>3034.4619008128643</v>
      </c>
      <c r="U275" s="11">
        <v>3073.9099055234315</v>
      </c>
      <c r="V275" s="11">
        <v>3113.8707342952357</v>
      </c>
      <c r="W275" s="11">
        <v>3154.3510538410733</v>
      </c>
      <c r="X275" s="11">
        <v>3195.3576175410071</v>
      </c>
      <c r="Y275" s="11">
        <v>3236.8972665690399</v>
      </c>
      <c r="Z275" s="11">
        <v>3278.9769310344373</v>
      </c>
      <c r="AA275" s="11">
        <v>3321.6036311378848</v>
      </c>
      <c r="AB275" s="11">
        <v>3364.7844783426772</v>
      </c>
      <c r="AC275" s="11">
        <v>3408.5266765611318</v>
      </c>
      <c r="AD275" s="11">
        <v>3452.8375233564261</v>
      </c>
      <c r="AE275" s="11">
        <v>3497.7244111600594</v>
      </c>
      <c r="AF275" s="11">
        <v>3543.1948285051399</v>
      </c>
      <c r="AG275" s="11">
        <v>3589.2563612757062</v>
      </c>
      <c r="AH275" s="11">
        <v>3635.91669397229</v>
      </c>
      <c r="AI275" s="11">
        <v>3683.1836109939295</v>
      </c>
      <c r="AJ275" s="11">
        <v>3731.0649979368504</v>
      </c>
      <c r="AK275" s="11">
        <v>3779.5688429100292</v>
      </c>
      <c r="AL275" s="11">
        <v>3828.7032378678591</v>
      </c>
      <c r="AM275" s="11">
        <v>3878.476379960141</v>
      </c>
      <c r="AN275" s="11">
        <v>3928.8965728996222</v>
      </c>
      <c r="AO275" s="11">
        <v>3979.972228347317</v>
      </c>
      <c r="AP275" s="11">
        <v>4031.7118673158316</v>
      </c>
      <c r="AQ275" s="11">
        <v>4084.1241215909372</v>
      </c>
      <c r="AR275" s="11">
        <v>4137.2177351716191</v>
      </c>
      <c r="AS275" s="11">
        <v>4191.0015657288495</v>
      </c>
      <c r="AT275" s="11">
        <v>4245.4845860833238</v>
      </c>
      <c r="AU275" s="11">
        <v>4300.675885702407</v>
      </c>
      <c r="AV275" s="11">
        <v>4356.5846722165379</v>
      </c>
      <c r="AW275" s="11">
        <v>4413.2202729553528</v>
      </c>
      <c r="AX275" s="11">
        <v>4470.5921365037721</v>
      </c>
      <c r="AY275" s="11">
        <v>4528.7098342783211</v>
      </c>
      <c r="AZ275" s="11">
        <v>4587.5830621239384</v>
      </c>
      <c r="BA275" s="11">
        <v>4647.2216419315491</v>
      </c>
      <c r="BB275" s="11">
        <v>4707.6355232766591</v>
      </c>
    </row>
    <row r="276" spans="3:54" ht="15" hidden="1" customHeight="1" x14ac:dyDescent="0.3">
      <c r="C276" s="9" t="s">
        <v>341</v>
      </c>
      <c r="G276" s="9">
        <v>1000</v>
      </c>
      <c r="H276" s="9">
        <v>1000</v>
      </c>
      <c r="I276" s="9">
        <v>1000</v>
      </c>
      <c r="J276" s="9">
        <v>1000</v>
      </c>
      <c r="K276" s="9">
        <v>1000</v>
      </c>
      <c r="L276" s="9">
        <v>1000</v>
      </c>
      <c r="M276" s="9">
        <v>1000</v>
      </c>
      <c r="N276" s="9">
        <v>1000</v>
      </c>
      <c r="O276" s="9">
        <v>1000</v>
      </c>
      <c r="P276" s="9">
        <v>1000</v>
      </c>
      <c r="Q276" s="9">
        <v>1000</v>
      </c>
      <c r="R276" s="9">
        <v>1000</v>
      </c>
      <c r="S276" s="9">
        <v>1000</v>
      </c>
      <c r="T276" s="9">
        <v>1000</v>
      </c>
      <c r="U276" s="9">
        <v>1000</v>
      </c>
      <c r="V276" s="9">
        <v>1000</v>
      </c>
      <c r="W276" s="9">
        <v>1000</v>
      </c>
      <c r="X276" s="9">
        <v>1000</v>
      </c>
      <c r="Y276" s="9">
        <v>1000</v>
      </c>
      <c r="Z276" s="9">
        <v>1000</v>
      </c>
      <c r="AA276" s="9">
        <v>1000</v>
      </c>
      <c r="AB276" s="9">
        <v>1000</v>
      </c>
      <c r="AC276" s="9">
        <v>1000</v>
      </c>
      <c r="AD276" s="9">
        <v>1000</v>
      </c>
      <c r="AE276" s="9">
        <v>1000</v>
      </c>
      <c r="AF276" s="9">
        <v>1000</v>
      </c>
      <c r="AG276" s="9">
        <v>1000</v>
      </c>
      <c r="AH276" s="9">
        <v>1000</v>
      </c>
      <c r="AI276" s="9">
        <v>1000</v>
      </c>
      <c r="AJ276" s="9">
        <v>1000</v>
      </c>
      <c r="AK276" s="9">
        <v>1000</v>
      </c>
      <c r="AL276" s="9">
        <v>1000</v>
      </c>
      <c r="AM276" s="9">
        <v>1000</v>
      </c>
      <c r="AN276" s="9">
        <v>1000</v>
      </c>
      <c r="AO276" s="9">
        <v>1000</v>
      </c>
      <c r="AP276" s="9">
        <v>1000</v>
      </c>
      <c r="AQ276" s="9">
        <v>1000</v>
      </c>
      <c r="AR276" s="9">
        <v>1000</v>
      </c>
      <c r="AS276" s="9">
        <v>1000</v>
      </c>
      <c r="AT276" s="9">
        <v>1000</v>
      </c>
      <c r="AU276" s="9">
        <v>1000</v>
      </c>
      <c r="AV276" s="9">
        <v>1000</v>
      </c>
      <c r="AW276" s="9">
        <v>1000</v>
      </c>
      <c r="AX276" s="9">
        <v>1000</v>
      </c>
      <c r="AY276" s="9">
        <v>1000</v>
      </c>
      <c r="AZ276" s="9">
        <v>1000</v>
      </c>
      <c r="BA276" s="9">
        <v>1000</v>
      </c>
      <c r="BB276" s="9">
        <v>1000</v>
      </c>
    </row>
    <row r="277" spans="3:54" ht="15" hidden="1" customHeight="1" x14ac:dyDescent="0.3">
      <c r="C277" s="9" t="s">
        <v>342</v>
      </c>
      <c r="G277" s="9">
        <f>0.393*(1-'CC70 - %'!G56/100)</f>
        <v>0.39300000000000002</v>
      </c>
      <c r="H277" s="9">
        <f>0.393*(1-'CC70 - %'!H56/100)</f>
        <v>0.39300000000000002</v>
      </c>
      <c r="I277" s="9">
        <f>0.393*(1-'CC70 - %'!I56/100)</f>
        <v>0.39300000000000002</v>
      </c>
      <c r="J277" s="9">
        <f>0.393*(1-'CC70 - %'!J56/100)</f>
        <v>0.39300000000000002</v>
      </c>
      <c r="K277" s="9">
        <f>0.393*(1-'CC70 - %'!K56/100)</f>
        <v>0.39300000000000002</v>
      </c>
      <c r="L277" s="9">
        <f>0.393*(1-'CC70 - %'!L56/100)</f>
        <v>0.39300000000000002</v>
      </c>
      <c r="M277" s="9">
        <f>0.393*(1-'CC70 - %'!M56/100)</f>
        <v>0.39300000000000002</v>
      </c>
      <c r="N277" s="9">
        <f>0.393*(1-'CC70 - %'!N56/100)</f>
        <v>0.39300000000000002</v>
      </c>
      <c r="O277" s="9">
        <f>0.393*(1-'CC70 - %'!O56/100)</f>
        <v>0.39300000000000002</v>
      </c>
      <c r="P277" s="9">
        <f>0.393*(1-'CC70 - %'!P56/100)</f>
        <v>0.39300000000000002</v>
      </c>
      <c r="Q277" s="9">
        <f>0.393*(1-'CC70 - %'!Q56/100)</f>
        <v>0.39300000000000002</v>
      </c>
      <c r="R277" s="9">
        <f>0.393*(1-'CC70 - %'!R56/100)</f>
        <v>0.39300000000000002</v>
      </c>
      <c r="S277" s="9">
        <f>0.393*(1-'CC70 - %'!S56/100)</f>
        <v>0.38907000000000003</v>
      </c>
      <c r="T277" s="9">
        <f>0.393*(1-'CC70 - %'!T56/100)</f>
        <v>0.38537580000000005</v>
      </c>
      <c r="U277" s="9">
        <f>0.393*(1-'CC70 - %'!U56/100)</f>
        <v>0.38168160000000001</v>
      </c>
      <c r="V277" s="9">
        <f>0.393*(1-'CC70 - %'!V56/100)</f>
        <v>0.37798740000000003</v>
      </c>
      <c r="W277" s="9">
        <f>0.393*(1-'CC70 - %'!W56/100)</f>
        <v>0.37429320000000005</v>
      </c>
      <c r="X277" s="9">
        <f>0.393*(1-'CC70 - %'!X56/100)</f>
        <v>0.37059900000000001</v>
      </c>
      <c r="Y277" s="9">
        <f>0.393*(1-'CC70 - %'!Y56/100)</f>
        <v>0.36690480000000003</v>
      </c>
      <c r="Z277" s="9">
        <f>0.393*(1-'CC70 - %'!Z56/100)</f>
        <v>0.36321060000000005</v>
      </c>
      <c r="AA277" s="9">
        <f>0.393*(1-'CC70 - %'!AA56/100)</f>
        <v>0.35951640000000001</v>
      </c>
      <c r="AB277" s="9">
        <f>0.393*(1-'CC70 - %'!AB56/100)</f>
        <v>0.35582220000000003</v>
      </c>
      <c r="AC277" s="9">
        <f>0.393*(1-'CC70 - %'!AC56/100)</f>
        <v>0.352128</v>
      </c>
      <c r="AD277" s="9">
        <f>0.393*(1-'CC70 - %'!AD56/100)</f>
        <v>0.34843380000000002</v>
      </c>
      <c r="AE277" s="9">
        <f>0.393*(1-'CC70 - %'!AE56/100)</f>
        <v>0.34473959999999998</v>
      </c>
      <c r="AF277" s="9">
        <f>0.393*(1-'CC70 - %'!AF56/100)</f>
        <v>0.3410454</v>
      </c>
      <c r="AG277" s="9">
        <f>0.393*(1-'CC70 - %'!AG56/100)</f>
        <v>0.33735120000000002</v>
      </c>
      <c r="AH277" s="9">
        <f>0.393*(1-'CC70 - %'!AH56/100)</f>
        <v>0.33513468000000002</v>
      </c>
      <c r="AI277" s="9">
        <f>0.393*(1-'CC70 - %'!AI56/100)</f>
        <v>0.33291816000000007</v>
      </c>
      <c r="AJ277" s="9">
        <f>0.393*(1-'CC70 - %'!AJ56/100)</f>
        <v>0.33070164000000002</v>
      </c>
      <c r="AK277" s="9">
        <f>0.393*(1-'CC70 - %'!AK56/100)</f>
        <v>0.32848512000000002</v>
      </c>
      <c r="AL277" s="9">
        <f>0.393*(1-'CC70 - %'!AL56/100)</f>
        <v>0.32626860000000002</v>
      </c>
      <c r="AM277" s="9">
        <f>0.393*(1-'CC70 - %'!AM56/100)</f>
        <v>0.32405208000000002</v>
      </c>
      <c r="AN277" s="9">
        <f>0.393*(1-'CC70 - %'!AN56/100)</f>
        <v>0.32183556000000008</v>
      </c>
      <c r="AO277" s="9">
        <f>0.393*(1-'CC70 - %'!AO56/100)</f>
        <v>0.31961904000000002</v>
      </c>
      <c r="AP277" s="9">
        <f>0.393*(1-'CC70 - %'!AP56/100)</f>
        <v>0.31740252000000002</v>
      </c>
      <c r="AQ277" s="9">
        <f>0.393*(1-'CC70 - %'!AQ56/100)</f>
        <v>0.31518600000000002</v>
      </c>
      <c r="AR277" s="9">
        <f>0.393*(1-'CC70 - %'!AR56/100)</f>
        <v>0.31296948000000002</v>
      </c>
      <c r="AS277" s="9">
        <f>0.393*(1-'CC70 - %'!AS56/100)</f>
        <v>0.31075296000000002</v>
      </c>
      <c r="AT277" s="9">
        <f>0.393*(1-'CC70 - %'!AT56/100)</f>
        <v>0.30853644000000002</v>
      </c>
      <c r="AU277" s="9">
        <f>0.393*(1-'CC70 - %'!AU56/100)</f>
        <v>0.30631992000000002</v>
      </c>
      <c r="AV277" s="9">
        <f>0.393*(1-'CC70 - %'!AV56/100)</f>
        <v>0.30410340000000002</v>
      </c>
      <c r="AW277" s="9">
        <f>0.393*(1-'CC70 - %'!AW56/100)</f>
        <v>0.30188688000000002</v>
      </c>
      <c r="AX277" s="9">
        <f>0.393*(1-'CC70 - %'!AX56/100)</f>
        <v>0.29967036000000002</v>
      </c>
      <c r="AY277" s="9">
        <f>0.393*(1-'CC70 - %'!AY56/100)</f>
        <v>0.29745384000000002</v>
      </c>
      <c r="AZ277" s="9">
        <f>0.393*(1-'CC70 - %'!AZ56/100)</f>
        <v>0.29523732000000003</v>
      </c>
      <c r="BA277" s="9">
        <f>0.393*(1-'CC70 - %'!BA56/100)</f>
        <v>0.29302080000000003</v>
      </c>
      <c r="BB277" s="9">
        <f>0.393*(1-'CC70 - %'!BB56/100)</f>
        <v>0.29080428000000003</v>
      </c>
    </row>
    <row r="278" spans="3:54" ht="15" hidden="1" customHeight="1" x14ac:dyDescent="0.3">
      <c r="C278" s="9" t="s">
        <v>343</v>
      </c>
      <c r="G278" s="9">
        <f t="shared" ref="G278:BB278" si="50">1-G277-G279</f>
        <v>0.248</v>
      </c>
      <c r="H278" s="9">
        <f t="shared" si="50"/>
        <v>0.248</v>
      </c>
      <c r="I278" s="9">
        <f t="shared" si="50"/>
        <v>0.248</v>
      </c>
      <c r="J278" s="9">
        <f t="shared" si="50"/>
        <v>0.248</v>
      </c>
      <c r="K278" s="9">
        <f t="shared" si="50"/>
        <v>0.248</v>
      </c>
      <c r="L278" s="9">
        <f t="shared" si="50"/>
        <v>0.248</v>
      </c>
      <c r="M278" s="9">
        <f t="shared" si="50"/>
        <v>0.248</v>
      </c>
      <c r="N278" s="9">
        <f t="shared" si="50"/>
        <v>0.248</v>
      </c>
      <c r="O278" s="9">
        <f t="shared" si="50"/>
        <v>0.248</v>
      </c>
      <c r="P278" s="9">
        <f t="shared" si="50"/>
        <v>0.248</v>
      </c>
      <c r="Q278" s="9">
        <f t="shared" si="50"/>
        <v>0.248</v>
      </c>
      <c r="R278" s="9">
        <f t="shared" si="50"/>
        <v>0.248</v>
      </c>
      <c r="S278" s="9">
        <f t="shared" si="50"/>
        <v>0.24834000000000001</v>
      </c>
      <c r="T278" s="9">
        <f t="shared" si="50"/>
        <v>0.24865959999999993</v>
      </c>
      <c r="U278" s="9">
        <f t="shared" si="50"/>
        <v>0.24897919999999996</v>
      </c>
      <c r="V278" s="9">
        <f t="shared" si="50"/>
        <v>0.24929879999999993</v>
      </c>
      <c r="W278" s="9">
        <f t="shared" si="50"/>
        <v>0.24961839999999991</v>
      </c>
      <c r="X278" s="9">
        <f t="shared" si="50"/>
        <v>0.24993800000000005</v>
      </c>
      <c r="Y278" s="9">
        <f t="shared" si="50"/>
        <v>0.25025759999999997</v>
      </c>
      <c r="Z278" s="9">
        <f t="shared" si="50"/>
        <v>0.25057719999999994</v>
      </c>
      <c r="AA278" s="9">
        <f t="shared" si="50"/>
        <v>0.25089680000000009</v>
      </c>
      <c r="AB278" s="9">
        <f t="shared" si="50"/>
        <v>0.25121640000000001</v>
      </c>
      <c r="AC278" s="9">
        <f t="shared" si="50"/>
        <v>0.25153600000000009</v>
      </c>
      <c r="AD278" s="9">
        <f t="shared" si="50"/>
        <v>0.25185560000000001</v>
      </c>
      <c r="AE278" s="9">
        <f t="shared" si="50"/>
        <v>0.25217519999999999</v>
      </c>
      <c r="AF278" s="9">
        <f t="shared" si="50"/>
        <v>0.25249480000000002</v>
      </c>
      <c r="AG278" s="9">
        <f t="shared" si="50"/>
        <v>0.25281439999999994</v>
      </c>
      <c r="AH278" s="9">
        <f t="shared" si="50"/>
        <v>0.25300615999999998</v>
      </c>
      <c r="AI278" s="9">
        <f t="shared" si="50"/>
        <v>0.25319791999999997</v>
      </c>
      <c r="AJ278" s="9">
        <f t="shared" si="50"/>
        <v>0.25338968000000001</v>
      </c>
      <c r="AK278" s="9">
        <f t="shared" si="50"/>
        <v>0.25358143999999999</v>
      </c>
      <c r="AL278" s="9">
        <f t="shared" si="50"/>
        <v>0.25377320000000003</v>
      </c>
      <c r="AM278" s="9">
        <f t="shared" si="50"/>
        <v>0.25396496000000002</v>
      </c>
      <c r="AN278" s="9">
        <f t="shared" si="50"/>
        <v>0.25415672</v>
      </c>
      <c r="AO278" s="9">
        <f t="shared" si="50"/>
        <v>0.25434847999999993</v>
      </c>
      <c r="AP278" s="9">
        <f t="shared" si="50"/>
        <v>0.25454024000000003</v>
      </c>
      <c r="AQ278" s="9">
        <f t="shared" si="50"/>
        <v>0.25473200000000007</v>
      </c>
      <c r="AR278" s="9">
        <f t="shared" si="50"/>
        <v>0.25492376</v>
      </c>
      <c r="AS278" s="9">
        <f t="shared" si="50"/>
        <v>0.25511551999999998</v>
      </c>
      <c r="AT278" s="9">
        <f t="shared" si="50"/>
        <v>0.25530727999999997</v>
      </c>
      <c r="AU278" s="9">
        <f t="shared" si="50"/>
        <v>0.25549904000000012</v>
      </c>
      <c r="AV278" s="9">
        <f t="shared" si="50"/>
        <v>0.2556908</v>
      </c>
      <c r="AW278" s="9">
        <f t="shared" si="50"/>
        <v>0.25588255999999993</v>
      </c>
      <c r="AX278" s="9">
        <f t="shared" si="50"/>
        <v>0.25607432000000002</v>
      </c>
      <c r="AY278" s="9">
        <f t="shared" si="50"/>
        <v>0.25626608000000006</v>
      </c>
      <c r="AZ278" s="9">
        <f t="shared" si="50"/>
        <v>0.25645784000000005</v>
      </c>
      <c r="BA278" s="9">
        <f t="shared" si="50"/>
        <v>0.25664959999999998</v>
      </c>
      <c r="BB278" s="9">
        <f t="shared" si="50"/>
        <v>0.25684135999999996</v>
      </c>
    </row>
    <row r="279" spans="3:54" ht="15" hidden="1" customHeight="1" x14ac:dyDescent="0.3">
      <c r="C279" s="9" t="s">
        <v>344</v>
      </c>
      <c r="G279" s="9">
        <f>0.359*(1+'CC70 - %'!G56/100)</f>
        <v>0.35899999999999999</v>
      </c>
      <c r="H279" s="9">
        <f>0.359*(1+'CC70 - %'!H56/100)</f>
        <v>0.35899999999999999</v>
      </c>
      <c r="I279" s="9">
        <f>0.359*(1+'CC70 - %'!I56/100)</f>
        <v>0.35899999999999999</v>
      </c>
      <c r="J279" s="9">
        <f>0.359*(1+'CC70 - %'!J56/100)</f>
        <v>0.35899999999999999</v>
      </c>
      <c r="K279" s="9">
        <f>0.359*(1+'CC70 - %'!K56/100)</f>
        <v>0.35899999999999999</v>
      </c>
      <c r="L279" s="9">
        <f>0.359*(1+'CC70 - %'!L56/100)</f>
        <v>0.35899999999999999</v>
      </c>
      <c r="M279" s="9">
        <f>0.359*(1+'CC70 - %'!M56/100)</f>
        <v>0.35899999999999999</v>
      </c>
      <c r="N279" s="9">
        <f>0.359*(1+'CC70 - %'!N56/100)</f>
        <v>0.35899999999999999</v>
      </c>
      <c r="O279" s="9">
        <f>0.359*(1+'CC70 - %'!O56/100)</f>
        <v>0.35899999999999999</v>
      </c>
      <c r="P279" s="9">
        <f>0.359*(1+'CC70 - %'!P56/100)</f>
        <v>0.35899999999999999</v>
      </c>
      <c r="Q279" s="9">
        <f>0.359*(1+'CC70 - %'!Q56/100)</f>
        <v>0.35899999999999999</v>
      </c>
      <c r="R279" s="9">
        <f>0.359*(1+'CC70 - %'!R56/100)</f>
        <v>0.35899999999999999</v>
      </c>
      <c r="S279" s="9">
        <f>0.359*(1+'CC70 - %'!S56/100)</f>
        <v>0.36258999999999997</v>
      </c>
      <c r="T279" s="9">
        <f>0.359*(1+'CC70 - %'!T56/100)</f>
        <v>0.36596460000000003</v>
      </c>
      <c r="U279" s="9">
        <f>0.359*(1+'CC70 - %'!U56/100)</f>
        <v>0.36933919999999998</v>
      </c>
      <c r="V279" s="9">
        <f>0.359*(1+'CC70 - %'!V56/100)</f>
        <v>0.37271379999999998</v>
      </c>
      <c r="W279" s="9">
        <f>0.359*(1+'CC70 - %'!W56/100)</f>
        <v>0.37608839999999999</v>
      </c>
      <c r="X279" s="9">
        <f>0.359*(1+'CC70 - %'!X56/100)</f>
        <v>0.37946299999999994</v>
      </c>
      <c r="Y279" s="9">
        <f>0.359*(1+'CC70 - %'!Y56/100)</f>
        <v>0.3828376</v>
      </c>
      <c r="Z279" s="9">
        <f>0.359*(1+'CC70 - %'!Z56/100)</f>
        <v>0.38621220000000001</v>
      </c>
      <c r="AA279" s="9">
        <f>0.359*(1+'CC70 - %'!AA56/100)</f>
        <v>0.38958679999999996</v>
      </c>
      <c r="AB279" s="9">
        <f>0.359*(1+'CC70 - %'!AB56/100)</f>
        <v>0.39296140000000002</v>
      </c>
      <c r="AC279" s="9">
        <f>0.359*(1+'CC70 - %'!AC56/100)</f>
        <v>0.39633599999999991</v>
      </c>
      <c r="AD279" s="9">
        <f>0.359*(1+'CC70 - %'!AD56/100)</f>
        <v>0.39971059999999997</v>
      </c>
      <c r="AE279" s="9">
        <f>0.359*(1+'CC70 - %'!AE56/100)</f>
        <v>0.40308519999999998</v>
      </c>
      <c r="AF279" s="9">
        <f>0.359*(1+'CC70 - %'!AF56/100)</f>
        <v>0.40645979999999993</v>
      </c>
      <c r="AG279" s="9">
        <f>0.359*(1+'CC70 - %'!AG56/100)</f>
        <v>0.40983439999999999</v>
      </c>
      <c r="AH279" s="9">
        <f>0.359*(1+'CC70 - %'!AH56/100)</f>
        <v>0.41185916</v>
      </c>
      <c r="AI279" s="9">
        <f>0.359*(1+'CC70 - %'!AI56/100)</f>
        <v>0.41388391999999996</v>
      </c>
      <c r="AJ279" s="9">
        <f>0.359*(1+'CC70 - %'!AJ56/100)</f>
        <v>0.41590867999999998</v>
      </c>
      <c r="AK279" s="9">
        <f>0.359*(1+'CC70 - %'!AK56/100)</f>
        <v>0.41793343999999993</v>
      </c>
      <c r="AL279" s="9">
        <f>0.359*(1+'CC70 - %'!AL56/100)</f>
        <v>0.41995819999999995</v>
      </c>
      <c r="AM279" s="9">
        <f>0.359*(1+'CC70 - %'!AM56/100)</f>
        <v>0.42198296000000002</v>
      </c>
      <c r="AN279" s="9">
        <f>0.359*(1+'CC70 - %'!AN56/100)</f>
        <v>0.42400771999999998</v>
      </c>
      <c r="AO279" s="9">
        <f>0.359*(1+'CC70 - %'!AO56/100)</f>
        <v>0.42603247999999999</v>
      </c>
      <c r="AP279" s="9">
        <f>0.359*(1+'CC70 - %'!AP56/100)</f>
        <v>0.42805723999999995</v>
      </c>
      <c r="AQ279" s="9">
        <f>0.359*(1+'CC70 - %'!AQ56/100)</f>
        <v>0.43008199999999996</v>
      </c>
      <c r="AR279" s="9">
        <f>0.359*(1+'CC70 - %'!AR56/100)</f>
        <v>0.43210675999999998</v>
      </c>
      <c r="AS279" s="9">
        <f>0.359*(1+'CC70 - %'!AS56/100)</f>
        <v>0.43413151999999994</v>
      </c>
      <c r="AT279" s="9">
        <f>0.359*(1+'CC70 - %'!AT56/100)</f>
        <v>0.43615628000000001</v>
      </c>
      <c r="AU279" s="9">
        <f>0.359*(1+'CC70 - %'!AU56/100)</f>
        <v>0.43818103999999991</v>
      </c>
      <c r="AV279" s="9">
        <f>0.359*(1+'CC70 - %'!AV56/100)</f>
        <v>0.44020579999999998</v>
      </c>
      <c r="AW279" s="9">
        <f>0.359*(1+'CC70 - %'!AW56/100)</f>
        <v>0.44223055999999999</v>
      </c>
      <c r="AX279" s="9">
        <f>0.359*(1+'CC70 - %'!AX56/100)</f>
        <v>0.44425531999999995</v>
      </c>
      <c r="AY279" s="9">
        <f>0.359*(1+'CC70 - %'!AY56/100)</f>
        <v>0.44628007999999997</v>
      </c>
      <c r="AZ279" s="9">
        <f>0.359*(1+'CC70 - %'!AZ56/100)</f>
        <v>0.44830483999999993</v>
      </c>
      <c r="BA279" s="9">
        <f>0.359*(1+'CC70 - %'!BA56/100)</f>
        <v>0.45032959999999994</v>
      </c>
      <c r="BB279" s="9">
        <f>0.359*(1+'CC70 - %'!BB56/100)</f>
        <v>0.45235436000000001</v>
      </c>
    </row>
    <row r="280" spans="3:54" ht="15" hidden="1" customHeight="1" x14ac:dyDescent="0.3">
      <c r="C280" s="46" t="s">
        <v>345</v>
      </c>
      <c r="G280" s="48">
        <f t="shared" ref="G280:AK280" si="51">G277*G155</f>
        <v>1641093.0740434553</v>
      </c>
      <c r="H280" s="48">
        <f t="shared" si="51"/>
        <v>1662200.327191483</v>
      </c>
      <c r="I280" s="48">
        <f t="shared" si="51"/>
        <v>1683107.6942272158</v>
      </c>
      <c r="J280" s="48">
        <f t="shared" si="51"/>
        <v>1703791.76506543</v>
      </c>
      <c r="K280" s="48">
        <f t="shared" si="51"/>
        <v>1724244.7063314545</v>
      </c>
      <c r="L280" s="48">
        <f t="shared" si="51"/>
        <v>1744451.8417026293</v>
      </c>
      <c r="M280" s="48">
        <f t="shared" si="51"/>
        <v>1764410.2899376974</v>
      </c>
      <c r="N280" s="48">
        <f t="shared" si="51"/>
        <v>1784097.6313781166</v>
      </c>
      <c r="O280" s="48">
        <f t="shared" si="51"/>
        <v>1803503.3314855366</v>
      </c>
      <c r="P280" s="48">
        <f t="shared" si="51"/>
        <v>1822613.7944027695</v>
      </c>
      <c r="Q280" s="48">
        <f t="shared" si="51"/>
        <v>1841413.2633416839</v>
      </c>
      <c r="R280" s="48">
        <f t="shared" si="51"/>
        <v>1859893.9949663985</v>
      </c>
      <c r="S280" s="48">
        <f t="shared" si="51"/>
        <v>1855978.6018283998</v>
      </c>
      <c r="T280" s="48">
        <f t="shared" si="51"/>
        <v>1853929.1085645338</v>
      </c>
      <c r="U280" s="48">
        <f t="shared" si="51"/>
        <v>1851202.6129687023</v>
      </c>
      <c r="V280" s="48">
        <f t="shared" si="51"/>
        <v>1847805.3544134717</v>
      </c>
      <c r="W280" s="48">
        <f t="shared" si="51"/>
        <v>1843738.8359181411</v>
      </c>
      <c r="X280" s="48">
        <f t="shared" si="51"/>
        <v>1839008.187549666</v>
      </c>
      <c r="Y280" s="48">
        <f t="shared" si="51"/>
        <v>1833624.1572065169</v>
      </c>
      <c r="Z280" s="48">
        <f t="shared" si="51"/>
        <v>1827594.4003757702</v>
      </c>
      <c r="AA280" s="48">
        <f t="shared" si="51"/>
        <v>1820923.0022885562</v>
      </c>
      <c r="AB280" s="48">
        <f t="shared" si="51"/>
        <v>1813621.2526938452</v>
      </c>
      <c r="AC280" s="48">
        <f t="shared" si="51"/>
        <v>1805693.7005869434</v>
      </c>
      <c r="AD280" s="48">
        <f t="shared" si="51"/>
        <v>1797151.5467715622</v>
      </c>
      <c r="AE280" s="48">
        <f t="shared" si="51"/>
        <v>1788010.0951785496</v>
      </c>
      <c r="AF280" s="48">
        <f t="shared" si="51"/>
        <v>1778272.6567945583</v>
      </c>
      <c r="AG280" s="48">
        <f t="shared" si="51"/>
        <v>1767955.7464584173</v>
      </c>
      <c r="AH280" s="48">
        <f t="shared" si="51"/>
        <v>1766204.2896080143</v>
      </c>
      <c r="AI280" s="48">
        <f t="shared" si="51"/>
        <v>1763965.9100524266</v>
      </c>
      <c r="AJ280" s="48">
        <f t="shared" si="51"/>
        <v>1761241.338760589</v>
      </c>
      <c r="AK280" s="48">
        <f t="shared" si="51"/>
        <v>1758031.6942348697</v>
      </c>
      <c r="AL280" s="48">
        <f t="shared" ref="AL280:BB280" si="52">AL277*AL155</f>
        <v>1754338.4821321664</v>
      </c>
      <c r="AM280" s="48">
        <f t="shared" si="52"/>
        <v>1750163.5943834062</v>
      </c>
      <c r="AN280" s="48">
        <f t="shared" si="52"/>
        <v>1745509.3078114302</v>
      </c>
      <c r="AO280" s="48">
        <f t="shared" si="52"/>
        <v>1740378.2822481685</v>
      </c>
      <c r="AP280" s="48">
        <f t="shared" si="52"/>
        <v>1734773.5581528808</v>
      </c>
      <c r="AQ280" s="48">
        <f t="shared" si="52"/>
        <v>1728698.5537341426</v>
      </c>
      <c r="AR280" s="48">
        <f t="shared" si="52"/>
        <v>1722157.0615791506</v>
      </c>
      <c r="AS280" s="48">
        <f t="shared" si="52"/>
        <v>1715153.2447947953</v>
      </c>
      <c r="AT280" s="48">
        <f t="shared" si="52"/>
        <v>1707691.6326658456</v>
      </c>
      <c r="AU280" s="48">
        <f t="shared" si="52"/>
        <v>1699777.115836435</v>
      </c>
      <c r="AV280" s="48">
        <f t="shared" si="52"/>
        <v>1691414.9410219202</v>
      </c>
      <c r="AW280" s="48">
        <f t="shared" si="52"/>
        <v>1682610.7052590179</v>
      </c>
      <c r="AX280" s="48">
        <f t="shared" si="52"/>
        <v>1673370.3497029564</v>
      </c>
      <c r="AY280" s="48">
        <f t="shared" si="52"/>
        <v>1663700.1529811914</v>
      </c>
      <c r="AZ280" s="48">
        <f t="shared" si="52"/>
        <v>1653606.7241140341</v>
      </c>
      <c r="BA280" s="48">
        <f t="shared" si="52"/>
        <v>1643096.9950133136</v>
      </c>
      <c r="BB280" s="48">
        <f t="shared" si="52"/>
        <v>1632178.2125709425</v>
      </c>
    </row>
    <row r="281" spans="3:54" ht="15" hidden="1" customHeight="1" x14ac:dyDescent="0.3">
      <c r="C281" s="46" t="s">
        <v>346</v>
      </c>
      <c r="G281" s="48">
        <f t="shared" ref="G281:AK281" si="53">G278*G155</f>
        <v>1035600.7184803484</v>
      </c>
      <c r="H281" s="48">
        <f t="shared" si="53"/>
        <v>1048920.3082531495</v>
      </c>
      <c r="I281" s="48">
        <f t="shared" si="53"/>
        <v>1062113.7612426197</v>
      </c>
      <c r="J281" s="48">
        <f t="shared" si="53"/>
        <v>1075166.3046723322</v>
      </c>
      <c r="K281" s="48">
        <f t="shared" si="53"/>
        <v>1088072.9953440221</v>
      </c>
      <c r="L281" s="48">
        <f t="shared" si="53"/>
        <v>1100824.5718632368</v>
      </c>
      <c r="M281" s="48">
        <f t="shared" si="53"/>
        <v>1113419.2160421093</v>
      </c>
      <c r="N281" s="48">
        <f t="shared" si="53"/>
        <v>1125842.7801062923</v>
      </c>
      <c r="O281" s="48">
        <f t="shared" si="53"/>
        <v>1138088.6163063946</v>
      </c>
      <c r="P281" s="48">
        <f t="shared" si="53"/>
        <v>1150148.1450684143</v>
      </c>
      <c r="Q281" s="48">
        <f t="shared" si="53"/>
        <v>1162011.4231774493</v>
      </c>
      <c r="R281" s="48">
        <f t="shared" si="53"/>
        <v>1173673.5642536052</v>
      </c>
      <c r="S281" s="48">
        <f t="shared" si="53"/>
        <v>1184655.0131803141</v>
      </c>
      <c r="T281" s="48">
        <f t="shared" si="53"/>
        <v>1196227.8652785497</v>
      </c>
      <c r="U281" s="48">
        <f t="shared" si="53"/>
        <v>1207579.6832094004</v>
      </c>
      <c r="V281" s="48">
        <f t="shared" si="53"/>
        <v>1218706.3840986579</v>
      </c>
      <c r="W281" s="48">
        <f t="shared" si="53"/>
        <v>1229600.5864914155</v>
      </c>
      <c r="X281" s="48">
        <f t="shared" si="53"/>
        <v>1240257.065938625</v>
      </c>
      <c r="Y281" s="48">
        <f t="shared" si="53"/>
        <v>1250674.2372531665</v>
      </c>
      <c r="Z281" s="48">
        <f t="shared" si="53"/>
        <v>1260848.3551466814</v>
      </c>
      <c r="AA281" s="48">
        <f t="shared" si="53"/>
        <v>1270773.0560291312</v>
      </c>
      <c r="AB281" s="48">
        <f t="shared" si="53"/>
        <v>1280446.8132264882</v>
      </c>
      <c r="AC281" s="48">
        <f t="shared" si="53"/>
        <v>1289863.2618560228</v>
      </c>
      <c r="AD281" s="48">
        <f t="shared" si="53"/>
        <v>1299020.5918687563</v>
      </c>
      <c r="AE281" s="48">
        <f t="shared" si="53"/>
        <v>1307919.9585822744</v>
      </c>
      <c r="AF281" s="48">
        <f t="shared" si="53"/>
        <v>1316553.7456972317</v>
      </c>
      <c r="AG281" s="48">
        <f t="shared" si="53"/>
        <v>1324923.9109492919</v>
      </c>
      <c r="AH281" s="48">
        <f t="shared" si="53"/>
        <v>1333376.0776093109</v>
      </c>
      <c r="AI281" s="48">
        <f t="shared" si="53"/>
        <v>1341568.448462473</v>
      </c>
      <c r="AJ281" s="48">
        <f t="shared" si="53"/>
        <v>1349495.5127265688</v>
      </c>
      <c r="AK281" s="48">
        <f t="shared" si="53"/>
        <v>1357151.9117508819</v>
      </c>
      <c r="AL281" s="48">
        <f t="shared" ref="AL281:BB281" si="54">AL278*AL155</f>
        <v>1364532.445027878</v>
      </c>
      <c r="AM281" s="48">
        <f t="shared" si="54"/>
        <v>1371632.076057151</v>
      </c>
      <c r="AN281" s="48">
        <f t="shared" si="54"/>
        <v>1378445.9380524121</v>
      </c>
      <c r="AO281" s="48">
        <f t="shared" si="54"/>
        <v>1384969.3394825056</v>
      </c>
      <c r="AP281" s="48">
        <f t="shared" si="54"/>
        <v>1391197.7694376472</v>
      </c>
      <c r="AQ281" s="48">
        <f t="shared" si="54"/>
        <v>1397126.9028123259</v>
      </c>
      <c r="AR281" s="48">
        <f t="shared" si="54"/>
        <v>1402752.6052965566</v>
      </c>
      <c r="AS281" s="48">
        <f t="shared" si="54"/>
        <v>1408070.9381674479</v>
      </c>
      <c r="AT281" s="48">
        <f t="shared" si="54"/>
        <v>1413078.1628733256</v>
      </c>
      <c r="AU281" s="48">
        <f t="shared" si="54"/>
        <v>1417770.7454029699</v>
      </c>
      <c r="AV281" s="48">
        <f t="shared" si="54"/>
        <v>1422145.3604328251</v>
      </c>
      <c r="AW281" s="48">
        <f t="shared" si="54"/>
        <v>1426198.8952454072</v>
      </c>
      <c r="AX281" s="48">
        <f t="shared" si="54"/>
        <v>1429928.4534124322</v>
      </c>
      <c r="AY281" s="48">
        <f t="shared" si="54"/>
        <v>1433331.3582365932</v>
      </c>
      <c r="AZ281" s="48">
        <f t="shared" si="54"/>
        <v>1436405.155946278</v>
      </c>
      <c r="BA281" s="48">
        <f t="shared" si="54"/>
        <v>1439147.618637888</v>
      </c>
      <c r="BB281" s="48">
        <f t="shared" si="54"/>
        <v>1441556.7469608421</v>
      </c>
    </row>
    <row r="282" spans="3:54" ht="15" hidden="1" customHeight="1" x14ac:dyDescent="0.3">
      <c r="C282" s="9" t="s">
        <v>347</v>
      </c>
      <c r="G282" s="48">
        <f t="shared" ref="G282:AK282" si="55">G279*G155</f>
        <v>1499115.5561872784</v>
      </c>
      <c r="H282" s="48">
        <f t="shared" si="55"/>
        <v>1518396.7365438736</v>
      </c>
      <c r="I282" s="48">
        <f t="shared" si="55"/>
        <v>1537495.323734276</v>
      </c>
      <c r="J282" s="48">
        <f t="shared" si="55"/>
        <v>1556389.9329732552</v>
      </c>
      <c r="K282" s="48">
        <f t="shared" si="55"/>
        <v>1575073.4085826771</v>
      </c>
      <c r="L282" s="48">
        <f t="shared" si="55"/>
        <v>1593532.3439471854</v>
      </c>
      <c r="M282" s="48">
        <f t="shared" si="55"/>
        <v>1611764.1070932145</v>
      </c>
      <c r="N282" s="48">
        <f t="shared" si="55"/>
        <v>1629748.2179764474</v>
      </c>
      <c r="O282" s="48">
        <f t="shared" si="55"/>
        <v>1647475.0534435308</v>
      </c>
      <c r="P282" s="48">
        <f t="shared" si="55"/>
        <v>1664932.1938691963</v>
      </c>
      <c r="Q282" s="48">
        <f t="shared" si="55"/>
        <v>1682105.2456480011</v>
      </c>
      <c r="R282" s="48">
        <f t="shared" si="55"/>
        <v>1698987.1353509848</v>
      </c>
      <c r="S282" s="48">
        <f t="shared" si="55"/>
        <v>1729661.1952526779</v>
      </c>
      <c r="T282" s="48">
        <f t="shared" si="55"/>
        <v>1760547.5607035423</v>
      </c>
      <c r="U282" s="48">
        <f t="shared" si="55"/>
        <v>1791340.4578889054</v>
      </c>
      <c r="V282" s="48">
        <f t="shared" si="55"/>
        <v>1822025.1661928194</v>
      </c>
      <c r="W282" s="48">
        <f t="shared" si="55"/>
        <v>1852581.8497859864</v>
      </c>
      <c r="X282" s="48">
        <f t="shared" si="55"/>
        <v>1882993.6504743909</v>
      </c>
      <c r="Y282" s="48">
        <f t="shared" si="55"/>
        <v>1913249.0816336162</v>
      </c>
      <c r="Z282" s="48">
        <f t="shared" si="55"/>
        <v>1943333.3005061166</v>
      </c>
      <c r="AA282" s="48">
        <f t="shared" si="55"/>
        <v>1973227.2728253596</v>
      </c>
      <c r="AB282" s="48">
        <f t="shared" si="55"/>
        <v>2002919.2853293784</v>
      </c>
      <c r="AC282" s="48">
        <f t="shared" si="55"/>
        <v>2032389.9789730627</v>
      </c>
      <c r="AD282" s="48">
        <f t="shared" si="55"/>
        <v>2061626.9806516736</v>
      </c>
      <c r="AE282" s="48">
        <f t="shared" si="55"/>
        <v>2090622.6230379823</v>
      </c>
      <c r="AF282" s="48">
        <f t="shared" si="55"/>
        <v>2119355.2190593528</v>
      </c>
      <c r="AG282" s="48">
        <f t="shared" si="55"/>
        <v>2147818.3050077707</v>
      </c>
      <c r="AH282" s="48">
        <f t="shared" si="55"/>
        <v>2170552.4928257302</v>
      </c>
      <c r="AI282" s="48">
        <f t="shared" si="55"/>
        <v>2192962.7557681608</v>
      </c>
      <c r="AJ282" s="48">
        <f t="shared" si="55"/>
        <v>2215034.5561193749</v>
      </c>
      <c r="AK282" s="48">
        <f t="shared" si="55"/>
        <v>2236753.4748624447</v>
      </c>
      <c r="AL282" s="48">
        <f t="shared" ref="AL282:BB282" si="56">AL279*AL155</f>
        <v>2258105.2272482142</v>
      </c>
      <c r="AM282" s="48">
        <f t="shared" si="56"/>
        <v>2279075.6783358683</v>
      </c>
      <c r="AN282" s="48">
        <f t="shared" si="56"/>
        <v>2299650.8584815878</v>
      </c>
      <c r="AO282" s="48">
        <f t="shared" si="56"/>
        <v>2319816.9787517264</v>
      </c>
      <c r="AP282" s="48">
        <f t="shared" si="56"/>
        <v>2339560.4462368526</v>
      </c>
      <c r="AQ282" s="48">
        <f t="shared" si="56"/>
        <v>2358867.8792430102</v>
      </c>
      <c r="AR282" s="48">
        <f t="shared" si="56"/>
        <v>2377726.1223365525</v>
      </c>
      <c r="AS282" s="48">
        <f t="shared" si="56"/>
        <v>2396122.2612189967</v>
      </c>
      <c r="AT282" s="48">
        <f t="shared" si="56"/>
        <v>2414043.6374084749</v>
      </c>
      <c r="AU282" s="48">
        <f t="shared" si="56"/>
        <v>2431477.8627044866</v>
      </c>
      <c r="AV282" s="48">
        <f t="shared" si="56"/>
        <v>2448412.833412935</v>
      </c>
      <c r="AW282" s="48">
        <f t="shared" si="56"/>
        <v>2464836.7443086309</v>
      </c>
      <c r="AX282" s="48">
        <f t="shared" si="56"/>
        <v>2480738.1023128168</v>
      </c>
      <c r="AY282" s="48">
        <f t="shared" si="56"/>
        <v>2496105.7398635643</v>
      </c>
      <c r="AZ282" s="48">
        <f t="shared" si="56"/>
        <v>2510928.8279573396</v>
      </c>
      <c r="BA282" s="48">
        <f t="shared" si="56"/>
        <v>2525196.8888404761</v>
      </c>
      <c r="BB282" s="48">
        <f t="shared" si="56"/>
        <v>2538899.8083297559</v>
      </c>
    </row>
    <row r="283" spans="3:54" ht="15" hidden="1" customHeight="1" x14ac:dyDescent="0.3">
      <c r="C283" s="46" t="s">
        <v>348</v>
      </c>
      <c r="G283" s="48" t="e">
        <f>G280-#REF!</f>
        <v>#REF!</v>
      </c>
      <c r="H283" s="48">
        <f t="shared" ref="H283:R283" si="57">H280-G280</f>
        <v>21107.253148027696</v>
      </c>
      <c r="I283" s="48">
        <f t="shared" si="57"/>
        <v>20907.367035732837</v>
      </c>
      <c r="J283" s="48">
        <f t="shared" si="57"/>
        <v>20684.070838214131</v>
      </c>
      <c r="K283" s="48">
        <f t="shared" si="57"/>
        <v>20452.941266024485</v>
      </c>
      <c r="L283" s="48">
        <f t="shared" si="57"/>
        <v>20207.135371174896</v>
      </c>
      <c r="M283" s="48">
        <f t="shared" si="57"/>
        <v>19958.448235068005</v>
      </c>
      <c r="N283" s="48">
        <f t="shared" si="57"/>
        <v>19687.341440419201</v>
      </c>
      <c r="O283" s="48">
        <f t="shared" si="57"/>
        <v>19405.700107420096</v>
      </c>
      <c r="P283" s="48">
        <f t="shared" si="57"/>
        <v>19110.462917232886</v>
      </c>
      <c r="Q283" s="48">
        <f t="shared" si="57"/>
        <v>18799.46893891436</v>
      </c>
      <c r="R283" s="48">
        <f t="shared" si="57"/>
        <v>18480.731624714565</v>
      </c>
      <c r="S283" s="48">
        <v>0</v>
      </c>
      <c r="T283" s="48">
        <v>0</v>
      </c>
      <c r="U283" s="48">
        <v>0</v>
      </c>
      <c r="V283" s="48">
        <v>0</v>
      </c>
      <c r="W283" s="48">
        <v>0</v>
      </c>
      <c r="X283" s="48">
        <v>0</v>
      </c>
      <c r="Y283" s="48">
        <v>0</v>
      </c>
      <c r="Z283" s="48">
        <v>0</v>
      </c>
      <c r="AA283" s="48">
        <v>0</v>
      </c>
      <c r="AB283" s="48">
        <v>0</v>
      </c>
      <c r="AC283" s="48">
        <v>0</v>
      </c>
      <c r="AD283" s="48">
        <v>0</v>
      </c>
      <c r="AE283" s="48">
        <v>0</v>
      </c>
      <c r="AF283" s="48">
        <v>0</v>
      </c>
      <c r="AG283" s="48">
        <v>0</v>
      </c>
      <c r="AH283" s="48">
        <v>0</v>
      </c>
      <c r="AI283" s="48">
        <v>0</v>
      </c>
      <c r="AJ283" s="48">
        <v>0</v>
      </c>
      <c r="AK283" s="48">
        <v>0</v>
      </c>
      <c r="AL283" s="48">
        <v>0</v>
      </c>
      <c r="AM283" s="48">
        <v>0</v>
      </c>
      <c r="AN283" s="48">
        <v>0</v>
      </c>
      <c r="AO283" s="48">
        <v>0</v>
      </c>
      <c r="AP283" s="48">
        <v>0</v>
      </c>
      <c r="AQ283" s="48">
        <v>0</v>
      </c>
      <c r="AR283" s="48">
        <v>0</v>
      </c>
      <c r="AS283" s="48">
        <v>0</v>
      </c>
      <c r="AT283" s="48">
        <v>0</v>
      </c>
      <c r="AU283" s="48">
        <v>0</v>
      </c>
      <c r="AV283" s="48">
        <v>0</v>
      </c>
      <c r="AW283" s="48">
        <v>0</v>
      </c>
      <c r="AX283" s="48">
        <v>0</v>
      </c>
      <c r="AY283" s="48">
        <v>0</v>
      </c>
      <c r="AZ283" s="48">
        <v>0</v>
      </c>
      <c r="BA283" s="48">
        <v>0</v>
      </c>
      <c r="BB283" s="48">
        <v>0</v>
      </c>
    </row>
    <row r="284" spans="3:54" ht="15" hidden="1" customHeight="1" x14ac:dyDescent="0.3">
      <c r="C284" s="9" t="s">
        <v>349</v>
      </c>
      <c r="G284" s="48" t="e">
        <f>G281-#REF!</f>
        <v>#REF!</v>
      </c>
      <c r="H284" s="48">
        <f t="shared" ref="H284:AA284" si="58">H281-G281</f>
        <v>13319.589772801148</v>
      </c>
      <c r="I284" s="48">
        <f t="shared" si="58"/>
        <v>13193.452989470214</v>
      </c>
      <c r="J284" s="48">
        <f t="shared" si="58"/>
        <v>13052.543429712532</v>
      </c>
      <c r="K284" s="48">
        <f t="shared" si="58"/>
        <v>12906.690671689808</v>
      </c>
      <c r="L284" s="48">
        <f t="shared" si="58"/>
        <v>12751.576519214781</v>
      </c>
      <c r="M284" s="48">
        <f t="shared" si="58"/>
        <v>12594.644178872462</v>
      </c>
      <c r="N284" s="48">
        <f t="shared" si="58"/>
        <v>12423.56406418304</v>
      </c>
      <c r="O284" s="48">
        <f t="shared" si="58"/>
        <v>12245.836200102232</v>
      </c>
      <c r="P284" s="48">
        <f t="shared" si="58"/>
        <v>12059.528762019705</v>
      </c>
      <c r="Q284" s="48">
        <f t="shared" si="58"/>
        <v>11863.278109034989</v>
      </c>
      <c r="R284" s="48">
        <f t="shared" si="58"/>
        <v>11662.141076155938</v>
      </c>
      <c r="S284" s="48">
        <f t="shared" si="58"/>
        <v>10981.448926708894</v>
      </c>
      <c r="T284" s="48">
        <f t="shared" si="58"/>
        <v>11572.852098235628</v>
      </c>
      <c r="U284" s="48">
        <f t="shared" si="58"/>
        <v>11351.817930850666</v>
      </c>
      <c r="V284" s="48">
        <f t="shared" si="58"/>
        <v>11126.700889257481</v>
      </c>
      <c r="W284" s="48">
        <f t="shared" si="58"/>
        <v>10894.202392757637</v>
      </c>
      <c r="X284" s="48">
        <f t="shared" si="58"/>
        <v>10656.479447209509</v>
      </c>
      <c r="Y284" s="48">
        <f t="shared" si="58"/>
        <v>10417.171314541483</v>
      </c>
      <c r="Z284" s="48">
        <f t="shared" si="58"/>
        <v>10174.117893514922</v>
      </c>
      <c r="AA284" s="48">
        <f t="shared" si="58"/>
        <v>9924.7008824497461</v>
      </c>
      <c r="AB284" s="48">
        <v>0</v>
      </c>
      <c r="AC284" s="48">
        <v>0</v>
      </c>
      <c r="AD284" s="48">
        <v>0</v>
      </c>
      <c r="AE284" s="48">
        <v>0</v>
      </c>
      <c r="AF284" s="48">
        <v>0</v>
      </c>
      <c r="AG284" s="48">
        <v>0</v>
      </c>
      <c r="AH284" s="48">
        <v>0</v>
      </c>
      <c r="AI284" s="48">
        <v>0</v>
      </c>
      <c r="AJ284" s="48">
        <v>0</v>
      </c>
      <c r="AK284" s="48">
        <v>0</v>
      </c>
      <c r="AL284" s="48">
        <v>0</v>
      </c>
      <c r="AM284" s="48">
        <v>0</v>
      </c>
      <c r="AN284" s="48">
        <v>0</v>
      </c>
      <c r="AO284" s="48">
        <v>0</v>
      </c>
      <c r="AP284" s="48">
        <v>0</v>
      </c>
      <c r="AQ284" s="48">
        <v>0</v>
      </c>
      <c r="AR284" s="48">
        <v>0</v>
      </c>
      <c r="AS284" s="48">
        <v>0</v>
      </c>
      <c r="AT284" s="48">
        <v>0</v>
      </c>
      <c r="AU284" s="48">
        <v>0</v>
      </c>
      <c r="AV284" s="48">
        <v>0</v>
      </c>
      <c r="AW284" s="48">
        <v>0</v>
      </c>
      <c r="AX284" s="48">
        <v>0</v>
      </c>
      <c r="AY284" s="48">
        <v>0</v>
      </c>
      <c r="AZ284" s="48">
        <v>0</v>
      </c>
      <c r="BA284" s="48">
        <v>0</v>
      </c>
      <c r="BB284" s="48">
        <v>0</v>
      </c>
    </row>
    <row r="285" spans="3:54" ht="15" hidden="1" customHeight="1" x14ac:dyDescent="0.3">
      <c r="C285" s="9" t="s">
        <v>350</v>
      </c>
      <c r="G285" s="48" t="e">
        <f>G282-#REF!</f>
        <v>#REF!</v>
      </c>
      <c r="H285" s="48">
        <f t="shared" ref="H285:AX285" si="59">H282-G282</f>
        <v>19281.1803565952</v>
      </c>
      <c r="I285" s="48">
        <f t="shared" si="59"/>
        <v>19098.587190402439</v>
      </c>
      <c r="J285" s="48">
        <f t="shared" si="59"/>
        <v>18894.609238979174</v>
      </c>
      <c r="K285" s="48">
        <f t="shared" si="59"/>
        <v>18683.475609421963</v>
      </c>
      <c r="L285" s="48">
        <f t="shared" si="59"/>
        <v>18458.935364508303</v>
      </c>
      <c r="M285" s="48">
        <f t="shared" si="59"/>
        <v>18231.763146029087</v>
      </c>
      <c r="N285" s="48">
        <f t="shared" si="59"/>
        <v>17984.110883232905</v>
      </c>
      <c r="O285" s="48">
        <f t="shared" si="59"/>
        <v>17726.83546708338</v>
      </c>
      <c r="P285" s="48">
        <f t="shared" si="59"/>
        <v>17457.140425665537</v>
      </c>
      <c r="Q285" s="48">
        <f t="shared" si="59"/>
        <v>17173.051778804744</v>
      </c>
      <c r="R285" s="48">
        <f t="shared" si="59"/>
        <v>16881.889702983666</v>
      </c>
      <c r="S285" s="48">
        <f t="shared" si="59"/>
        <v>30674.059901693137</v>
      </c>
      <c r="T285" s="48">
        <f t="shared" si="59"/>
        <v>30886.365450864425</v>
      </c>
      <c r="U285" s="48">
        <f t="shared" si="59"/>
        <v>30792.897185363108</v>
      </c>
      <c r="V285" s="48">
        <f t="shared" si="59"/>
        <v>30684.70830391394</v>
      </c>
      <c r="W285" s="48">
        <f t="shared" si="59"/>
        <v>30556.683593166992</v>
      </c>
      <c r="X285" s="48">
        <f t="shared" si="59"/>
        <v>30411.80068840459</v>
      </c>
      <c r="Y285" s="48">
        <f t="shared" si="59"/>
        <v>30255.431159225293</v>
      </c>
      <c r="Z285" s="48">
        <f t="shared" si="59"/>
        <v>30084.218872500351</v>
      </c>
      <c r="AA285" s="48">
        <f t="shared" si="59"/>
        <v>29893.97231924301</v>
      </c>
      <c r="AB285" s="48">
        <f t="shared" si="59"/>
        <v>29692.012504018843</v>
      </c>
      <c r="AC285" s="48">
        <f t="shared" si="59"/>
        <v>29470.693643684266</v>
      </c>
      <c r="AD285" s="48">
        <f t="shared" si="59"/>
        <v>29237.001678610919</v>
      </c>
      <c r="AE285" s="48">
        <f t="shared" si="59"/>
        <v>28995.642386308638</v>
      </c>
      <c r="AF285" s="48">
        <f t="shared" si="59"/>
        <v>28732.596021370497</v>
      </c>
      <c r="AG285" s="48">
        <f t="shared" si="59"/>
        <v>28463.085948417895</v>
      </c>
      <c r="AH285" s="48">
        <f t="shared" si="59"/>
        <v>22734.187817959581</v>
      </c>
      <c r="AI285" s="48">
        <f t="shared" si="59"/>
        <v>22410.262942430563</v>
      </c>
      <c r="AJ285" s="48">
        <f t="shared" si="59"/>
        <v>22071.800351214129</v>
      </c>
      <c r="AK285" s="48">
        <f t="shared" si="59"/>
        <v>21718.918743069749</v>
      </c>
      <c r="AL285" s="48">
        <f t="shared" si="59"/>
        <v>21351.752385769505</v>
      </c>
      <c r="AM285" s="48">
        <f t="shared" si="59"/>
        <v>20970.451087654103</v>
      </c>
      <c r="AN285" s="48">
        <f t="shared" si="59"/>
        <v>20575.180145719554</v>
      </c>
      <c r="AO285" s="48">
        <f t="shared" si="59"/>
        <v>20166.120270138606</v>
      </c>
      <c r="AP285" s="48">
        <f t="shared" si="59"/>
        <v>19743.467485126108</v>
      </c>
      <c r="AQ285" s="48">
        <f t="shared" si="59"/>
        <v>19307.433006157633</v>
      </c>
      <c r="AR285" s="48">
        <f t="shared" si="59"/>
        <v>18858.243093542289</v>
      </c>
      <c r="AS285" s="48">
        <f t="shared" si="59"/>
        <v>18396.13888244424</v>
      </c>
      <c r="AT285" s="48">
        <f t="shared" si="59"/>
        <v>17921.376189478207</v>
      </c>
      <c r="AU285" s="48">
        <f t="shared" si="59"/>
        <v>17434.22529601166</v>
      </c>
      <c r="AV285" s="48">
        <f t="shared" si="59"/>
        <v>16934.97070844844</v>
      </c>
      <c r="AW285" s="48">
        <f t="shared" si="59"/>
        <v>16423.91089569591</v>
      </c>
      <c r="AX285" s="48">
        <f t="shared" si="59"/>
        <v>15901.358004185837</v>
      </c>
      <c r="AY285" s="48">
        <v>0</v>
      </c>
      <c r="AZ285" s="48">
        <v>0</v>
      </c>
      <c r="BA285" s="48">
        <v>0</v>
      </c>
      <c r="BB285" s="48">
        <v>0</v>
      </c>
    </row>
    <row r="286" spans="3:54" ht="15" hidden="1" customHeight="1" x14ac:dyDescent="0.3">
      <c r="C286" s="49" t="s">
        <v>351</v>
      </c>
    </row>
    <row r="287" spans="3:54" ht="15" hidden="1" customHeight="1" x14ac:dyDescent="0.3">
      <c r="C287" s="46" t="s">
        <v>352</v>
      </c>
      <c r="G287" s="9" t="e">
        <f t="shared" ref="G287:BB289" si="60">G283*G275</f>
        <v>#REF!</v>
      </c>
      <c r="H287" s="9">
        <f t="shared" si="60"/>
        <v>54852959.426954955</v>
      </c>
      <c r="I287" s="9">
        <f t="shared" si="60"/>
        <v>55039836.307104968</v>
      </c>
      <c r="J287" s="9">
        <f t="shared" si="60"/>
        <v>55159872.282298803</v>
      </c>
      <c r="K287" s="9">
        <f t="shared" si="60"/>
        <v>55252566.002831846</v>
      </c>
      <c r="L287" s="9">
        <f t="shared" si="60"/>
        <v>55298184.997650929</v>
      </c>
      <c r="M287" s="9">
        <f t="shared" si="60"/>
        <v>55327665.190962724</v>
      </c>
      <c r="N287" s="9">
        <f t="shared" si="60"/>
        <v>55285608.028445177</v>
      </c>
      <c r="O287" s="9">
        <f t="shared" si="60"/>
        <v>55203139.541769214</v>
      </c>
      <c r="P287" s="9">
        <f t="shared" si="60"/>
        <v>55070004.863357119</v>
      </c>
      <c r="Q287" s="9">
        <f t="shared" si="60"/>
        <v>54878083.248599179</v>
      </c>
      <c r="R287" s="9">
        <f t="shared" si="60"/>
        <v>54648967.191898972</v>
      </c>
      <c r="S287" s="9">
        <f t="shared" si="60"/>
        <v>0</v>
      </c>
      <c r="T287" s="9">
        <f t="shared" si="60"/>
        <v>0</v>
      </c>
      <c r="U287" s="9">
        <f t="shared" si="60"/>
        <v>0</v>
      </c>
      <c r="V287" s="9">
        <f t="shared" si="60"/>
        <v>0</v>
      </c>
      <c r="W287" s="9">
        <f t="shared" si="60"/>
        <v>0</v>
      </c>
      <c r="X287" s="9">
        <f t="shared" si="60"/>
        <v>0</v>
      </c>
      <c r="Y287" s="9">
        <f t="shared" si="60"/>
        <v>0</v>
      </c>
      <c r="Z287" s="9">
        <f t="shared" si="60"/>
        <v>0</v>
      </c>
      <c r="AA287" s="9">
        <f t="shared" si="60"/>
        <v>0</v>
      </c>
      <c r="AB287" s="9">
        <f t="shared" si="60"/>
        <v>0</v>
      </c>
      <c r="AC287" s="9">
        <f t="shared" si="60"/>
        <v>0</v>
      </c>
      <c r="AD287" s="9">
        <f t="shared" si="60"/>
        <v>0</v>
      </c>
      <c r="AE287" s="9">
        <f t="shared" si="60"/>
        <v>0</v>
      </c>
      <c r="AF287" s="9">
        <f t="shared" si="60"/>
        <v>0</v>
      </c>
      <c r="AG287" s="9">
        <f t="shared" si="60"/>
        <v>0</v>
      </c>
      <c r="AH287" s="9">
        <f t="shared" si="60"/>
        <v>0</v>
      </c>
      <c r="AI287" s="9">
        <f t="shared" si="60"/>
        <v>0</v>
      </c>
      <c r="AJ287" s="9">
        <f t="shared" si="60"/>
        <v>0</v>
      </c>
      <c r="AK287" s="9">
        <f t="shared" si="60"/>
        <v>0</v>
      </c>
      <c r="AL287" s="9">
        <f t="shared" si="60"/>
        <v>0</v>
      </c>
      <c r="AM287" s="9">
        <f t="shared" si="60"/>
        <v>0</v>
      </c>
      <c r="AN287" s="9">
        <f t="shared" si="60"/>
        <v>0</v>
      </c>
      <c r="AO287" s="9">
        <f t="shared" si="60"/>
        <v>0</v>
      </c>
      <c r="AP287" s="9">
        <f t="shared" si="60"/>
        <v>0</v>
      </c>
      <c r="AQ287" s="9">
        <f t="shared" si="60"/>
        <v>0</v>
      </c>
      <c r="AR287" s="9">
        <f t="shared" si="60"/>
        <v>0</v>
      </c>
      <c r="AS287" s="9">
        <f t="shared" si="60"/>
        <v>0</v>
      </c>
      <c r="AT287" s="9">
        <f t="shared" si="60"/>
        <v>0</v>
      </c>
      <c r="AU287" s="9">
        <f t="shared" si="60"/>
        <v>0</v>
      </c>
      <c r="AV287" s="9">
        <f t="shared" si="60"/>
        <v>0</v>
      </c>
      <c r="AW287" s="9">
        <f t="shared" si="60"/>
        <v>0</v>
      </c>
      <c r="AX287" s="9">
        <f t="shared" si="60"/>
        <v>0</v>
      </c>
      <c r="AY287" s="9">
        <f t="shared" si="60"/>
        <v>0</v>
      </c>
      <c r="AZ287" s="9">
        <f t="shared" si="60"/>
        <v>0</v>
      </c>
      <c r="BA287" s="9">
        <f t="shared" si="60"/>
        <v>0</v>
      </c>
      <c r="BB287" s="9">
        <f t="shared" si="60"/>
        <v>0</v>
      </c>
    </row>
    <row r="288" spans="3:54" ht="15" hidden="1" customHeight="1" x14ac:dyDescent="0.3">
      <c r="C288" s="9" t="s">
        <v>353</v>
      </c>
      <c r="G288" s="9" t="e">
        <f t="shared" ref="G288:U288" si="61">G284*G276</f>
        <v>#REF!</v>
      </c>
      <c r="H288" s="9">
        <f t="shared" si="61"/>
        <v>13319589.772801148</v>
      </c>
      <c r="I288" s="9">
        <f t="shared" si="61"/>
        <v>13193452.989470214</v>
      </c>
      <c r="J288" s="9">
        <f t="shared" si="61"/>
        <v>13052543.429712532</v>
      </c>
      <c r="K288" s="9">
        <f t="shared" si="61"/>
        <v>12906690.671689808</v>
      </c>
      <c r="L288" s="9">
        <f t="shared" si="61"/>
        <v>12751576.519214781</v>
      </c>
      <c r="M288" s="9">
        <f t="shared" si="61"/>
        <v>12594644.178872462</v>
      </c>
      <c r="N288" s="9">
        <f t="shared" si="61"/>
        <v>12423564.06418304</v>
      </c>
      <c r="O288" s="9">
        <f t="shared" si="61"/>
        <v>12245836.200102232</v>
      </c>
      <c r="P288" s="9">
        <f t="shared" si="61"/>
        <v>12059528.762019705</v>
      </c>
      <c r="Q288" s="9">
        <f t="shared" si="61"/>
        <v>11863278.109034989</v>
      </c>
      <c r="R288" s="9">
        <f t="shared" si="61"/>
        <v>11662141.076155938</v>
      </c>
      <c r="S288" s="9">
        <f t="shared" si="61"/>
        <v>10981448.926708894</v>
      </c>
      <c r="T288" s="9">
        <f t="shared" si="61"/>
        <v>11572852.098235628</v>
      </c>
      <c r="U288" s="9">
        <f t="shared" si="61"/>
        <v>11351817.930850666</v>
      </c>
      <c r="V288" s="9">
        <f t="shared" si="60"/>
        <v>11126700.889257481</v>
      </c>
      <c r="W288" s="9">
        <f t="shared" si="60"/>
        <v>10894202.392757637</v>
      </c>
      <c r="X288" s="9">
        <f t="shared" si="60"/>
        <v>10656479.447209509</v>
      </c>
      <c r="Y288" s="9">
        <f t="shared" si="60"/>
        <v>10417171.314541483</v>
      </c>
      <c r="Z288" s="9">
        <f t="shared" si="60"/>
        <v>10174117.893514922</v>
      </c>
      <c r="AA288" s="9">
        <f t="shared" si="60"/>
        <v>9924700.8824497461</v>
      </c>
      <c r="AB288" s="9">
        <f t="shared" si="60"/>
        <v>0</v>
      </c>
      <c r="AC288" s="9">
        <f t="shared" si="60"/>
        <v>0</v>
      </c>
      <c r="AD288" s="9">
        <f t="shared" si="60"/>
        <v>0</v>
      </c>
      <c r="AE288" s="9">
        <f t="shared" si="60"/>
        <v>0</v>
      </c>
      <c r="AF288" s="9">
        <f t="shared" si="60"/>
        <v>0</v>
      </c>
      <c r="AG288" s="9">
        <f t="shared" si="60"/>
        <v>0</v>
      </c>
      <c r="AH288" s="9">
        <f t="shared" si="60"/>
        <v>0</v>
      </c>
      <c r="AI288" s="9">
        <f t="shared" si="60"/>
        <v>0</v>
      </c>
      <c r="AJ288" s="9">
        <f t="shared" si="60"/>
        <v>0</v>
      </c>
      <c r="AK288" s="9">
        <f t="shared" si="60"/>
        <v>0</v>
      </c>
      <c r="AL288" s="9">
        <f t="shared" si="60"/>
        <v>0</v>
      </c>
      <c r="AM288" s="9">
        <f t="shared" si="60"/>
        <v>0</v>
      </c>
      <c r="AN288" s="9">
        <f t="shared" si="60"/>
        <v>0</v>
      </c>
      <c r="AO288" s="9">
        <f t="shared" si="60"/>
        <v>0</v>
      </c>
      <c r="AP288" s="9">
        <f t="shared" si="60"/>
        <v>0</v>
      </c>
      <c r="AQ288" s="9">
        <f t="shared" si="60"/>
        <v>0</v>
      </c>
      <c r="AR288" s="9">
        <f t="shared" si="60"/>
        <v>0</v>
      </c>
      <c r="AS288" s="9">
        <f t="shared" si="60"/>
        <v>0</v>
      </c>
      <c r="AT288" s="9">
        <f t="shared" si="60"/>
        <v>0</v>
      </c>
      <c r="AU288" s="9">
        <f t="shared" si="60"/>
        <v>0</v>
      </c>
      <c r="AV288" s="9">
        <f t="shared" si="60"/>
        <v>0</v>
      </c>
      <c r="AW288" s="9">
        <f t="shared" si="60"/>
        <v>0</v>
      </c>
      <c r="AX288" s="9">
        <f t="shared" si="60"/>
        <v>0</v>
      </c>
      <c r="AY288" s="9">
        <f t="shared" si="60"/>
        <v>0</v>
      </c>
      <c r="AZ288" s="9">
        <f t="shared" si="60"/>
        <v>0</v>
      </c>
      <c r="BA288" s="9">
        <f t="shared" si="60"/>
        <v>0</v>
      </c>
      <c r="BB288" s="9">
        <f t="shared" si="60"/>
        <v>0</v>
      </c>
    </row>
    <row r="289" spans="1:55" ht="15" hidden="1" customHeight="1" x14ac:dyDescent="0.3">
      <c r="C289" s="9" t="s">
        <v>354</v>
      </c>
      <c r="G289" s="9" t="e">
        <f t="shared" si="60"/>
        <v>#REF!</v>
      </c>
      <c r="H289" s="9">
        <f t="shared" si="60"/>
        <v>7577.5038801419141</v>
      </c>
      <c r="I289" s="9">
        <f t="shared" si="60"/>
        <v>7505.744765828159</v>
      </c>
      <c r="J289" s="9">
        <f t="shared" si="60"/>
        <v>7425.5814309188154</v>
      </c>
      <c r="K289" s="9">
        <f t="shared" si="60"/>
        <v>7342.6059145028321</v>
      </c>
      <c r="L289" s="9">
        <f t="shared" si="60"/>
        <v>7254.3615982517631</v>
      </c>
      <c r="M289" s="9">
        <f t="shared" si="60"/>
        <v>7165.0829163894314</v>
      </c>
      <c r="N289" s="9">
        <f t="shared" si="60"/>
        <v>7067.7555771105317</v>
      </c>
      <c r="O289" s="9">
        <f t="shared" si="60"/>
        <v>6966.646338563768</v>
      </c>
      <c r="P289" s="9">
        <f t="shared" si="60"/>
        <v>6860.6561872865559</v>
      </c>
      <c r="Q289" s="9">
        <f t="shared" si="60"/>
        <v>6749.0093490702648</v>
      </c>
      <c r="R289" s="9">
        <f t="shared" si="60"/>
        <v>6634.5826532725814</v>
      </c>
      <c r="S289" s="9">
        <f t="shared" si="60"/>
        <v>11934.35648595175</v>
      </c>
      <c r="T289" s="9">
        <f t="shared" si="60"/>
        <v>11902.857794719241</v>
      </c>
      <c r="U289" s="9">
        <f t="shared" si="60"/>
        <v>11753.082266344889</v>
      </c>
      <c r="V289" s="9">
        <f t="shared" si="60"/>
        <v>11598.433111554841</v>
      </c>
      <c r="W289" s="9">
        <f t="shared" si="60"/>
        <v>11437.158883473972</v>
      </c>
      <c r="X289" s="9">
        <f t="shared" si="60"/>
        <v>11270.582923322054</v>
      </c>
      <c r="Y289" s="9">
        <f t="shared" si="60"/>
        <v>11100.862918389324</v>
      </c>
      <c r="Z289" s="9">
        <f t="shared" si="60"/>
        <v>10926.907187212177</v>
      </c>
      <c r="AA289" s="9">
        <f t="shared" si="60"/>
        <v>10747.373309913899</v>
      </c>
      <c r="AB289" s="9">
        <f t="shared" si="60"/>
        <v>10565.077211607495</v>
      </c>
      <c r="AC289" s="9">
        <f t="shared" si="60"/>
        <v>10377.456411363253</v>
      </c>
      <c r="AD289" s="9">
        <f t="shared" si="60"/>
        <v>10187.159595484782</v>
      </c>
      <c r="AE289" s="9">
        <f t="shared" si="60"/>
        <v>9995.9461579990857</v>
      </c>
      <c r="AF289" s="9">
        <f t="shared" si="60"/>
        <v>9799.1197031467091</v>
      </c>
      <c r="AG289" s="9">
        <f t="shared" si="60"/>
        <v>9602.0562004019157</v>
      </c>
      <c r="AH289" s="9">
        <f t="shared" si="60"/>
        <v>7619.0147594317823</v>
      </c>
      <c r="AI289" s="9">
        <f t="shared" si="60"/>
        <v>7460.783503910171</v>
      </c>
      <c r="AJ289" s="9">
        <f t="shared" si="60"/>
        <v>7299.1805738990888</v>
      </c>
      <c r="AK289" s="9">
        <f t="shared" si="60"/>
        <v>7134.3416295875159</v>
      </c>
      <c r="AL289" s="9">
        <f t="shared" si="60"/>
        <v>6966.4063584516771</v>
      </c>
      <c r="AM289" s="9">
        <f t="shared" si="60"/>
        <v>6795.5182934925751</v>
      </c>
      <c r="AN289" s="9">
        <f t="shared" si="60"/>
        <v>6621.824624298536</v>
      </c>
      <c r="AO289" s="9">
        <f t="shared" si="60"/>
        <v>6445.4760012662427</v>
      </c>
      <c r="AP289" s="9">
        <f t="shared" si="60"/>
        <v>6266.62633331709</v>
      </c>
      <c r="AQ289" s="9">
        <f t="shared" si="60"/>
        <v>6085.4325794788001</v>
      </c>
      <c r="AR289" s="9">
        <f t="shared" si="60"/>
        <v>5902.0545346995223</v>
      </c>
      <c r="AS289" s="9">
        <f t="shared" si="60"/>
        <v>5716.6546102906404</v>
      </c>
      <c r="AT289" s="9">
        <f t="shared" si="60"/>
        <v>5529.3976094023719</v>
      </c>
      <c r="AU289" s="9">
        <f t="shared" si="60"/>
        <v>5340.4504979362682</v>
      </c>
      <c r="AV289" s="9">
        <f t="shared" si="60"/>
        <v>5149.9821713395795</v>
      </c>
      <c r="AW289" s="9">
        <f t="shared" si="60"/>
        <v>4958.1632176996436</v>
      </c>
      <c r="AX289" s="9">
        <f t="shared" si="60"/>
        <v>4765.1656776032514</v>
      </c>
      <c r="AY289" s="9">
        <f t="shared" si="60"/>
        <v>0</v>
      </c>
      <c r="AZ289" s="9">
        <f t="shared" si="60"/>
        <v>0</v>
      </c>
      <c r="BA289" s="9">
        <f t="shared" si="60"/>
        <v>0</v>
      </c>
      <c r="BB289" s="9">
        <f t="shared" si="60"/>
        <v>0</v>
      </c>
    </row>
    <row r="290" spans="1:55" ht="15" hidden="1" customHeight="1" x14ac:dyDescent="0.3"/>
    <row r="291" spans="1:55" ht="15" hidden="1" customHeight="1" x14ac:dyDescent="0.3">
      <c r="C291" s="9" t="s">
        <v>355</v>
      </c>
    </row>
    <row r="292" spans="1:55" ht="15" hidden="1" customHeight="1" x14ac:dyDescent="0.3">
      <c r="C292" s="13" t="s">
        <v>340</v>
      </c>
      <c r="G292" s="9">
        <v>22.162344749999999</v>
      </c>
      <c r="H292" s="9">
        <v>21.87423426825</v>
      </c>
      <c r="I292" s="9">
        <v>21.589869222762751</v>
      </c>
      <c r="J292" s="9">
        <v>21.309200922866836</v>
      </c>
      <c r="K292" s="9">
        <v>21.032181310869568</v>
      </c>
      <c r="L292" s="9">
        <v>20.758762953828263</v>
      </c>
      <c r="M292" s="9">
        <v>20.488899035428496</v>
      </c>
      <c r="N292" s="9">
        <v>20.222543347967925</v>
      </c>
      <c r="O292" s="9">
        <v>19.95965028444434</v>
      </c>
      <c r="P292" s="9">
        <v>19.700174830746562</v>
      </c>
      <c r="Q292" s="9">
        <v>19.444072557946857</v>
      </c>
      <c r="R292" s="9">
        <v>19.191299614693548</v>
      </c>
      <c r="S292" s="9">
        <v>18.941812719702533</v>
      </c>
      <c r="T292" s="9">
        <v>18.695569154346401</v>
      </c>
      <c r="U292" s="9">
        <v>18.452526755339896</v>
      </c>
      <c r="V292" s="9">
        <v>18.212643907520476</v>
      </c>
      <c r="W292" s="9">
        <v>17.975879536722712</v>
      </c>
      <c r="X292" s="9">
        <v>17.742193102745315</v>
      </c>
      <c r="Y292" s="9">
        <v>17.511544592409624</v>
      </c>
      <c r="Z292" s="9">
        <v>17.283894512708297</v>
      </c>
      <c r="AA292" s="9">
        <v>17.05920388404309</v>
      </c>
      <c r="AB292" s="9">
        <v>16.837434233550528</v>
      </c>
      <c r="AC292" s="9">
        <v>16.618547588514371</v>
      </c>
      <c r="AD292" s="9">
        <v>16.402506469863685</v>
      </c>
      <c r="AE292" s="9">
        <v>16.189273885755458</v>
      </c>
      <c r="AF292" s="9">
        <v>15.978813325240637</v>
      </c>
      <c r="AG292" s="9">
        <v>15.771088752012508</v>
      </c>
      <c r="AH292" s="9">
        <v>15.566064598236345</v>
      </c>
      <c r="AI292" s="9">
        <v>15.363705758459272</v>
      </c>
      <c r="AJ292" s="9">
        <v>15.163977583599301</v>
      </c>
      <c r="AK292" s="9">
        <v>14.96684587501251</v>
      </c>
      <c r="AL292" s="9">
        <v>14.772276878637348</v>
      </c>
      <c r="AM292" s="9">
        <v>14.580237279215062</v>
      </c>
      <c r="AN292" s="9">
        <v>14.390694194585267</v>
      </c>
      <c r="AO292" s="9">
        <v>14.203615170055658</v>
      </c>
      <c r="AP292" s="9">
        <v>14.018968172844934</v>
      </c>
      <c r="AQ292" s="9">
        <v>13.83672158659795</v>
      </c>
      <c r="AR292" s="9">
        <v>13.656844205972176</v>
      </c>
      <c r="AS292" s="9">
        <v>13.479305231294537</v>
      </c>
      <c r="AT292" s="9">
        <v>13.304074263287708</v>
      </c>
      <c r="AU292" s="9">
        <v>13.131121297864969</v>
      </c>
      <c r="AV292" s="9">
        <v>12.960416720992724</v>
      </c>
      <c r="AW292" s="9">
        <v>12.791931303619819</v>
      </c>
      <c r="AX292" s="9">
        <v>12.625636196672762</v>
      </c>
      <c r="AY292" s="9">
        <v>12.461502926116015</v>
      </c>
      <c r="AZ292" s="9">
        <v>12.299503388076507</v>
      </c>
      <c r="BA292" s="9">
        <v>12.139609844031513</v>
      </c>
      <c r="BB292" s="9">
        <v>11.981794916059103</v>
      </c>
    </row>
    <row r="293" spans="1:55" ht="15" hidden="1" customHeight="1" x14ac:dyDescent="0.3">
      <c r="C293" s="9" t="s">
        <v>356</v>
      </c>
      <c r="G293" s="9">
        <v>23.345344749999995</v>
      </c>
      <c r="H293" s="9">
        <v>23.648834231749994</v>
      </c>
      <c r="I293" s="9">
        <v>23.956269076762741</v>
      </c>
      <c r="J293" s="9">
        <v>24.267700574760653</v>
      </c>
      <c r="K293" s="9">
        <v>24.583180682232538</v>
      </c>
      <c r="L293" s="9">
        <v>24.90276203110156</v>
      </c>
      <c r="M293" s="9">
        <v>25.226497937505876</v>
      </c>
      <c r="N293" s="9">
        <v>25.554442410693451</v>
      </c>
      <c r="O293" s="9">
        <v>25.886650162032463</v>
      </c>
      <c r="P293" s="9">
        <v>26.223176614138882</v>
      </c>
      <c r="Q293" s="9">
        <v>26.564077910122684</v>
      </c>
      <c r="R293" s="9">
        <v>26.909410922954276</v>
      </c>
      <c r="S293" s="9">
        <v>27.25923326495268</v>
      </c>
      <c r="T293" s="9">
        <v>27.613603297397063</v>
      </c>
      <c r="U293" s="9">
        <v>27.972580140263222</v>
      </c>
      <c r="V293" s="9">
        <v>28.33622368208664</v>
      </c>
      <c r="W293" s="9">
        <v>28.704594589953764</v>
      </c>
      <c r="X293" s="9">
        <v>29.07775431962316</v>
      </c>
      <c r="Y293" s="9">
        <v>29.45576512577826</v>
      </c>
      <c r="Z293" s="9">
        <v>29.838690072413375</v>
      </c>
      <c r="AA293" s="9">
        <v>30.226593043354747</v>
      </c>
      <c r="AB293" s="9">
        <v>30.619538752918356</v>
      </c>
      <c r="AC293" s="9">
        <v>31.017592756706293</v>
      </c>
      <c r="AD293" s="9">
        <v>31.420821462543472</v>
      </c>
      <c r="AE293" s="9">
        <v>31.829292141556532</v>
      </c>
      <c r="AF293" s="9">
        <v>32.243072939396761</v>
      </c>
      <c r="AG293" s="9">
        <v>32.662232887608916</v>
      </c>
      <c r="AH293" s="9">
        <v>33.086841915147829</v>
      </c>
      <c r="AI293" s="9">
        <v>33.516970860044751</v>
      </c>
      <c r="AJ293" s="9">
        <v>33.95269148122533</v>
      </c>
      <c r="AK293" s="9">
        <v>34.394076470481252</v>
      </c>
      <c r="AL293" s="9">
        <v>34.841199464597508</v>
      </c>
      <c r="AM293" s="9">
        <v>35.29413505763727</v>
      </c>
      <c r="AN293" s="9">
        <v>35.752958813386549</v>
      </c>
      <c r="AO293" s="9">
        <v>36.217747277960569</v>
      </c>
      <c r="AP293" s="9">
        <v>36.688577992574054</v>
      </c>
      <c r="AQ293" s="9">
        <v>37.165529506477512</v>
      </c>
      <c r="AR293" s="9">
        <v>37.648681390061718</v>
      </c>
      <c r="AS293" s="9">
        <v>38.138114248132517</v>
      </c>
      <c r="AT293" s="9">
        <v>38.633909733358237</v>
      </c>
      <c r="AU293" s="9">
        <v>39.136150559891888</v>
      </c>
      <c r="AV293" s="9">
        <v>39.644920517170476</v>
      </c>
      <c r="AW293" s="9">
        <v>40.16030448389369</v>
      </c>
      <c r="AX293" s="9">
        <v>40.682388442184305</v>
      </c>
      <c r="AY293" s="9">
        <v>41.211259491932694</v>
      </c>
      <c r="AZ293" s="9">
        <v>41.747005865327814</v>
      </c>
      <c r="BA293" s="9">
        <v>42.289716941577069</v>
      </c>
      <c r="BB293" s="9">
        <v>42.83948326181757</v>
      </c>
    </row>
    <row r="294" spans="1:55" ht="15" hidden="1" customHeight="1" x14ac:dyDescent="0.3"/>
    <row r="295" spans="1:55" ht="15" hidden="1" customHeight="1" x14ac:dyDescent="0.3">
      <c r="C295" s="9" t="s">
        <v>355</v>
      </c>
    </row>
    <row r="296" spans="1:55" ht="15" hidden="1" customHeight="1" x14ac:dyDescent="0.3">
      <c r="C296" s="9" t="s">
        <v>340</v>
      </c>
      <c r="G296" s="9">
        <v>41.158640249999998</v>
      </c>
      <c r="H296" s="9">
        <v>40.623577926749995</v>
      </c>
      <c r="I296" s="9">
        <v>40.095471413702242</v>
      </c>
      <c r="J296" s="9">
        <v>39.574230285324113</v>
      </c>
      <c r="K296" s="9">
        <v>39.059765291614902</v>
      </c>
      <c r="L296" s="9">
        <v>38.551988342823904</v>
      </c>
      <c r="M296" s="9">
        <v>38.050812494367193</v>
      </c>
      <c r="N296" s="9">
        <v>37.55615193194042</v>
      </c>
      <c r="O296" s="9">
        <v>37.067921956825195</v>
      </c>
      <c r="P296" s="9">
        <v>36.586038971386465</v>
      </c>
      <c r="Q296" s="9">
        <v>36.110420464758441</v>
      </c>
      <c r="R296" s="9">
        <v>35.640984998716583</v>
      </c>
      <c r="S296" s="9">
        <v>35.177652193733266</v>
      </c>
      <c r="T296" s="9">
        <v>34.720342715214734</v>
      </c>
      <c r="U296" s="9">
        <v>34.268978259916942</v>
      </c>
      <c r="V296" s="9">
        <v>33.823481542538019</v>
      </c>
      <c r="W296" s="9">
        <v>33.383776282485023</v>
      </c>
      <c r="X296" s="9">
        <v>32.949787190812721</v>
      </c>
      <c r="Y296" s="9">
        <v>32.521439957332156</v>
      </c>
      <c r="Z296" s="9">
        <v>32.098661237886837</v>
      </c>
      <c r="AA296" s="9">
        <v>31.681378641794307</v>
      </c>
      <c r="AB296" s="9">
        <v>31.269520719450981</v>
      </c>
      <c r="AC296" s="9">
        <v>30.863016950098118</v>
      </c>
      <c r="AD296" s="9">
        <v>30.461797729746841</v>
      </c>
      <c r="AE296" s="9">
        <v>30.065794359260131</v>
      </c>
      <c r="AF296" s="9">
        <v>29.674939032589748</v>
      </c>
      <c r="AG296" s="9">
        <v>29.289164825166083</v>
      </c>
      <c r="AH296" s="9">
        <v>28.908405682438922</v>
      </c>
      <c r="AI296" s="9">
        <v>28.532596408567215</v>
      </c>
      <c r="AJ296" s="9">
        <v>28.161672655255842</v>
      </c>
      <c r="AK296" s="9">
        <v>27.795570910737517</v>
      </c>
      <c r="AL296" s="9">
        <v>27.434228488897929</v>
      </c>
      <c r="AM296" s="9">
        <v>27.077583518542255</v>
      </c>
      <c r="AN296" s="9">
        <v>26.725574932801205</v>
      </c>
      <c r="AO296" s="9">
        <v>26.378142458674787</v>
      </c>
      <c r="AP296" s="9">
        <v>26.035226606712015</v>
      </c>
      <c r="AQ296" s="9">
        <v>25.696768660824759</v>
      </c>
      <c r="AR296" s="9">
        <v>25.362710668234037</v>
      </c>
      <c r="AS296" s="9">
        <v>25.032995429546993</v>
      </c>
      <c r="AT296" s="9">
        <v>24.707566488962883</v>
      </c>
      <c r="AU296" s="9">
        <v>24.386368124606363</v>
      </c>
      <c r="AV296" s="9">
        <v>24.06934533898648</v>
      </c>
      <c r="AW296" s="9">
        <v>23.756443849579654</v>
      </c>
      <c r="AX296" s="9">
        <v>23.447610079535117</v>
      </c>
      <c r="AY296" s="9">
        <v>23.142791148501161</v>
      </c>
      <c r="AZ296" s="9">
        <v>22.841934863570646</v>
      </c>
      <c r="BA296" s="9">
        <v>22.544989710344229</v>
      </c>
      <c r="BB296" s="9">
        <v>22.251904844109752</v>
      </c>
    </row>
    <row r="297" spans="1:55" ht="15" hidden="1" customHeight="1" x14ac:dyDescent="0.3">
      <c r="C297" s="9" t="s">
        <v>356</v>
      </c>
      <c r="G297" s="9">
        <v>43.355640249999986</v>
      </c>
      <c r="H297" s="9">
        <v>43.919263573249985</v>
      </c>
      <c r="I297" s="9">
        <v>44.490213999702227</v>
      </c>
      <c r="J297" s="9">
        <v>45.06858678169835</v>
      </c>
      <c r="K297" s="9">
        <v>45.654478409860424</v>
      </c>
      <c r="L297" s="9">
        <v>46.247986629188603</v>
      </c>
      <c r="M297" s="9">
        <v>46.849210455368052</v>
      </c>
      <c r="N297" s="9">
        <v>47.458250191287831</v>
      </c>
      <c r="O297" s="9">
        <v>48.075207443774566</v>
      </c>
      <c r="P297" s="9">
        <v>48.700185140543631</v>
      </c>
      <c r="Q297" s="9">
        <v>49.333287547370695</v>
      </c>
      <c r="R297" s="9">
        <v>49.974620285486509</v>
      </c>
      <c r="S297" s="9">
        <v>50.624290349197828</v>
      </c>
      <c r="T297" s="9">
        <v>51.282406123737395</v>
      </c>
      <c r="U297" s="9">
        <v>51.949077403345974</v>
      </c>
      <c r="V297" s="9">
        <v>52.624415409589467</v>
      </c>
      <c r="W297" s="9">
        <v>53.308532809914126</v>
      </c>
      <c r="X297" s="9">
        <v>54.001543736443004</v>
      </c>
      <c r="Y297" s="9">
        <v>54.703563805016756</v>
      </c>
      <c r="Z297" s="9">
        <v>55.414710134481972</v>
      </c>
      <c r="AA297" s="9">
        <v>56.135101366230231</v>
      </c>
      <c r="AB297" s="9">
        <v>56.864857683991218</v>
      </c>
      <c r="AC297" s="9">
        <v>57.604100833883095</v>
      </c>
      <c r="AD297" s="9">
        <v>58.352954144723569</v>
      </c>
      <c r="AE297" s="9">
        <v>59.111542548604966</v>
      </c>
      <c r="AF297" s="9">
        <v>59.879992601736824</v>
      </c>
      <c r="AG297" s="9">
        <v>60.658432505559396</v>
      </c>
      <c r="AH297" s="9">
        <v>61.446992128131662</v>
      </c>
      <c r="AI297" s="9">
        <v>62.245803025797365</v>
      </c>
      <c r="AJ297" s="9">
        <v>63.054998465132726</v>
      </c>
      <c r="AK297" s="9">
        <v>63.874713445179445</v>
      </c>
      <c r="AL297" s="9">
        <v>64.705084719966777</v>
      </c>
      <c r="AM297" s="9">
        <v>65.546250821326339</v>
      </c>
      <c r="AN297" s="9">
        <v>66.398352082003569</v>
      </c>
      <c r="AO297" s="9">
        <v>67.261530659069606</v>
      </c>
      <c r="AP297" s="9">
        <v>68.135930557637508</v>
      </c>
      <c r="AQ297" s="9">
        <v>69.021697654886793</v>
      </c>
      <c r="AR297" s="9">
        <v>69.918979724400316</v>
      </c>
      <c r="AS297" s="9">
        <v>70.827926460817508</v>
      </c>
      <c r="AT297" s="9">
        <v>71.748689504808127</v>
      </c>
      <c r="AU297" s="9">
        <v>72.681422468370627</v>
      </c>
      <c r="AV297" s="9">
        <v>73.626280960459439</v>
      </c>
      <c r="AW297" s="9">
        <v>74.583422612945398</v>
      </c>
      <c r="AX297" s="9">
        <v>75.553007106913682</v>
      </c>
      <c r="AY297" s="9">
        <v>76.535196199303556</v>
      </c>
      <c r="AZ297" s="9">
        <v>77.530153749894495</v>
      </c>
      <c r="BA297" s="9">
        <v>78.538045748643114</v>
      </c>
      <c r="BB297" s="9">
        <v>79.559040343375472</v>
      </c>
    </row>
    <row r="299" spans="1:55" ht="14.4" customHeight="1" x14ac:dyDescent="0.3">
      <c r="A299" s="16" t="s">
        <v>313</v>
      </c>
      <c r="B299" s="16"/>
      <c r="C299" s="31" t="s">
        <v>357</v>
      </c>
      <c r="D299" s="351"/>
      <c r="E299" s="351"/>
      <c r="F299" s="35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c r="AV299" s="21"/>
      <c r="AW299" s="21"/>
      <c r="AX299" s="21"/>
      <c r="AY299" s="21"/>
      <c r="AZ299" s="21"/>
      <c r="BA299" s="21"/>
      <c r="BB299" s="21"/>
      <c r="BC299" s="21"/>
    </row>
    <row r="300" spans="1:55" ht="15" customHeight="1" x14ac:dyDescent="0.3">
      <c r="C300" s="47" t="s">
        <v>339</v>
      </c>
    </row>
    <row r="301" spans="1:55" ht="15" customHeight="1" x14ac:dyDescent="0.3">
      <c r="C301" s="46" t="s">
        <v>358</v>
      </c>
      <c r="E301" s="382" t="s">
        <v>208</v>
      </c>
      <c r="F301" s="382" t="s">
        <v>359</v>
      </c>
      <c r="G301" s="9" t="e">
        <f>#REF!*(1+1.3/100)</f>
        <v>#REF!</v>
      </c>
      <c r="H301" s="9" t="e">
        <f t="shared" ref="H301:W302" si="62">G301*(1+1.3/100)</f>
        <v>#REF!</v>
      </c>
      <c r="I301" s="9" t="e">
        <f t="shared" si="62"/>
        <v>#REF!</v>
      </c>
      <c r="J301" s="9" t="e">
        <f t="shared" si="62"/>
        <v>#REF!</v>
      </c>
      <c r="K301" s="9" t="e">
        <f t="shared" si="62"/>
        <v>#REF!</v>
      </c>
      <c r="L301" s="9" t="e">
        <f t="shared" si="62"/>
        <v>#REF!</v>
      </c>
      <c r="M301" s="9" t="e">
        <f t="shared" si="62"/>
        <v>#REF!</v>
      </c>
      <c r="N301" s="9" t="e">
        <f t="shared" si="62"/>
        <v>#REF!</v>
      </c>
      <c r="O301" s="9" t="e">
        <f t="shared" si="62"/>
        <v>#REF!</v>
      </c>
      <c r="P301" s="9" t="e">
        <f t="shared" si="62"/>
        <v>#REF!</v>
      </c>
      <c r="Q301" s="9" t="e">
        <f t="shared" si="62"/>
        <v>#REF!</v>
      </c>
      <c r="R301" s="9" t="e">
        <f t="shared" si="62"/>
        <v>#REF!</v>
      </c>
      <c r="S301" s="9" t="e">
        <f t="shared" si="62"/>
        <v>#REF!</v>
      </c>
      <c r="T301" s="9" t="e">
        <f t="shared" si="62"/>
        <v>#REF!</v>
      </c>
      <c r="U301" s="9" t="e">
        <f t="shared" si="62"/>
        <v>#REF!</v>
      </c>
      <c r="V301" s="9" t="e">
        <f t="shared" si="62"/>
        <v>#REF!</v>
      </c>
      <c r="W301" s="9" t="e">
        <f t="shared" si="62"/>
        <v>#REF!</v>
      </c>
      <c r="X301" s="9" t="e">
        <f t="shared" ref="X301:AM302" si="63">W301*(1+1.3/100)</f>
        <v>#REF!</v>
      </c>
      <c r="Y301" s="9" t="e">
        <f t="shared" si="63"/>
        <v>#REF!</v>
      </c>
      <c r="Z301" s="9" t="e">
        <f t="shared" si="63"/>
        <v>#REF!</v>
      </c>
      <c r="AA301" s="9" t="e">
        <f t="shared" si="63"/>
        <v>#REF!</v>
      </c>
      <c r="AB301" s="9" t="e">
        <f t="shared" si="63"/>
        <v>#REF!</v>
      </c>
      <c r="AC301" s="9" t="e">
        <f t="shared" si="63"/>
        <v>#REF!</v>
      </c>
      <c r="AD301" s="9" t="e">
        <f t="shared" si="63"/>
        <v>#REF!</v>
      </c>
      <c r="AE301" s="9" t="e">
        <f t="shared" si="63"/>
        <v>#REF!</v>
      </c>
      <c r="AF301" s="9" t="e">
        <f t="shared" si="63"/>
        <v>#REF!</v>
      </c>
      <c r="AG301" s="9" t="e">
        <f t="shared" si="63"/>
        <v>#REF!</v>
      </c>
      <c r="AH301" s="9" t="e">
        <f t="shared" si="63"/>
        <v>#REF!</v>
      </c>
      <c r="AI301" s="9" t="e">
        <f t="shared" si="63"/>
        <v>#REF!</v>
      </c>
      <c r="AJ301" s="9" t="e">
        <f t="shared" si="63"/>
        <v>#REF!</v>
      </c>
      <c r="AK301" s="9" t="e">
        <f t="shared" si="63"/>
        <v>#REF!</v>
      </c>
      <c r="AL301" s="9" t="e">
        <f t="shared" si="63"/>
        <v>#REF!</v>
      </c>
      <c r="AM301" s="9" t="e">
        <f t="shared" si="63"/>
        <v>#REF!</v>
      </c>
      <c r="AN301" s="9" t="e">
        <f t="shared" ref="AN301:BB302" si="64">AM301*(1+1.3/100)</f>
        <v>#REF!</v>
      </c>
      <c r="AO301" s="9" t="e">
        <f t="shared" si="64"/>
        <v>#REF!</v>
      </c>
      <c r="AP301" s="9" t="e">
        <f t="shared" si="64"/>
        <v>#REF!</v>
      </c>
      <c r="AQ301" s="9" t="e">
        <f t="shared" si="64"/>
        <v>#REF!</v>
      </c>
      <c r="AR301" s="9" t="e">
        <f t="shared" si="64"/>
        <v>#REF!</v>
      </c>
      <c r="AS301" s="9" t="e">
        <f t="shared" si="64"/>
        <v>#REF!</v>
      </c>
      <c r="AT301" s="9" t="e">
        <f t="shared" si="64"/>
        <v>#REF!</v>
      </c>
      <c r="AU301" s="9" t="e">
        <f t="shared" si="64"/>
        <v>#REF!</v>
      </c>
      <c r="AV301" s="9" t="e">
        <f t="shared" si="64"/>
        <v>#REF!</v>
      </c>
      <c r="AW301" s="9" t="e">
        <f t="shared" si="64"/>
        <v>#REF!</v>
      </c>
      <c r="AX301" s="9" t="e">
        <f t="shared" si="64"/>
        <v>#REF!</v>
      </c>
      <c r="AY301" s="9" t="e">
        <f t="shared" si="64"/>
        <v>#REF!</v>
      </c>
      <c r="AZ301" s="9" t="e">
        <f t="shared" si="64"/>
        <v>#REF!</v>
      </c>
      <c r="BA301" s="9" t="e">
        <f t="shared" si="64"/>
        <v>#REF!</v>
      </c>
      <c r="BB301" s="9" t="e">
        <f t="shared" si="64"/>
        <v>#REF!</v>
      </c>
    </row>
    <row r="302" spans="1:55" ht="15" customHeight="1" x14ac:dyDescent="0.3">
      <c r="C302" s="9" t="s">
        <v>360</v>
      </c>
      <c r="E302" s="382"/>
      <c r="F302" s="382"/>
      <c r="G302" s="9" t="e">
        <f>#REF!*(1+1.3/100)</f>
        <v>#REF!</v>
      </c>
      <c r="H302" s="9" t="e">
        <f t="shared" si="62"/>
        <v>#REF!</v>
      </c>
      <c r="I302" s="9" t="e">
        <f t="shared" si="62"/>
        <v>#REF!</v>
      </c>
      <c r="J302" s="9" t="e">
        <f t="shared" si="62"/>
        <v>#REF!</v>
      </c>
      <c r="K302" s="9" t="e">
        <f t="shared" si="62"/>
        <v>#REF!</v>
      </c>
      <c r="L302" s="9" t="e">
        <f t="shared" si="62"/>
        <v>#REF!</v>
      </c>
      <c r="M302" s="9" t="e">
        <f t="shared" si="62"/>
        <v>#REF!</v>
      </c>
      <c r="N302" s="9" t="e">
        <f t="shared" si="62"/>
        <v>#REF!</v>
      </c>
      <c r="O302" s="9" t="e">
        <f t="shared" si="62"/>
        <v>#REF!</v>
      </c>
      <c r="P302" s="9" t="e">
        <f t="shared" si="62"/>
        <v>#REF!</v>
      </c>
      <c r="Q302" s="9" t="e">
        <f t="shared" si="62"/>
        <v>#REF!</v>
      </c>
      <c r="R302" s="9" t="e">
        <f t="shared" si="62"/>
        <v>#REF!</v>
      </c>
      <c r="S302" s="9" t="e">
        <f t="shared" si="62"/>
        <v>#REF!</v>
      </c>
      <c r="T302" s="9" t="e">
        <f t="shared" si="62"/>
        <v>#REF!</v>
      </c>
      <c r="U302" s="9" t="e">
        <f t="shared" si="62"/>
        <v>#REF!</v>
      </c>
      <c r="V302" s="9" t="e">
        <f t="shared" si="62"/>
        <v>#REF!</v>
      </c>
      <c r="W302" s="9" t="e">
        <f t="shared" si="62"/>
        <v>#REF!</v>
      </c>
      <c r="X302" s="9" t="e">
        <f t="shared" si="63"/>
        <v>#REF!</v>
      </c>
      <c r="Y302" s="9" t="e">
        <f t="shared" si="63"/>
        <v>#REF!</v>
      </c>
      <c r="Z302" s="9" t="e">
        <f t="shared" si="63"/>
        <v>#REF!</v>
      </c>
      <c r="AA302" s="9" t="e">
        <f t="shared" si="63"/>
        <v>#REF!</v>
      </c>
      <c r="AB302" s="9" t="e">
        <f t="shared" si="63"/>
        <v>#REF!</v>
      </c>
      <c r="AC302" s="9" t="e">
        <f t="shared" si="63"/>
        <v>#REF!</v>
      </c>
      <c r="AD302" s="9" t="e">
        <f t="shared" si="63"/>
        <v>#REF!</v>
      </c>
      <c r="AE302" s="9" t="e">
        <f t="shared" si="63"/>
        <v>#REF!</v>
      </c>
      <c r="AF302" s="9" t="e">
        <f t="shared" si="63"/>
        <v>#REF!</v>
      </c>
      <c r="AG302" s="9" t="e">
        <f t="shared" si="63"/>
        <v>#REF!</v>
      </c>
      <c r="AH302" s="9" t="e">
        <f t="shared" si="63"/>
        <v>#REF!</v>
      </c>
      <c r="AI302" s="9" t="e">
        <f t="shared" si="63"/>
        <v>#REF!</v>
      </c>
      <c r="AJ302" s="9" t="e">
        <f t="shared" si="63"/>
        <v>#REF!</v>
      </c>
      <c r="AK302" s="9" t="e">
        <f t="shared" si="63"/>
        <v>#REF!</v>
      </c>
      <c r="AL302" s="9" t="e">
        <f t="shared" si="63"/>
        <v>#REF!</v>
      </c>
      <c r="AM302" s="9" t="e">
        <f t="shared" si="63"/>
        <v>#REF!</v>
      </c>
      <c r="AN302" s="9" t="e">
        <f t="shared" si="64"/>
        <v>#REF!</v>
      </c>
      <c r="AO302" s="9" t="e">
        <f t="shared" si="64"/>
        <v>#REF!</v>
      </c>
      <c r="AP302" s="9" t="e">
        <f t="shared" si="64"/>
        <v>#REF!</v>
      </c>
      <c r="AQ302" s="9" t="e">
        <f t="shared" si="64"/>
        <v>#REF!</v>
      </c>
      <c r="AR302" s="9" t="e">
        <f t="shared" si="64"/>
        <v>#REF!</v>
      </c>
      <c r="AS302" s="9" t="e">
        <f t="shared" si="64"/>
        <v>#REF!</v>
      </c>
      <c r="AT302" s="9" t="e">
        <f t="shared" si="64"/>
        <v>#REF!</v>
      </c>
      <c r="AU302" s="9" t="e">
        <f t="shared" si="64"/>
        <v>#REF!</v>
      </c>
      <c r="AV302" s="9" t="e">
        <f t="shared" si="64"/>
        <v>#REF!</v>
      </c>
      <c r="AW302" s="9" t="e">
        <f t="shared" si="64"/>
        <v>#REF!</v>
      </c>
      <c r="AX302" s="9" t="e">
        <f t="shared" si="64"/>
        <v>#REF!</v>
      </c>
      <c r="AY302" s="9" t="e">
        <f t="shared" si="64"/>
        <v>#REF!</v>
      </c>
      <c r="AZ302" s="9" t="e">
        <f t="shared" si="64"/>
        <v>#REF!</v>
      </c>
      <c r="BA302" s="9" t="e">
        <f t="shared" si="64"/>
        <v>#REF!</v>
      </c>
      <c r="BB302" s="9" t="e">
        <f t="shared" si="64"/>
        <v>#REF!</v>
      </c>
    </row>
    <row r="303" spans="1:55" ht="15" customHeight="1" x14ac:dyDescent="0.3">
      <c r="C303" s="9" t="s">
        <v>361</v>
      </c>
      <c r="E303" s="382"/>
      <c r="F303" s="382"/>
      <c r="G303" s="9" t="e">
        <f>#REF!</f>
        <v>#REF!</v>
      </c>
      <c r="H303" s="9" t="e">
        <f t="shared" ref="H303:BB303" si="65">G303</f>
        <v>#REF!</v>
      </c>
      <c r="I303" s="9" t="e">
        <f t="shared" si="65"/>
        <v>#REF!</v>
      </c>
      <c r="J303" s="9" t="e">
        <f t="shared" si="65"/>
        <v>#REF!</v>
      </c>
      <c r="K303" s="9" t="e">
        <f t="shared" si="65"/>
        <v>#REF!</v>
      </c>
      <c r="L303" s="9" t="e">
        <f t="shared" si="65"/>
        <v>#REF!</v>
      </c>
      <c r="M303" s="9" t="e">
        <f t="shared" si="65"/>
        <v>#REF!</v>
      </c>
      <c r="N303" s="9" t="e">
        <f t="shared" si="65"/>
        <v>#REF!</v>
      </c>
      <c r="O303" s="9" t="e">
        <f t="shared" si="65"/>
        <v>#REF!</v>
      </c>
      <c r="P303" s="9" t="e">
        <f t="shared" si="65"/>
        <v>#REF!</v>
      </c>
      <c r="Q303" s="9" t="e">
        <f t="shared" si="65"/>
        <v>#REF!</v>
      </c>
      <c r="R303" s="9" t="e">
        <f t="shared" si="65"/>
        <v>#REF!</v>
      </c>
      <c r="S303" s="9" t="e">
        <f t="shared" si="65"/>
        <v>#REF!</v>
      </c>
      <c r="T303" s="9" t="e">
        <f t="shared" si="65"/>
        <v>#REF!</v>
      </c>
      <c r="U303" s="9" t="e">
        <f t="shared" si="65"/>
        <v>#REF!</v>
      </c>
      <c r="V303" s="9" t="e">
        <f t="shared" si="65"/>
        <v>#REF!</v>
      </c>
      <c r="W303" s="9" t="e">
        <f t="shared" si="65"/>
        <v>#REF!</v>
      </c>
      <c r="X303" s="9" t="e">
        <f t="shared" si="65"/>
        <v>#REF!</v>
      </c>
      <c r="Y303" s="9" t="e">
        <f t="shared" si="65"/>
        <v>#REF!</v>
      </c>
      <c r="Z303" s="9" t="e">
        <f t="shared" si="65"/>
        <v>#REF!</v>
      </c>
      <c r="AA303" s="9" t="e">
        <f t="shared" si="65"/>
        <v>#REF!</v>
      </c>
      <c r="AB303" s="9" t="e">
        <f t="shared" si="65"/>
        <v>#REF!</v>
      </c>
      <c r="AC303" s="9" t="e">
        <f t="shared" si="65"/>
        <v>#REF!</v>
      </c>
      <c r="AD303" s="9" t="e">
        <f t="shared" si="65"/>
        <v>#REF!</v>
      </c>
      <c r="AE303" s="9" t="e">
        <f t="shared" si="65"/>
        <v>#REF!</v>
      </c>
      <c r="AF303" s="9" t="e">
        <f t="shared" si="65"/>
        <v>#REF!</v>
      </c>
      <c r="AG303" s="9" t="e">
        <f t="shared" si="65"/>
        <v>#REF!</v>
      </c>
      <c r="AH303" s="9" t="e">
        <f t="shared" si="65"/>
        <v>#REF!</v>
      </c>
      <c r="AI303" s="9" t="e">
        <f t="shared" si="65"/>
        <v>#REF!</v>
      </c>
      <c r="AJ303" s="9" t="e">
        <f t="shared" si="65"/>
        <v>#REF!</v>
      </c>
      <c r="AK303" s="9" t="e">
        <f t="shared" si="65"/>
        <v>#REF!</v>
      </c>
      <c r="AL303" s="9" t="e">
        <f t="shared" si="65"/>
        <v>#REF!</v>
      </c>
      <c r="AM303" s="9" t="e">
        <f t="shared" si="65"/>
        <v>#REF!</v>
      </c>
      <c r="AN303" s="9" t="e">
        <f t="shared" si="65"/>
        <v>#REF!</v>
      </c>
      <c r="AO303" s="9" t="e">
        <f t="shared" si="65"/>
        <v>#REF!</v>
      </c>
      <c r="AP303" s="9" t="e">
        <f t="shared" si="65"/>
        <v>#REF!</v>
      </c>
      <c r="AQ303" s="9" t="e">
        <f t="shared" si="65"/>
        <v>#REF!</v>
      </c>
      <c r="AR303" s="9" t="e">
        <f t="shared" si="65"/>
        <v>#REF!</v>
      </c>
      <c r="AS303" s="9" t="e">
        <f t="shared" si="65"/>
        <v>#REF!</v>
      </c>
      <c r="AT303" s="9" t="e">
        <f t="shared" si="65"/>
        <v>#REF!</v>
      </c>
      <c r="AU303" s="9" t="e">
        <f t="shared" si="65"/>
        <v>#REF!</v>
      </c>
      <c r="AV303" s="9" t="e">
        <f t="shared" si="65"/>
        <v>#REF!</v>
      </c>
      <c r="AW303" s="9" t="e">
        <f t="shared" si="65"/>
        <v>#REF!</v>
      </c>
      <c r="AX303" s="9" t="e">
        <f t="shared" si="65"/>
        <v>#REF!</v>
      </c>
      <c r="AY303" s="9" t="e">
        <f t="shared" si="65"/>
        <v>#REF!</v>
      </c>
      <c r="AZ303" s="9" t="e">
        <f t="shared" si="65"/>
        <v>#REF!</v>
      </c>
      <c r="BA303" s="9" t="e">
        <f t="shared" si="65"/>
        <v>#REF!</v>
      </c>
      <c r="BB303" s="9" t="e">
        <f t="shared" si="65"/>
        <v>#REF!</v>
      </c>
    </row>
    <row r="304" spans="1:55" ht="15" hidden="1" customHeight="1" x14ac:dyDescent="0.3">
      <c r="C304" s="9" t="s">
        <v>342</v>
      </c>
      <c r="G304" s="9">
        <v>0.39300000000000002</v>
      </c>
      <c r="H304" s="9">
        <v>0.39300000000000002</v>
      </c>
      <c r="I304" s="9">
        <v>0.39300000000000002</v>
      </c>
      <c r="J304" s="9">
        <v>0.39300000000000002</v>
      </c>
      <c r="K304" s="9">
        <v>0.39300000000000002</v>
      </c>
      <c r="L304" s="9">
        <v>0.39300000000000002</v>
      </c>
      <c r="M304" s="9">
        <v>0.39300000000000002</v>
      </c>
      <c r="N304" s="9">
        <v>0.39300000000000002</v>
      </c>
      <c r="O304" s="9">
        <v>0.39300000000000002</v>
      </c>
      <c r="P304" s="9">
        <v>0.39300000000000002</v>
      </c>
      <c r="Q304" s="9">
        <v>0.39300000000000002</v>
      </c>
      <c r="R304" s="9">
        <v>0.39300000000000002</v>
      </c>
      <c r="S304" s="9">
        <v>0.39300000000000002</v>
      </c>
      <c r="T304" s="9">
        <v>0.39300000000000002</v>
      </c>
      <c r="U304" s="9">
        <v>0.39300000000000002</v>
      </c>
      <c r="V304" s="9">
        <v>0.39300000000000002</v>
      </c>
      <c r="W304" s="9">
        <v>0.39300000000000002</v>
      </c>
      <c r="X304" s="9">
        <v>0.39300000000000002</v>
      </c>
      <c r="Y304" s="9">
        <v>0.39300000000000002</v>
      </c>
      <c r="Z304" s="9">
        <v>0.39300000000000002</v>
      </c>
      <c r="AA304" s="9">
        <v>0.39300000000000002</v>
      </c>
      <c r="AB304" s="9">
        <v>0.39300000000000002</v>
      </c>
      <c r="AC304" s="9">
        <v>0.39300000000000002</v>
      </c>
      <c r="AD304" s="9">
        <v>0.39300000000000002</v>
      </c>
      <c r="AE304" s="9">
        <v>0.39300000000000002</v>
      </c>
      <c r="AF304" s="9">
        <v>0.39300000000000002</v>
      </c>
      <c r="AG304" s="9">
        <v>0.39300000000000002</v>
      </c>
      <c r="AH304" s="9">
        <v>0.39300000000000002</v>
      </c>
      <c r="AI304" s="9">
        <v>0.39300000000000002</v>
      </c>
      <c r="AJ304" s="9">
        <v>0.39300000000000002</v>
      </c>
      <c r="AK304" s="9">
        <v>0.39300000000000002</v>
      </c>
      <c r="AL304" s="9">
        <v>0.39300000000000002</v>
      </c>
      <c r="AM304" s="9">
        <v>0.39300000000000002</v>
      </c>
      <c r="AN304" s="9">
        <v>0.39300000000000002</v>
      </c>
      <c r="AO304" s="9">
        <v>0.39300000000000002</v>
      </c>
      <c r="AP304" s="9">
        <v>0.39300000000000002</v>
      </c>
      <c r="AQ304" s="9">
        <v>0.39300000000000002</v>
      </c>
      <c r="AR304" s="9">
        <v>0.39300000000000002</v>
      </c>
      <c r="AS304" s="9">
        <v>0.39300000000000002</v>
      </c>
      <c r="AT304" s="9">
        <v>0.39300000000000002</v>
      </c>
      <c r="AU304" s="9">
        <v>0.39300000000000002</v>
      </c>
      <c r="AV304" s="9">
        <v>0.39300000000000002</v>
      </c>
      <c r="AW304" s="9">
        <v>0.39300000000000002</v>
      </c>
      <c r="AX304" s="9">
        <v>0.39300000000000002</v>
      </c>
      <c r="AY304" s="9">
        <v>0.39300000000000002</v>
      </c>
      <c r="AZ304" s="9">
        <v>0.39300000000000002</v>
      </c>
      <c r="BA304" s="9">
        <v>0.39300000000000002</v>
      </c>
      <c r="BB304" s="9">
        <v>0.39300000000000002</v>
      </c>
    </row>
    <row r="305" spans="3:54" ht="15" hidden="1" customHeight="1" x14ac:dyDescent="0.3">
      <c r="C305" s="9" t="s">
        <v>343</v>
      </c>
      <c r="G305" s="9">
        <f t="shared" ref="G305:BB305" si="66">1-G304-G306</f>
        <v>0.248</v>
      </c>
      <c r="H305" s="9">
        <f t="shared" si="66"/>
        <v>0.248</v>
      </c>
      <c r="I305" s="9">
        <f t="shared" si="66"/>
        <v>0.248</v>
      </c>
      <c r="J305" s="9">
        <f t="shared" si="66"/>
        <v>0.248</v>
      </c>
      <c r="K305" s="9">
        <f t="shared" si="66"/>
        <v>0.248</v>
      </c>
      <c r="L305" s="9">
        <f t="shared" si="66"/>
        <v>0.248</v>
      </c>
      <c r="M305" s="9">
        <f t="shared" si="66"/>
        <v>0.248</v>
      </c>
      <c r="N305" s="9">
        <f t="shared" si="66"/>
        <v>0.248</v>
      </c>
      <c r="O305" s="9">
        <f t="shared" si="66"/>
        <v>0.248</v>
      </c>
      <c r="P305" s="9">
        <f t="shared" si="66"/>
        <v>0.248</v>
      </c>
      <c r="Q305" s="9">
        <f t="shared" si="66"/>
        <v>0.248</v>
      </c>
      <c r="R305" s="9">
        <f t="shared" si="66"/>
        <v>0.248</v>
      </c>
      <c r="S305" s="9">
        <f t="shared" si="66"/>
        <v>0.248</v>
      </c>
      <c r="T305" s="9">
        <f t="shared" si="66"/>
        <v>0.248</v>
      </c>
      <c r="U305" s="9">
        <f t="shared" si="66"/>
        <v>0.248</v>
      </c>
      <c r="V305" s="9">
        <f t="shared" si="66"/>
        <v>0.248</v>
      </c>
      <c r="W305" s="9">
        <f t="shared" si="66"/>
        <v>0.248</v>
      </c>
      <c r="X305" s="9">
        <f t="shared" si="66"/>
        <v>0.248</v>
      </c>
      <c r="Y305" s="9">
        <f t="shared" si="66"/>
        <v>0.248</v>
      </c>
      <c r="Z305" s="9">
        <f t="shared" si="66"/>
        <v>0.248</v>
      </c>
      <c r="AA305" s="9">
        <f t="shared" si="66"/>
        <v>0.248</v>
      </c>
      <c r="AB305" s="9">
        <f t="shared" si="66"/>
        <v>0.248</v>
      </c>
      <c r="AC305" s="9">
        <f t="shared" si="66"/>
        <v>0.248</v>
      </c>
      <c r="AD305" s="9">
        <f t="shared" si="66"/>
        <v>0.248</v>
      </c>
      <c r="AE305" s="9">
        <f t="shared" si="66"/>
        <v>0.248</v>
      </c>
      <c r="AF305" s="9">
        <f t="shared" si="66"/>
        <v>0.248</v>
      </c>
      <c r="AG305" s="9">
        <f t="shared" si="66"/>
        <v>0.248</v>
      </c>
      <c r="AH305" s="9">
        <f t="shared" si="66"/>
        <v>0.248</v>
      </c>
      <c r="AI305" s="9">
        <f t="shared" si="66"/>
        <v>0.248</v>
      </c>
      <c r="AJ305" s="9">
        <f t="shared" si="66"/>
        <v>0.248</v>
      </c>
      <c r="AK305" s="9">
        <f t="shared" si="66"/>
        <v>0.248</v>
      </c>
      <c r="AL305" s="9">
        <f t="shared" si="66"/>
        <v>0.248</v>
      </c>
      <c r="AM305" s="9">
        <f t="shared" si="66"/>
        <v>0.248</v>
      </c>
      <c r="AN305" s="9">
        <f t="shared" si="66"/>
        <v>0.248</v>
      </c>
      <c r="AO305" s="9">
        <f t="shared" si="66"/>
        <v>0.248</v>
      </c>
      <c r="AP305" s="9">
        <f t="shared" si="66"/>
        <v>0.248</v>
      </c>
      <c r="AQ305" s="9">
        <f t="shared" si="66"/>
        <v>0.248</v>
      </c>
      <c r="AR305" s="9">
        <f t="shared" si="66"/>
        <v>0.248</v>
      </c>
      <c r="AS305" s="9">
        <f t="shared" si="66"/>
        <v>0.248</v>
      </c>
      <c r="AT305" s="9">
        <f t="shared" si="66"/>
        <v>0.248</v>
      </c>
      <c r="AU305" s="9">
        <f t="shared" si="66"/>
        <v>0.248</v>
      </c>
      <c r="AV305" s="9">
        <f t="shared" si="66"/>
        <v>0.248</v>
      </c>
      <c r="AW305" s="9">
        <f t="shared" si="66"/>
        <v>0.248</v>
      </c>
      <c r="AX305" s="9">
        <f t="shared" si="66"/>
        <v>0.248</v>
      </c>
      <c r="AY305" s="9">
        <f t="shared" si="66"/>
        <v>0.248</v>
      </c>
      <c r="AZ305" s="9">
        <f t="shared" si="66"/>
        <v>0.248</v>
      </c>
      <c r="BA305" s="9">
        <f t="shared" si="66"/>
        <v>0.248</v>
      </c>
      <c r="BB305" s="9">
        <f t="shared" si="66"/>
        <v>0.248</v>
      </c>
    </row>
    <row r="306" spans="3:54" ht="15" hidden="1" customHeight="1" x14ac:dyDescent="0.3">
      <c r="C306" s="9" t="s">
        <v>344</v>
      </c>
      <c r="G306" s="9">
        <v>0.35899999999999999</v>
      </c>
      <c r="H306" s="9">
        <v>0.35899999999999999</v>
      </c>
      <c r="I306" s="9">
        <v>0.35899999999999999</v>
      </c>
      <c r="J306" s="9">
        <v>0.35899999999999999</v>
      </c>
      <c r="K306" s="9">
        <v>0.35899999999999999</v>
      </c>
      <c r="L306" s="9">
        <v>0.35899999999999999</v>
      </c>
      <c r="M306" s="9">
        <v>0.35899999999999999</v>
      </c>
      <c r="N306" s="9">
        <v>0.35899999999999999</v>
      </c>
      <c r="O306" s="9">
        <v>0.35899999999999999</v>
      </c>
      <c r="P306" s="9">
        <v>0.35899999999999999</v>
      </c>
      <c r="Q306" s="9">
        <v>0.35899999999999999</v>
      </c>
      <c r="R306" s="9">
        <v>0.35899999999999999</v>
      </c>
      <c r="S306" s="9">
        <v>0.35899999999999999</v>
      </c>
      <c r="T306" s="9">
        <v>0.35899999999999999</v>
      </c>
      <c r="U306" s="9">
        <v>0.35899999999999999</v>
      </c>
      <c r="V306" s="9">
        <v>0.35899999999999999</v>
      </c>
      <c r="W306" s="9">
        <v>0.35899999999999999</v>
      </c>
      <c r="X306" s="9">
        <v>0.35899999999999999</v>
      </c>
      <c r="Y306" s="9">
        <v>0.35899999999999999</v>
      </c>
      <c r="Z306" s="9">
        <v>0.35899999999999999</v>
      </c>
      <c r="AA306" s="9">
        <v>0.35899999999999999</v>
      </c>
      <c r="AB306" s="9">
        <v>0.35899999999999999</v>
      </c>
      <c r="AC306" s="9">
        <v>0.35899999999999999</v>
      </c>
      <c r="AD306" s="9">
        <v>0.35899999999999999</v>
      </c>
      <c r="AE306" s="9">
        <v>0.35899999999999999</v>
      </c>
      <c r="AF306" s="9">
        <v>0.35899999999999999</v>
      </c>
      <c r="AG306" s="9">
        <v>0.35899999999999999</v>
      </c>
      <c r="AH306" s="9">
        <v>0.35899999999999999</v>
      </c>
      <c r="AI306" s="9">
        <v>0.35899999999999999</v>
      </c>
      <c r="AJ306" s="9">
        <v>0.35899999999999999</v>
      </c>
      <c r="AK306" s="9">
        <v>0.35899999999999999</v>
      </c>
      <c r="AL306" s="9">
        <v>0.35899999999999999</v>
      </c>
      <c r="AM306" s="9">
        <v>0.35899999999999999</v>
      </c>
      <c r="AN306" s="9">
        <v>0.35899999999999999</v>
      </c>
      <c r="AO306" s="9">
        <v>0.35899999999999999</v>
      </c>
      <c r="AP306" s="9">
        <v>0.35899999999999999</v>
      </c>
      <c r="AQ306" s="9">
        <v>0.35899999999999999</v>
      </c>
      <c r="AR306" s="9">
        <v>0.35899999999999999</v>
      </c>
      <c r="AS306" s="9">
        <v>0.35899999999999999</v>
      </c>
      <c r="AT306" s="9">
        <v>0.35899999999999999</v>
      </c>
      <c r="AU306" s="9">
        <v>0.35899999999999999</v>
      </c>
      <c r="AV306" s="9">
        <v>0.35899999999999999</v>
      </c>
      <c r="AW306" s="9">
        <v>0.35899999999999999</v>
      </c>
      <c r="AX306" s="9">
        <v>0.35899999999999999</v>
      </c>
      <c r="AY306" s="9">
        <v>0.35899999999999999</v>
      </c>
      <c r="AZ306" s="9">
        <v>0.35899999999999999</v>
      </c>
      <c r="BA306" s="9">
        <v>0.35899999999999999</v>
      </c>
      <c r="BB306" s="9">
        <v>0.35899999999999999</v>
      </c>
    </row>
    <row r="307" spans="3:54" ht="15" hidden="1" customHeight="1" x14ac:dyDescent="0.3">
      <c r="C307" s="46" t="s">
        <v>345</v>
      </c>
      <c r="G307" s="48">
        <f t="shared" ref="G307:AK307" si="67">G304*G277</f>
        <v>0.154449</v>
      </c>
      <c r="H307" s="48">
        <f t="shared" si="67"/>
        <v>0.154449</v>
      </c>
      <c r="I307" s="48">
        <f t="shared" si="67"/>
        <v>0.154449</v>
      </c>
      <c r="J307" s="48">
        <f t="shared" si="67"/>
        <v>0.154449</v>
      </c>
      <c r="K307" s="48">
        <f t="shared" si="67"/>
        <v>0.154449</v>
      </c>
      <c r="L307" s="48">
        <f t="shared" si="67"/>
        <v>0.154449</v>
      </c>
      <c r="M307" s="48">
        <f t="shared" si="67"/>
        <v>0.154449</v>
      </c>
      <c r="N307" s="48">
        <f t="shared" si="67"/>
        <v>0.154449</v>
      </c>
      <c r="O307" s="48">
        <f t="shared" si="67"/>
        <v>0.154449</v>
      </c>
      <c r="P307" s="48">
        <f t="shared" si="67"/>
        <v>0.154449</v>
      </c>
      <c r="Q307" s="48">
        <f t="shared" si="67"/>
        <v>0.154449</v>
      </c>
      <c r="R307" s="48">
        <f t="shared" si="67"/>
        <v>0.154449</v>
      </c>
      <c r="S307" s="48">
        <f t="shared" si="67"/>
        <v>0.15290451000000002</v>
      </c>
      <c r="T307" s="48">
        <f t="shared" si="67"/>
        <v>0.15145268940000003</v>
      </c>
      <c r="U307" s="48">
        <f t="shared" si="67"/>
        <v>0.15000086880000002</v>
      </c>
      <c r="V307" s="48">
        <f t="shared" si="67"/>
        <v>0.14854904820000001</v>
      </c>
      <c r="W307" s="48">
        <f t="shared" si="67"/>
        <v>0.14709722760000002</v>
      </c>
      <c r="X307" s="48">
        <f t="shared" si="67"/>
        <v>0.145645407</v>
      </c>
      <c r="Y307" s="48">
        <f t="shared" si="67"/>
        <v>0.14419358640000002</v>
      </c>
      <c r="Z307" s="48">
        <f t="shared" si="67"/>
        <v>0.14274176580000003</v>
      </c>
      <c r="AA307" s="48">
        <f t="shared" si="67"/>
        <v>0.14128994520000002</v>
      </c>
      <c r="AB307" s="48">
        <f t="shared" si="67"/>
        <v>0.13983812460000003</v>
      </c>
      <c r="AC307" s="48">
        <f t="shared" si="67"/>
        <v>0.13838630400000002</v>
      </c>
      <c r="AD307" s="48">
        <f t="shared" si="67"/>
        <v>0.1369344834</v>
      </c>
      <c r="AE307" s="48">
        <f t="shared" si="67"/>
        <v>0.13548266279999999</v>
      </c>
      <c r="AF307" s="48">
        <f t="shared" si="67"/>
        <v>0.1340308422</v>
      </c>
      <c r="AG307" s="48">
        <f t="shared" si="67"/>
        <v>0.13257902160000001</v>
      </c>
      <c r="AH307" s="48">
        <f t="shared" si="67"/>
        <v>0.13170792924000002</v>
      </c>
      <c r="AI307" s="48">
        <f t="shared" si="67"/>
        <v>0.13083683688000003</v>
      </c>
      <c r="AJ307" s="48">
        <f t="shared" si="67"/>
        <v>0.12996574452000001</v>
      </c>
      <c r="AK307" s="48">
        <f t="shared" si="67"/>
        <v>0.12909465216000002</v>
      </c>
      <c r="AL307" s="48">
        <f t="shared" ref="AL307:BB307" si="68">AL304*AL277</f>
        <v>0.12822355980000003</v>
      </c>
      <c r="AM307" s="48">
        <f t="shared" si="68"/>
        <v>0.12735246744000001</v>
      </c>
      <c r="AN307" s="48">
        <f t="shared" si="68"/>
        <v>0.12648137508000004</v>
      </c>
      <c r="AO307" s="48">
        <f t="shared" si="68"/>
        <v>0.12561028272000002</v>
      </c>
      <c r="AP307" s="48">
        <f t="shared" si="68"/>
        <v>0.12473919036000002</v>
      </c>
      <c r="AQ307" s="48">
        <f t="shared" si="68"/>
        <v>0.12386809800000001</v>
      </c>
      <c r="AR307" s="48">
        <f t="shared" si="68"/>
        <v>0.12299700564000002</v>
      </c>
      <c r="AS307" s="48">
        <f t="shared" si="68"/>
        <v>0.12212591328000001</v>
      </c>
      <c r="AT307" s="48">
        <f t="shared" si="68"/>
        <v>0.12125482092000002</v>
      </c>
      <c r="AU307" s="48">
        <f t="shared" si="68"/>
        <v>0.12038372856000001</v>
      </c>
      <c r="AV307" s="48">
        <f t="shared" si="68"/>
        <v>0.11951263620000001</v>
      </c>
      <c r="AW307" s="48">
        <f t="shared" si="68"/>
        <v>0.11864154384000002</v>
      </c>
      <c r="AX307" s="48">
        <f t="shared" si="68"/>
        <v>0.11777045148000001</v>
      </c>
      <c r="AY307" s="48">
        <f t="shared" si="68"/>
        <v>0.11689935912000002</v>
      </c>
      <c r="AZ307" s="48">
        <f t="shared" si="68"/>
        <v>0.11602826676000001</v>
      </c>
      <c r="BA307" s="48">
        <f t="shared" si="68"/>
        <v>0.11515717440000002</v>
      </c>
      <c r="BB307" s="48">
        <f t="shared" si="68"/>
        <v>0.11428608204000001</v>
      </c>
    </row>
    <row r="308" spans="3:54" ht="15" hidden="1" customHeight="1" x14ac:dyDescent="0.3">
      <c r="C308" s="46" t="s">
        <v>346</v>
      </c>
      <c r="G308" s="48">
        <f t="shared" ref="G308:AK308" si="69">G305*G277</f>
        <v>9.7464000000000009E-2</v>
      </c>
      <c r="H308" s="48">
        <f t="shared" si="69"/>
        <v>9.7464000000000009E-2</v>
      </c>
      <c r="I308" s="48">
        <f t="shared" si="69"/>
        <v>9.7464000000000009E-2</v>
      </c>
      <c r="J308" s="48">
        <f t="shared" si="69"/>
        <v>9.7464000000000009E-2</v>
      </c>
      <c r="K308" s="48">
        <f t="shared" si="69"/>
        <v>9.7464000000000009E-2</v>
      </c>
      <c r="L308" s="48">
        <f t="shared" si="69"/>
        <v>9.7464000000000009E-2</v>
      </c>
      <c r="M308" s="48">
        <f t="shared" si="69"/>
        <v>9.7464000000000009E-2</v>
      </c>
      <c r="N308" s="48">
        <f t="shared" si="69"/>
        <v>9.7464000000000009E-2</v>
      </c>
      <c r="O308" s="48">
        <f t="shared" si="69"/>
        <v>9.7464000000000009E-2</v>
      </c>
      <c r="P308" s="48">
        <f t="shared" si="69"/>
        <v>9.7464000000000009E-2</v>
      </c>
      <c r="Q308" s="48">
        <f t="shared" si="69"/>
        <v>9.7464000000000009E-2</v>
      </c>
      <c r="R308" s="48">
        <f t="shared" si="69"/>
        <v>9.7464000000000009E-2</v>
      </c>
      <c r="S308" s="48">
        <f t="shared" si="69"/>
        <v>9.648936000000001E-2</v>
      </c>
      <c r="T308" s="48">
        <f t="shared" si="69"/>
        <v>9.5573198400000017E-2</v>
      </c>
      <c r="U308" s="48">
        <f t="shared" si="69"/>
        <v>9.4657036799999997E-2</v>
      </c>
      <c r="V308" s="48">
        <f t="shared" si="69"/>
        <v>9.3740875200000004E-2</v>
      </c>
      <c r="W308" s="48">
        <f t="shared" si="69"/>
        <v>9.2824713600000011E-2</v>
      </c>
      <c r="X308" s="48">
        <f t="shared" si="69"/>
        <v>9.1908552000000004E-2</v>
      </c>
      <c r="Y308" s="48">
        <f t="shared" si="69"/>
        <v>9.0992390400000012E-2</v>
      </c>
      <c r="Z308" s="48">
        <f t="shared" si="69"/>
        <v>9.0076228800000005E-2</v>
      </c>
      <c r="AA308" s="48">
        <f t="shared" si="69"/>
        <v>8.9160067199999998E-2</v>
      </c>
      <c r="AB308" s="48">
        <f t="shared" si="69"/>
        <v>8.8243905600000005E-2</v>
      </c>
      <c r="AC308" s="48">
        <f t="shared" si="69"/>
        <v>8.7327743999999999E-2</v>
      </c>
      <c r="AD308" s="48">
        <f t="shared" si="69"/>
        <v>8.6411582400000006E-2</v>
      </c>
      <c r="AE308" s="48">
        <f t="shared" si="69"/>
        <v>8.5495420799999999E-2</v>
      </c>
      <c r="AF308" s="48">
        <f t="shared" si="69"/>
        <v>8.4579259199999993E-2</v>
      </c>
      <c r="AG308" s="48">
        <f t="shared" si="69"/>
        <v>8.36630976E-2</v>
      </c>
      <c r="AH308" s="48">
        <f t="shared" si="69"/>
        <v>8.3113400640000001E-2</v>
      </c>
      <c r="AI308" s="48">
        <f t="shared" si="69"/>
        <v>8.2563703680000017E-2</v>
      </c>
      <c r="AJ308" s="48">
        <f t="shared" si="69"/>
        <v>8.2014006720000004E-2</v>
      </c>
      <c r="AK308" s="48">
        <f t="shared" si="69"/>
        <v>8.1464309760000006E-2</v>
      </c>
      <c r="AL308" s="48">
        <f t="shared" ref="AL308:BB308" si="70">AL305*AL277</f>
        <v>8.0914612800000008E-2</v>
      </c>
      <c r="AM308" s="48">
        <f t="shared" si="70"/>
        <v>8.0364915840000009E-2</v>
      </c>
      <c r="AN308" s="48">
        <f t="shared" si="70"/>
        <v>7.9815218880000025E-2</v>
      </c>
      <c r="AO308" s="48">
        <f t="shared" si="70"/>
        <v>7.9265521919999998E-2</v>
      </c>
      <c r="AP308" s="48">
        <f t="shared" si="70"/>
        <v>7.871582496E-2</v>
      </c>
      <c r="AQ308" s="48">
        <f t="shared" si="70"/>
        <v>7.8166128000000001E-2</v>
      </c>
      <c r="AR308" s="48">
        <f t="shared" si="70"/>
        <v>7.7616431040000003E-2</v>
      </c>
      <c r="AS308" s="48">
        <f t="shared" si="70"/>
        <v>7.7066734080000004E-2</v>
      </c>
      <c r="AT308" s="48">
        <f t="shared" si="70"/>
        <v>7.6517037120000006E-2</v>
      </c>
      <c r="AU308" s="48">
        <f t="shared" si="70"/>
        <v>7.5967340160000008E-2</v>
      </c>
      <c r="AV308" s="48">
        <f t="shared" si="70"/>
        <v>7.5417643200000009E-2</v>
      </c>
      <c r="AW308" s="48">
        <f t="shared" si="70"/>
        <v>7.4867946240000011E-2</v>
      </c>
      <c r="AX308" s="48">
        <f t="shared" si="70"/>
        <v>7.4318249280000012E-2</v>
      </c>
      <c r="AY308" s="48">
        <f t="shared" si="70"/>
        <v>7.376855232E-2</v>
      </c>
      <c r="AZ308" s="48">
        <f t="shared" si="70"/>
        <v>7.3218855360000001E-2</v>
      </c>
      <c r="BA308" s="48">
        <f t="shared" si="70"/>
        <v>7.2669158400000003E-2</v>
      </c>
      <c r="BB308" s="48">
        <f t="shared" si="70"/>
        <v>7.2119461440000004E-2</v>
      </c>
    </row>
    <row r="309" spans="3:54" ht="15" hidden="1" customHeight="1" x14ac:dyDescent="0.3">
      <c r="C309" s="9" t="s">
        <v>347</v>
      </c>
      <c r="G309" s="48">
        <f t="shared" ref="G309:AK309" si="71">G306*G277</f>
        <v>0.14108699999999999</v>
      </c>
      <c r="H309" s="48">
        <f t="shared" si="71"/>
        <v>0.14108699999999999</v>
      </c>
      <c r="I309" s="48">
        <f t="shared" si="71"/>
        <v>0.14108699999999999</v>
      </c>
      <c r="J309" s="48">
        <f t="shared" si="71"/>
        <v>0.14108699999999999</v>
      </c>
      <c r="K309" s="48">
        <f t="shared" si="71"/>
        <v>0.14108699999999999</v>
      </c>
      <c r="L309" s="48">
        <f t="shared" si="71"/>
        <v>0.14108699999999999</v>
      </c>
      <c r="M309" s="48">
        <f t="shared" si="71"/>
        <v>0.14108699999999999</v>
      </c>
      <c r="N309" s="48">
        <f t="shared" si="71"/>
        <v>0.14108699999999999</v>
      </c>
      <c r="O309" s="48">
        <f t="shared" si="71"/>
        <v>0.14108699999999999</v>
      </c>
      <c r="P309" s="48">
        <f t="shared" si="71"/>
        <v>0.14108699999999999</v>
      </c>
      <c r="Q309" s="48">
        <f t="shared" si="71"/>
        <v>0.14108699999999999</v>
      </c>
      <c r="R309" s="48">
        <f t="shared" si="71"/>
        <v>0.14108699999999999</v>
      </c>
      <c r="S309" s="48">
        <f t="shared" si="71"/>
        <v>0.13967613000000001</v>
      </c>
      <c r="T309" s="48">
        <f t="shared" si="71"/>
        <v>0.13834991220000001</v>
      </c>
      <c r="U309" s="48">
        <f t="shared" si="71"/>
        <v>0.13702369440000001</v>
      </c>
      <c r="V309" s="48">
        <f t="shared" si="71"/>
        <v>0.13569747660000001</v>
      </c>
      <c r="W309" s="48">
        <f t="shared" si="71"/>
        <v>0.1343712588</v>
      </c>
      <c r="X309" s="48">
        <f t="shared" si="71"/>
        <v>0.133045041</v>
      </c>
      <c r="Y309" s="48">
        <f t="shared" si="71"/>
        <v>0.1317188232</v>
      </c>
      <c r="Z309" s="48">
        <f t="shared" si="71"/>
        <v>0.1303926054</v>
      </c>
      <c r="AA309" s="48">
        <f t="shared" si="71"/>
        <v>0.1290663876</v>
      </c>
      <c r="AB309" s="48">
        <f t="shared" si="71"/>
        <v>0.1277401698</v>
      </c>
      <c r="AC309" s="48">
        <f t="shared" si="71"/>
        <v>0.126413952</v>
      </c>
      <c r="AD309" s="48">
        <f t="shared" si="71"/>
        <v>0.12508773419999999</v>
      </c>
      <c r="AE309" s="48">
        <f t="shared" si="71"/>
        <v>0.12376151639999999</v>
      </c>
      <c r="AF309" s="48">
        <f t="shared" si="71"/>
        <v>0.12243529859999999</v>
      </c>
      <c r="AG309" s="48">
        <f t="shared" si="71"/>
        <v>0.1211090808</v>
      </c>
      <c r="AH309" s="48">
        <f t="shared" si="71"/>
        <v>0.12031335012</v>
      </c>
      <c r="AI309" s="48">
        <f t="shared" si="71"/>
        <v>0.11951761944000003</v>
      </c>
      <c r="AJ309" s="48">
        <f t="shared" si="71"/>
        <v>0.11872188876000001</v>
      </c>
      <c r="AK309" s="48">
        <f t="shared" si="71"/>
        <v>0.11792615808</v>
      </c>
      <c r="AL309" s="48">
        <f t="shared" ref="AL309:BB309" si="72">AL306*AL277</f>
        <v>0.1171304274</v>
      </c>
      <c r="AM309" s="48">
        <f t="shared" si="72"/>
        <v>0.11633469672000001</v>
      </c>
      <c r="AN309" s="48">
        <f t="shared" si="72"/>
        <v>0.11553896604000002</v>
      </c>
      <c r="AO309" s="48">
        <f t="shared" si="72"/>
        <v>0.11474323536</v>
      </c>
      <c r="AP309" s="48">
        <f t="shared" si="72"/>
        <v>0.11394750468000001</v>
      </c>
      <c r="AQ309" s="48">
        <f t="shared" si="72"/>
        <v>0.113151774</v>
      </c>
      <c r="AR309" s="48">
        <f t="shared" si="72"/>
        <v>0.11235604332</v>
      </c>
      <c r="AS309" s="48">
        <f t="shared" si="72"/>
        <v>0.11156031264000001</v>
      </c>
      <c r="AT309" s="48">
        <f t="shared" si="72"/>
        <v>0.11076458196</v>
      </c>
      <c r="AU309" s="48">
        <f t="shared" si="72"/>
        <v>0.10996885128</v>
      </c>
      <c r="AV309" s="48">
        <f t="shared" si="72"/>
        <v>0.10917312060000001</v>
      </c>
      <c r="AW309" s="48">
        <f t="shared" si="72"/>
        <v>0.10837738992000001</v>
      </c>
      <c r="AX309" s="48">
        <f t="shared" si="72"/>
        <v>0.10758165924</v>
      </c>
      <c r="AY309" s="48">
        <f t="shared" si="72"/>
        <v>0.10678592856000001</v>
      </c>
      <c r="AZ309" s="48">
        <f t="shared" si="72"/>
        <v>0.10599019788000001</v>
      </c>
      <c r="BA309" s="48">
        <f t="shared" si="72"/>
        <v>0.1051944672</v>
      </c>
      <c r="BB309" s="48">
        <f t="shared" si="72"/>
        <v>0.10439873652000001</v>
      </c>
    </row>
    <row r="310" spans="3:54" ht="15" hidden="1" customHeight="1" x14ac:dyDescent="0.3">
      <c r="C310" s="46" t="s">
        <v>348</v>
      </c>
      <c r="G310" s="48" t="e">
        <f>G307-#REF!</f>
        <v>#REF!</v>
      </c>
      <c r="H310" s="48">
        <f t="shared" ref="H310:V312" si="73">H307-G307</f>
        <v>0</v>
      </c>
      <c r="I310" s="48">
        <f t="shared" si="73"/>
        <v>0</v>
      </c>
      <c r="J310" s="48">
        <f t="shared" si="73"/>
        <v>0</v>
      </c>
      <c r="K310" s="48">
        <f t="shared" si="73"/>
        <v>0</v>
      </c>
      <c r="L310" s="48">
        <f t="shared" si="73"/>
        <v>0</v>
      </c>
      <c r="M310" s="48">
        <f t="shared" si="73"/>
        <v>0</v>
      </c>
      <c r="N310" s="48">
        <f t="shared" si="73"/>
        <v>0</v>
      </c>
      <c r="O310" s="48">
        <f t="shared" si="73"/>
        <v>0</v>
      </c>
      <c r="P310" s="48">
        <f t="shared" si="73"/>
        <v>0</v>
      </c>
      <c r="Q310" s="48">
        <f t="shared" si="73"/>
        <v>0</v>
      </c>
      <c r="R310" s="48">
        <f t="shared" si="73"/>
        <v>0</v>
      </c>
      <c r="S310" s="48">
        <f t="shared" si="73"/>
        <v>-1.5444899999999817E-3</v>
      </c>
      <c r="T310" s="48">
        <v>0</v>
      </c>
      <c r="U310" s="48">
        <v>0</v>
      </c>
      <c r="V310" s="48">
        <v>0</v>
      </c>
      <c r="W310" s="48">
        <v>0</v>
      </c>
      <c r="X310" s="48">
        <v>0</v>
      </c>
      <c r="Y310" s="48">
        <v>0</v>
      </c>
      <c r="Z310" s="48">
        <v>0</v>
      </c>
      <c r="AA310" s="48">
        <v>0</v>
      </c>
      <c r="AB310" s="48">
        <v>0</v>
      </c>
      <c r="AC310" s="48">
        <v>0</v>
      </c>
      <c r="AD310" s="48">
        <v>0</v>
      </c>
      <c r="AE310" s="48">
        <v>0</v>
      </c>
      <c r="AF310" s="48">
        <v>0</v>
      </c>
      <c r="AG310" s="48">
        <v>0</v>
      </c>
      <c r="AH310" s="48">
        <v>0</v>
      </c>
      <c r="AI310" s="48">
        <v>0</v>
      </c>
      <c r="AJ310" s="48">
        <v>0</v>
      </c>
      <c r="AK310" s="48">
        <v>0</v>
      </c>
      <c r="AL310" s="48">
        <v>0</v>
      </c>
      <c r="AM310" s="48">
        <v>0</v>
      </c>
      <c r="AN310" s="48">
        <v>0</v>
      </c>
      <c r="AO310" s="48">
        <v>0</v>
      </c>
      <c r="AP310" s="48">
        <v>0</v>
      </c>
      <c r="AQ310" s="48">
        <v>0</v>
      </c>
      <c r="AR310" s="48">
        <v>0</v>
      </c>
      <c r="AS310" s="48">
        <v>0</v>
      </c>
      <c r="AT310" s="48">
        <v>0</v>
      </c>
      <c r="AU310" s="48">
        <v>0</v>
      </c>
      <c r="AV310" s="48">
        <v>0</v>
      </c>
      <c r="AW310" s="48">
        <v>0</v>
      </c>
      <c r="AX310" s="48">
        <v>0</v>
      </c>
      <c r="AY310" s="48">
        <v>0</v>
      </c>
      <c r="AZ310" s="48">
        <v>0</v>
      </c>
      <c r="BA310" s="48">
        <v>0</v>
      </c>
      <c r="BB310" s="48">
        <v>0</v>
      </c>
    </row>
    <row r="311" spans="3:54" ht="15" hidden="1" customHeight="1" x14ac:dyDescent="0.3">
      <c r="C311" s="9" t="s">
        <v>349</v>
      </c>
      <c r="G311" s="48" t="e">
        <f>G308-#REF!</f>
        <v>#REF!</v>
      </c>
      <c r="H311" s="48">
        <f t="shared" si="73"/>
        <v>0</v>
      </c>
      <c r="I311" s="48">
        <f t="shared" si="73"/>
        <v>0</v>
      </c>
      <c r="J311" s="48">
        <f t="shared" si="73"/>
        <v>0</v>
      </c>
      <c r="K311" s="48">
        <f t="shared" si="73"/>
        <v>0</v>
      </c>
      <c r="L311" s="48">
        <f t="shared" si="73"/>
        <v>0</v>
      </c>
      <c r="M311" s="48">
        <f t="shared" si="73"/>
        <v>0</v>
      </c>
      <c r="N311" s="48">
        <f t="shared" si="73"/>
        <v>0</v>
      </c>
      <c r="O311" s="48">
        <f t="shared" si="73"/>
        <v>0</v>
      </c>
      <c r="P311" s="48">
        <f t="shared" si="73"/>
        <v>0</v>
      </c>
      <c r="Q311" s="48">
        <f t="shared" si="73"/>
        <v>0</v>
      </c>
      <c r="R311" s="48">
        <f t="shared" si="73"/>
        <v>0</v>
      </c>
      <c r="S311" s="48">
        <f t="shared" si="73"/>
        <v>-9.7463999999999884E-4</v>
      </c>
      <c r="T311" s="48">
        <f t="shared" si="73"/>
        <v>-9.161615999999928E-4</v>
      </c>
      <c r="U311" s="48">
        <f t="shared" si="73"/>
        <v>-9.1616160000002056E-4</v>
      </c>
      <c r="V311" s="48">
        <f t="shared" si="73"/>
        <v>-9.161615999999928E-4</v>
      </c>
      <c r="W311" s="48">
        <f t="shared" ref="W311:Z312" si="74">W308-V308</f>
        <v>-9.161615999999928E-4</v>
      </c>
      <c r="X311" s="48">
        <f t="shared" si="74"/>
        <v>-9.1616160000000668E-4</v>
      </c>
      <c r="Y311" s="48">
        <f t="shared" si="74"/>
        <v>-9.161615999999928E-4</v>
      </c>
      <c r="Z311" s="48">
        <f t="shared" si="74"/>
        <v>-9.1616160000000668E-4</v>
      </c>
      <c r="AA311" s="48">
        <f>AA308-Z308</f>
        <v>-9.1616160000000668E-4</v>
      </c>
      <c r="AB311" s="48">
        <f>AB308-AA308</f>
        <v>-9.161615999999928E-4</v>
      </c>
      <c r="AC311" s="48">
        <f t="shared" ref="AC311:AR312" si="75">AC308-AB308</f>
        <v>-9.1616160000000668E-4</v>
      </c>
      <c r="AD311" s="48">
        <f t="shared" si="75"/>
        <v>-9.161615999999928E-4</v>
      </c>
      <c r="AE311" s="48">
        <f t="shared" si="75"/>
        <v>-9.1616160000000668E-4</v>
      </c>
      <c r="AF311" s="48">
        <f t="shared" si="75"/>
        <v>-9.1616160000000668E-4</v>
      </c>
      <c r="AG311" s="48">
        <f t="shared" si="75"/>
        <v>-9.161615999999928E-4</v>
      </c>
      <c r="AH311" s="48">
        <f t="shared" si="75"/>
        <v>-5.4969695999999846E-4</v>
      </c>
      <c r="AI311" s="48">
        <f t="shared" si="75"/>
        <v>-5.4969695999998458E-4</v>
      </c>
      <c r="AJ311" s="48">
        <f t="shared" si="75"/>
        <v>-5.4969696000001234E-4</v>
      </c>
      <c r="AK311" s="48">
        <f t="shared" si="75"/>
        <v>-5.4969695999999846E-4</v>
      </c>
      <c r="AL311" s="48">
        <f t="shared" si="75"/>
        <v>-5.4969695999999846E-4</v>
      </c>
      <c r="AM311" s="48">
        <v>0</v>
      </c>
      <c r="AN311" s="48">
        <v>0</v>
      </c>
      <c r="AO311" s="48">
        <v>0</v>
      </c>
      <c r="AP311" s="48">
        <v>0</v>
      </c>
      <c r="AQ311" s="48">
        <v>0</v>
      </c>
      <c r="AR311" s="48">
        <v>0</v>
      </c>
      <c r="AS311" s="48">
        <v>0</v>
      </c>
      <c r="AT311" s="48">
        <v>0</v>
      </c>
      <c r="AU311" s="48">
        <v>0</v>
      </c>
      <c r="AV311" s="48">
        <v>0</v>
      </c>
      <c r="AW311" s="48">
        <v>0</v>
      </c>
      <c r="AX311" s="48">
        <v>0</v>
      </c>
      <c r="AY311" s="48">
        <v>0</v>
      </c>
      <c r="AZ311" s="48">
        <v>0</v>
      </c>
      <c r="BA311" s="48">
        <v>0</v>
      </c>
      <c r="BB311" s="48">
        <v>0</v>
      </c>
    </row>
    <row r="312" spans="3:54" ht="15" hidden="1" customHeight="1" x14ac:dyDescent="0.3">
      <c r="C312" s="9" t="s">
        <v>350</v>
      </c>
      <c r="G312" s="48" t="e">
        <f>G309-#REF!</f>
        <v>#REF!</v>
      </c>
      <c r="H312" s="48">
        <f t="shared" si="73"/>
        <v>0</v>
      </c>
      <c r="I312" s="48">
        <f t="shared" si="73"/>
        <v>0</v>
      </c>
      <c r="J312" s="48">
        <f t="shared" si="73"/>
        <v>0</v>
      </c>
      <c r="K312" s="48">
        <f t="shared" si="73"/>
        <v>0</v>
      </c>
      <c r="L312" s="48">
        <f t="shared" si="73"/>
        <v>0</v>
      </c>
      <c r="M312" s="48">
        <f t="shared" si="73"/>
        <v>0</v>
      </c>
      <c r="N312" s="48">
        <f t="shared" si="73"/>
        <v>0</v>
      </c>
      <c r="O312" s="48">
        <f t="shared" si="73"/>
        <v>0</v>
      </c>
      <c r="P312" s="48">
        <f t="shared" si="73"/>
        <v>0</v>
      </c>
      <c r="Q312" s="48">
        <f t="shared" si="73"/>
        <v>0</v>
      </c>
      <c r="R312" s="48">
        <f t="shared" si="73"/>
        <v>0</v>
      </c>
      <c r="S312" s="48">
        <f t="shared" si="73"/>
        <v>-1.4108699999999808E-3</v>
      </c>
      <c r="T312" s="48">
        <f t="shared" si="73"/>
        <v>-1.3262178000000013E-3</v>
      </c>
      <c r="U312" s="48">
        <f t="shared" si="73"/>
        <v>-1.3262178000000013E-3</v>
      </c>
      <c r="V312" s="48">
        <f t="shared" si="73"/>
        <v>-1.3262178000000013E-3</v>
      </c>
      <c r="W312" s="48">
        <f t="shared" si="74"/>
        <v>-1.3262178000000013E-3</v>
      </c>
      <c r="X312" s="48">
        <f t="shared" si="74"/>
        <v>-1.3262178000000013E-3</v>
      </c>
      <c r="Y312" s="48">
        <f t="shared" si="74"/>
        <v>-1.3262178000000013E-3</v>
      </c>
      <c r="Z312" s="48">
        <f t="shared" si="74"/>
        <v>-1.3262178000000013E-3</v>
      </c>
      <c r="AA312" s="48">
        <f>AA309-Z309</f>
        <v>-1.3262178000000013E-3</v>
      </c>
      <c r="AB312" s="48">
        <f>AB309-AA309</f>
        <v>-1.3262178000000013E-3</v>
      </c>
      <c r="AC312" s="48">
        <f t="shared" si="75"/>
        <v>-1.3262178000000013E-3</v>
      </c>
      <c r="AD312" s="48">
        <f t="shared" si="75"/>
        <v>-1.3262178000000013E-3</v>
      </c>
      <c r="AE312" s="48">
        <f t="shared" si="75"/>
        <v>-1.3262178000000013E-3</v>
      </c>
      <c r="AF312" s="48">
        <f t="shared" si="75"/>
        <v>-1.3262178000000013E-3</v>
      </c>
      <c r="AG312" s="48">
        <f t="shared" si="75"/>
        <v>-1.3262177999999875E-3</v>
      </c>
      <c r="AH312" s="48">
        <f t="shared" si="75"/>
        <v>-7.9573068000000913E-4</v>
      </c>
      <c r="AI312" s="48">
        <f t="shared" si="75"/>
        <v>-7.9573067999996749E-4</v>
      </c>
      <c r="AJ312" s="48">
        <f t="shared" si="75"/>
        <v>-7.9573068000002301E-4</v>
      </c>
      <c r="AK312" s="48">
        <f t="shared" si="75"/>
        <v>-7.9573068000000913E-4</v>
      </c>
      <c r="AL312" s="48">
        <f t="shared" si="75"/>
        <v>-7.9573067999999525E-4</v>
      </c>
      <c r="AM312" s="48">
        <f t="shared" si="75"/>
        <v>-7.9573067999999525E-4</v>
      </c>
      <c r="AN312" s="48">
        <f t="shared" si="75"/>
        <v>-7.9573067999998137E-4</v>
      </c>
      <c r="AO312" s="48">
        <f t="shared" si="75"/>
        <v>-7.9573068000002301E-4</v>
      </c>
      <c r="AP312" s="48">
        <f t="shared" si="75"/>
        <v>-7.9573067999999525E-4</v>
      </c>
      <c r="AQ312" s="48">
        <f t="shared" si="75"/>
        <v>-7.9573068000000913E-4</v>
      </c>
      <c r="AR312" s="48">
        <f t="shared" si="75"/>
        <v>-7.9573067999999525E-4</v>
      </c>
      <c r="AS312" s="48">
        <f>AS309-AR309</f>
        <v>-7.9573067999999525E-4</v>
      </c>
      <c r="AT312" s="48">
        <f>AT309-AS309</f>
        <v>-7.9573068000000913E-4</v>
      </c>
      <c r="AU312" s="48">
        <f t="shared" ref="AU312:AY312" si="76">AU309-AT309</f>
        <v>-7.9573067999999525E-4</v>
      </c>
      <c r="AV312" s="48">
        <f t="shared" si="76"/>
        <v>-7.9573067999999525E-4</v>
      </c>
      <c r="AW312" s="48">
        <f t="shared" si="76"/>
        <v>-7.9573067999999525E-4</v>
      </c>
      <c r="AX312" s="48">
        <f t="shared" si="76"/>
        <v>-7.9573068000000913E-4</v>
      </c>
      <c r="AY312" s="48">
        <f t="shared" si="76"/>
        <v>-7.9573067999999525E-4</v>
      </c>
      <c r="AZ312" s="48">
        <v>0</v>
      </c>
      <c r="BA312" s="48">
        <v>0</v>
      </c>
      <c r="BB312" s="48">
        <v>0</v>
      </c>
    </row>
    <row r="313" spans="3:54" ht="15" hidden="1" customHeight="1" x14ac:dyDescent="0.3">
      <c r="C313" s="49" t="s">
        <v>351</v>
      </c>
    </row>
    <row r="314" spans="3:54" ht="15" hidden="1" customHeight="1" x14ac:dyDescent="0.3">
      <c r="C314" s="46" t="s">
        <v>352</v>
      </c>
      <c r="G314" s="9" t="e">
        <f t="shared" ref="G314:BB314" si="77">G310*G301</f>
        <v>#REF!</v>
      </c>
      <c r="H314" s="9" t="e">
        <f t="shared" si="77"/>
        <v>#REF!</v>
      </c>
      <c r="I314" s="9" t="e">
        <f t="shared" si="77"/>
        <v>#REF!</v>
      </c>
      <c r="J314" s="9" t="e">
        <f t="shared" si="77"/>
        <v>#REF!</v>
      </c>
      <c r="K314" s="9" t="e">
        <f t="shared" si="77"/>
        <v>#REF!</v>
      </c>
      <c r="L314" s="9" t="e">
        <f t="shared" si="77"/>
        <v>#REF!</v>
      </c>
      <c r="M314" s="9" t="e">
        <f t="shared" si="77"/>
        <v>#REF!</v>
      </c>
      <c r="N314" s="9" t="e">
        <f t="shared" si="77"/>
        <v>#REF!</v>
      </c>
      <c r="O314" s="9" t="e">
        <f t="shared" si="77"/>
        <v>#REF!</v>
      </c>
      <c r="P314" s="9" t="e">
        <f t="shared" si="77"/>
        <v>#REF!</v>
      </c>
      <c r="Q314" s="9" t="e">
        <f t="shared" si="77"/>
        <v>#REF!</v>
      </c>
      <c r="R314" s="9" t="e">
        <f t="shared" si="77"/>
        <v>#REF!</v>
      </c>
      <c r="S314" s="9" t="e">
        <f t="shared" si="77"/>
        <v>#REF!</v>
      </c>
      <c r="T314" s="9" t="e">
        <f t="shared" si="77"/>
        <v>#REF!</v>
      </c>
      <c r="U314" s="9" t="e">
        <f t="shared" si="77"/>
        <v>#REF!</v>
      </c>
      <c r="V314" s="9" t="e">
        <f t="shared" si="77"/>
        <v>#REF!</v>
      </c>
      <c r="W314" s="9" t="e">
        <f t="shared" si="77"/>
        <v>#REF!</v>
      </c>
      <c r="X314" s="9" t="e">
        <f t="shared" si="77"/>
        <v>#REF!</v>
      </c>
      <c r="Y314" s="9" t="e">
        <f t="shared" si="77"/>
        <v>#REF!</v>
      </c>
      <c r="Z314" s="9" t="e">
        <f t="shared" si="77"/>
        <v>#REF!</v>
      </c>
      <c r="AA314" s="9" t="e">
        <f t="shared" si="77"/>
        <v>#REF!</v>
      </c>
      <c r="AB314" s="9" t="e">
        <f t="shared" si="77"/>
        <v>#REF!</v>
      </c>
      <c r="AC314" s="9" t="e">
        <f t="shared" si="77"/>
        <v>#REF!</v>
      </c>
      <c r="AD314" s="9" t="e">
        <f t="shared" si="77"/>
        <v>#REF!</v>
      </c>
      <c r="AE314" s="9" t="e">
        <f t="shared" si="77"/>
        <v>#REF!</v>
      </c>
      <c r="AF314" s="9" t="e">
        <f t="shared" si="77"/>
        <v>#REF!</v>
      </c>
      <c r="AG314" s="9" t="e">
        <f t="shared" si="77"/>
        <v>#REF!</v>
      </c>
      <c r="AH314" s="9" t="e">
        <f t="shared" si="77"/>
        <v>#REF!</v>
      </c>
      <c r="AI314" s="9" t="e">
        <f t="shared" si="77"/>
        <v>#REF!</v>
      </c>
      <c r="AJ314" s="9" t="e">
        <f t="shared" si="77"/>
        <v>#REF!</v>
      </c>
      <c r="AK314" s="9" t="e">
        <f t="shared" si="77"/>
        <v>#REF!</v>
      </c>
      <c r="AL314" s="9" t="e">
        <f t="shared" si="77"/>
        <v>#REF!</v>
      </c>
      <c r="AM314" s="9" t="e">
        <f t="shared" si="77"/>
        <v>#REF!</v>
      </c>
      <c r="AN314" s="9" t="e">
        <f t="shared" si="77"/>
        <v>#REF!</v>
      </c>
      <c r="AO314" s="9" t="e">
        <f t="shared" si="77"/>
        <v>#REF!</v>
      </c>
      <c r="AP314" s="9" t="e">
        <f t="shared" si="77"/>
        <v>#REF!</v>
      </c>
      <c r="AQ314" s="9" t="e">
        <f t="shared" si="77"/>
        <v>#REF!</v>
      </c>
      <c r="AR314" s="9" t="e">
        <f t="shared" si="77"/>
        <v>#REF!</v>
      </c>
      <c r="AS314" s="9" t="e">
        <f t="shared" si="77"/>
        <v>#REF!</v>
      </c>
      <c r="AT314" s="9" t="e">
        <f t="shared" si="77"/>
        <v>#REF!</v>
      </c>
      <c r="AU314" s="9" t="e">
        <f t="shared" si="77"/>
        <v>#REF!</v>
      </c>
      <c r="AV314" s="9" t="e">
        <f t="shared" si="77"/>
        <v>#REF!</v>
      </c>
      <c r="AW314" s="9" t="e">
        <f t="shared" si="77"/>
        <v>#REF!</v>
      </c>
      <c r="AX314" s="9" t="e">
        <f t="shared" si="77"/>
        <v>#REF!</v>
      </c>
      <c r="AY314" s="9" t="e">
        <f t="shared" si="77"/>
        <v>#REF!</v>
      </c>
      <c r="AZ314" s="9" t="e">
        <f t="shared" si="77"/>
        <v>#REF!</v>
      </c>
      <c r="BA314" s="9" t="e">
        <f t="shared" si="77"/>
        <v>#REF!</v>
      </c>
      <c r="BB314" s="9" t="e">
        <f t="shared" si="77"/>
        <v>#REF!</v>
      </c>
    </row>
    <row r="315" spans="3:54" ht="15" hidden="1" customHeight="1" x14ac:dyDescent="0.3">
      <c r="C315" s="9" t="s">
        <v>353</v>
      </c>
      <c r="G315" s="9" t="e">
        <f t="shared" ref="G315:BB315" si="78">G311*G303</f>
        <v>#REF!</v>
      </c>
      <c r="H315" s="9" t="e">
        <f t="shared" si="78"/>
        <v>#REF!</v>
      </c>
      <c r="I315" s="9" t="e">
        <f t="shared" si="78"/>
        <v>#REF!</v>
      </c>
      <c r="J315" s="9" t="e">
        <f t="shared" si="78"/>
        <v>#REF!</v>
      </c>
      <c r="K315" s="9" t="e">
        <f t="shared" si="78"/>
        <v>#REF!</v>
      </c>
      <c r="L315" s="9" t="e">
        <f t="shared" si="78"/>
        <v>#REF!</v>
      </c>
      <c r="M315" s="9" t="e">
        <f t="shared" si="78"/>
        <v>#REF!</v>
      </c>
      <c r="N315" s="9" t="e">
        <f t="shared" si="78"/>
        <v>#REF!</v>
      </c>
      <c r="O315" s="9" t="e">
        <f t="shared" si="78"/>
        <v>#REF!</v>
      </c>
      <c r="P315" s="9" t="e">
        <f t="shared" si="78"/>
        <v>#REF!</v>
      </c>
      <c r="Q315" s="9" t="e">
        <f t="shared" si="78"/>
        <v>#REF!</v>
      </c>
      <c r="R315" s="9" t="e">
        <f t="shared" si="78"/>
        <v>#REF!</v>
      </c>
      <c r="S315" s="9" t="e">
        <f t="shared" si="78"/>
        <v>#REF!</v>
      </c>
      <c r="T315" s="9" t="e">
        <f t="shared" si="78"/>
        <v>#REF!</v>
      </c>
      <c r="U315" s="9" t="e">
        <f t="shared" si="78"/>
        <v>#REF!</v>
      </c>
      <c r="V315" s="9" t="e">
        <f t="shared" si="78"/>
        <v>#REF!</v>
      </c>
      <c r="W315" s="9" t="e">
        <f t="shared" si="78"/>
        <v>#REF!</v>
      </c>
      <c r="X315" s="9" t="e">
        <f t="shared" si="78"/>
        <v>#REF!</v>
      </c>
      <c r="Y315" s="9" t="e">
        <f t="shared" si="78"/>
        <v>#REF!</v>
      </c>
      <c r="Z315" s="9" t="e">
        <f t="shared" si="78"/>
        <v>#REF!</v>
      </c>
      <c r="AA315" s="9" t="e">
        <f t="shared" si="78"/>
        <v>#REF!</v>
      </c>
      <c r="AB315" s="9" t="e">
        <f t="shared" si="78"/>
        <v>#REF!</v>
      </c>
      <c r="AC315" s="9" t="e">
        <f t="shared" si="78"/>
        <v>#REF!</v>
      </c>
      <c r="AD315" s="9" t="e">
        <f t="shared" si="78"/>
        <v>#REF!</v>
      </c>
      <c r="AE315" s="9" t="e">
        <f t="shared" si="78"/>
        <v>#REF!</v>
      </c>
      <c r="AF315" s="9" t="e">
        <f t="shared" si="78"/>
        <v>#REF!</v>
      </c>
      <c r="AG315" s="9" t="e">
        <f t="shared" si="78"/>
        <v>#REF!</v>
      </c>
      <c r="AH315" s="9" t="e">
        <f t="shared" si="78"/>
        <v>#REF!</v>
      </c>
      <c r="AI315" s="9" t="e">
        <f t="shared" si="78"/>
        <v>#REF!</v>
      </c>
      <c r="AJ315" s="9" t="e">
        <f t="shared" si="78"/>
        <v>#REF!</v>
      </c>
      <c r="AK315" s="9" t="e">
        <f t="shared" si="78"/>
        <v>#REF!</v>
      </c>
      <c r="AL315" s="9" t="e">
        <f t="shared" si="78"/>
        <v>#REF!</v>
      </c>
      <c r="AM315" s="9" t="e">
        <f t="shared" si="78"/>
        <v>#REF!</v>
      </c>
      <c r="AN315" s="9" t="e">
        <f t="shared" si="78"/>
        <v>#REF!</v>
      </c>
      <c r="AO315" s="9" t="e">
        <f t="shared" si="78"/>
        <v>#REF!</v>
      </c>
      <c r="AP315" s="9" t="e">
        <f t="shared" si="78"/>
        <v>#REF!</v>
      </c>
      <c r="AQ315" s="9" t="e">
        <f t="shared" si="78"/>
        <v>#REF!</v>
      </c>
      <c r="AR315" s="9" t="e">
        <f t="shared" si="78"/>
        <v>#REF!</v>
      </c>
      <c r="AS315" s="9" t="e">
        <f t="shared" si="78"/>
        <v>#REF!</v>
      </c>
      <c r="AT315" s="9" t="e">
        <f t="shared" si="78"/>
        <v>#REF!</v>
      </c>
      <c r="AU315" s="9" t="e">
        <f t="shared" si="78"/>
        <v>#REF!</v>
      </c>
      <c r="AV315" s="9" t="e">
        <f t="shared" si="78"/>
        <v>#REF!</v>
      </c>
      <c r="AW315" s="9" t="e">
        <f t="shared" si="78"/>
        <v>#REF!</v>
      </c>
      <c r="AX315" s="9" t="e">
        <f t="shared" si="78"/>
        <v>#REF!</v>
      </c>
      <c r="AY315" s="9" t="e">
        <f t="shared" si="78"/>
        <v>#REF!</v>
      </c>
      <c r="AZ315" s="9" t="e">
        <f t="shared" si="78"/>
        <v>#REF!</v>
      </c>
      <c r="BA315" s="9" t="e">
        <f t="shared" si="78"/>
        <v>#REF!</v>
      </c>
      <c r="BB315" s="9" t="e">
        <f t="shared" si="78"/>
        <v>#REF!</v>
      </c>
    </row>
    <row r="316" spans="3:54" ht="15" hidden="1" customHeight="1" x14ac:dyDescent="0.3">
      <c r="C316" s="9" t="s">
        <v>354</v>
      </c>
      <c r="G316" s="9" t="e">
        <f t="shared" ref="G316:BB316" si="79">G312*G302</f>
        <v>#REF!</v>
      </c>
      <c r="H316" s="9" t="e">
        <f t="shared" si="79"/>
        <v>#REF!</v>
      </c>
      <c r="I316" s="9" t="e">
        <f t="shared" si="79"/>
        <v>#REF!</v>
      </c>
      <c r="J316" s="9" t="e">
        <f t="shared" si="79"/>
        <v>#REF!</v>
      </c>
      <c r="K316" s="9" t="e">
        <f t="shared" si="79"/>
        <v>#REF!</v>
      </c>
      <c r="L316" s="9" t="e">
        <f t="shared" si="79"/>
        <v>#REF!</v>
      </c>
      <c r="M316" s="9" t="e">
        <f t="shared" si="79"/>
        <v>#REF!</v>
      </c>
      <c r="N316" s="9" t="e">
        <f t="shared" si="79"/>
        <v>#REF!</v>
      </c>
      <c r="O316" s="9" t="e">
        <f t="shared" si="79"/>
        <v>#REF!</v>
      </c>
      <c r="P316" s="9" t="e">
        <f t="shared" si="79"/>
        <v>#REF!</v>
      </c>
      <c r="Q316" s="9" t="e">
        <f t="shared" si="79"/>
        <v>#REF!</v>
      </c>
      <c r="R316" s="9" t="e">
        <f t="shared" si="79"/>
        <v>#REF!</v>
      </c>
      <c r="S316" s="9" t="e">
        <f t="shared" si="79"/>
        <v>#REF!</v>
      </c>
      <c r="T316" s="9" t="e">
        <f t="shared" si="79"/>
        <v>#REF!</v>
      </c>
      <c r="U316" s="9" t="e">
        <f t="shared" si="79"/>
        <v>#REF!</v>
      </c>
      <c r="V316" s="9" t="e">
        <f t="shared" si="79"/>
        <v>#REF!</v>
      </c>
      <c r="W316" s="9" t="e">
        <f t="shared" si="79"/>
        <v>#REF!</v>
      </c>
      <c r="X316" s="9" t="e">
        <f t="shared" si="79"/>
        <v>#REF!</v>
      </c>
      <c r="Y316" s="9" t="e">
        <f t="shared" si="79"/>
        <v>#REF!</v>
      </c>
      <c r="Z316" s="9" t="e">
        <f t="shared" si="79"/>
        <v>#REF!</v>
      </c>
      <c r="AA316" s="9" t="e">
        <f t="shared" si="79"/>
        <v>#REF!</v>
      </c>
      <c r="AB316" s="9" t="e">
        <f t="shared" si="79"/>
        <v>#REF!</v>
      </c>
      <c r="AC316" s="9" t="e">
        <f t="shared" si="79"/>
        <v>#REF!</v>
      </c>
      <c r="AD316" s="9" t="e">
        <f t="shared" si="79"/>
        <v>#REF!</v>
      </c>
      <c r="AE316" s="9" t="e">
        <f t="shared" si="79"/>
        <v>#REF!</v>
      </c>
      <c r="AF316" s="9" t="e">
        <f t="shared" si="79"/>
        <v>#REF!</v>
      </c>
      <c r="AG316" s="9" t="e">
        <f t="shared" si="79"/>
        <v>#REF!</v>
      </c>
      <c r="AH316" s="9" t="e">
        <f t="shared" si="79"/>
        <v>#REF!</v>
      </c>
      <c r="AI316" s="9" t="e">
        <f t="shared" si="79"/>
        <v>#REF!</v>
      </c>
      <c r="AJ316" s="9" t="e">
        <f t="shared" si="79"/>
        <v>#REF!</v>
      </c>
      <c r="AK316" s="9" t="e">
        <f t="shared" si="79"/>
        <v>#REF!</v>
      </c>
      <c r="AL316" s="9" t="e">
        <f t="shared" si="79"/>
        <v>#REF!</v>
      </c>
      <c r="AM316" s="9" t="e">
        <f t="shared" si="79"/>
        <v>#REF!</v>
      </c>
      <c r="AN316" s="9" t="e">
        <f t="shared" si="79"/>
        <v>#REF!</v>
      </c>
      <c r="AO316" s="9" t="e">
        <f t="shared" si="79"/>
        <v>#REF!</v>
      </c>
      <c r="AP316" s="9" t="e">
        <f t="shared" si="79"/>
        <v>#REF!</v>
      </c>
      <c r="AQ316" s="9" t="e">
        <f t="shared" si="79"/>
        <v>#REF!</v>
      </c>
      <c r="AR316" s="9" t="e">
        <f t="shared" si="79"/>
        <v>#REF!</v>
      </c>
      <c r="AS316" s="9" t="e">
        <f t="shared" si="79"/>
        <v>#REF!</v>
      </c>
      <c r="AT316" s="9" t="e">
        <f t="shared" si="79"/>
        <v>#REF!</v>
      </c>
      <c r="AU316" s="9" t="e">
        <f t="shared" si="79"/>
        <v>#REF!</v>
      </c>
      <c r="AV316" s="9" t="e">
        <f t="shared" si="79"/>
        <v>#REF!</v>
      </c>
      <c r="AW316" s="9" t="e">
        <f t="shared" si="79"/>
        <v>#REF!</v>
      </c>
      <c r="AX316" s="9" t="e">
        <f t="shared" si="79"/>
        <v>#REF!</v>
      </c>
      <c r="AY316" s="9" t="e">
        <f t="shared" si="79"/>
        <v>#REF!</v>
      </c>
      <c r="AZ316" s="9" t="e">
        <f t="shared" si="79"/>
        <v>#REF!</v>
      </c>
      <c r="BA316" s="9" t="e">
        <f t="shared" si="79"/>
        <v>#REF!</v>
      </c>
      <c r="BB316" s="9" t="e">
        <f t="shared" si="79"/>
        <v>#REF!</v>
      </c>
    </row>
    <row r="317" spans="3:54" ht="15" customHeight="1" x14ac:dyDescent="0.3">
      <c r="C317" s="46"/>
    </row>
    <row r="318" spans="3:54" ht="15" customHeight="1" x14ac:dyDescent="0.3">
      <c r="C318" s="47" t="s">
        <v>355</v>
      </c>
    </row>
    <row r="319" spans="3:54" ht="15" customHeight="1" x14ac:dyDescent="0.3">
      <c r="C319" s="46" t="s">
        <v>358</v>
      </c>
      <c r="E319" s="382" t="s">
        <v>208</v>
      </c>
      <c r="F319" s="382" t="s">
        <v>359</v>
      </c>
      <c r="G319" s="11" t="e">
        <f>#REF!</f>
        <v>#REF!</v>
      </c>
      <c r="H319" s="11" t="e">
        <f t="shared" ref="H319:BB319" si="80">G319</f>
        <v>#REF!</v>
      </c>
      <c r="I319" s="11" t="e">
        <f t="shared" si="80"/>
        <v>#REF!</v>
      </c>
      <c r="J319" s="11" t="e">
        <f t="shared" si="80"/>
        <v>#REF!</v>
      </c>
      <c r="K319" s="11" t="e">
        <f t="shared" si="80"/>
        <v>#REF!</v>
      </c>
      <c r="L319" s="11" t="e">
        <f t="shared" si="80"/>
        <v>#REF!</v>
      </c>
      <c r="M319" s="11" t="e">
        <f t="shared" si="80"/>
        <v>#REF!</v>
      </c>
      <c r="N319" s="11" t="e">
        <f t="shared" si="80"/>
        <v>#REF!</v>
      </c>
      <c r="O319" s="11" t="e">
        <f t="shared" si="80"/>
        <v>#REF!</v>
      </c>
      <c r="P319" s="11" t="e">
        <f t="shared" si="80"/>
        <v>#REF!</v>
      </c>
      <c r="Q319" s="11" t="e">
        <f t="shared" si="80"/>
        <v>#REF!</v>
      </c>
      <c r="R319" s="11" t="e">
        <f t="shared" si="80"/>
        <v>#REF!</v>
      </c>
      <c r="S319" s="11" t="e">
        <f t="shared" si="80"/>
        <v>#REF!</v>
      </c>
      <c r="T319" s="11" t="e">
        <f t="shared" si="80"/>
        <v>#REF!</v>
      </c>
      <c r="U319" s="11" t="e">
        <f t="shared" si="80"/>
        <v>#REF!</v>
      </c>
      <c r="V319" s="11" t="e">
        <f t="shared" si="80"/>
        <v>#REF!</v>
      </c>
      <c r="W319" s="11" t="e">
        <f t="shared" si="80"/>
        <v>#REF!</v>
      </c>
      <c r="X319" s="11" t="e">
        <f t="shared" si="80"/>
        <v>#REF!</v>
      </c>
      <c r="Y319" s="11" t="e">
        <f t="shared" si="80"/>
        <v>#REF!</v>
      </c>
      <c r="Z319" s="11" t="e">
        <f t="shared" si="80"/>
        <v>#REF!</v>
      </c>
      <c r="AA319" s="11" t="e">
        <f t="shared" si="80"/>
        <v>#REF!</v>
      </c>
      <c r="AB319" s="11" t="e">
        <f t="shared" si="80"/>
        <v>#REF!</v>
      </c>
      <c r="AC319" s="11" t="e">
        <f t="shared" si="80"/>
        <v>#REF!</v>
      </c>
      <c r="AD319" s="11" t="e">
        <f t="shared" si="80"/>
        <v>#REF!</v>
      </c>
      <c r="AE319" s="11" t="e">
        <f t="shared" si="80"/>
        <v>#REF!</v>
      </c>
      <c r="AF319" s="11" t="e">
        <f t="shared" si="80"/>
        <v>#REF!</v>
      </c>
      <c r="AG319" s="11" t="e">
        <f t="shared" si="80"/>
        <v>#REF!</v>
      </c>
      <c r="AH319" s="11" t="e">
        <f t="shared" si="80"/>
        <v>#REF!</v>
      </c>
      <c r="AI319" s="11" t="e">
        <f t="shared" si="80"/>
        <v>#REF!</v>
      </c>
      <c r="AJ319" s="11" t="e">
        <f t="shared" si="80"/>
        <v>#REF!</v>
      </c>
      <c r="AK319" s="11" t="e">
        <f t="shared" si="80"/>
        <v>#REF!</v>
      </c>
      <c r="AL319" s="11" t="e">
        <f t="shared" si="80"/>
        <v>#REF!</v>
      </c>
      <c r="AM319" s="11" t="e">
        <f t="shared" si="80"/>
        <v>#REF!</v>
      </c>
      <c r="AN319" s="11" t="e">
        <f t="shared" si="80"/>
        <v>#REF!</v>
      </c>
      <c r="AO319" s="11" t="e">
        <f t="shared" si="80"/>
        <v>#REF!</v>
      </c>
      <c r="AP319" s="11" t="e">
        <f t="shared" si="80"/>
        <v>#REF!</v>
      </c>
      <c r="AQ319" s="11" t="e">
        <f t="shared" si="80"/>
        <v>#REF!</v>
      </c>
      <c r="AR319" s="11" t="e">
        <f t="shared" si="80"/>
        <v>#REF!</v>
      </c>
      <c r="AS319" s="11" t="e">
        <f t="shared" si="80"/>
        <v>#REF!</v>
      </c>
      <c r="AT319" s="11" t="e">
        <f t="shared" si="80"/>
        <v>#REF!</v>
      </c>
      <c r="AU319" s="11" t="e">
        <f t="shared" si="80"/>
        <v>#REF!</v>
      </c>
      <c r="AV319" s="11" t="e">
        <f t="shared" si="80"/>
        <v>#REF!</v>
      </c>
      <c r="AW319" s="11" t="e">
        <f t="shared" si="80"/>
        <v>#REF!</v>
      </c>
      <c r="AX319" s="11" t="e">
        <f t="shared" si="80"/>
        <v>#REF!</v>
      </c>
      <c r="AY319" s="11" t="e">
        <f t="shared" si="80"/>
        <v>#REF!</v>
      </c>
      <c r="AZ319" s="11" t="e">
        <f t="shared" si="80"/>
        <v>#REF!</v>
      </c>
      <c r="BA319" s="11" t="e">
        <f t="shared" si="80"/>
        <v>#REF!</v>
      </c>
      <c r="BB319" s="11" t="e">
        <f t="shared" si="80"/>
        <v>#REF!</v>
      </c>
    </row>
    <row r="320" spans="3:54" ht="15" customHeight="1" x14ac:dyDescent="0.3">
      <c r="C320" s="9" t="s">
        <v>360</v>
      </c>
      <c r="E320" s="382"/>
      <c r="F320" s="382"/>
      <c r="G320" s="9" t="e">
        <f>#REF!*0.987</f>
        <v>#REF!</v>
      </c>
      <c r="H320" s="9" t="e">
        <f t="shared" ref="H320:W321" si="81">G320*0.987</f>
        <v>#REF!</v>
      </c>
      <c r="I320" s="9" t="e">
        <f t="shared" si="81"/>
        <v>#REF!</v>
      </c>
      <c r="J320" s="9" t="e">
        <f t="shared" si="81"/>
        <v>#REF!</v>
      </c>
      <c r="K320" s="9" t="e">
        <f t="shared" si="81"/>
        <v>#REF!</v>
      </c>
      <c r="L320" s="9" t="e">
        <f t="shared" si="81"/>
        <v>#REF!</v>
      </c>
      <c r="M320" s="9" t="e">
        <f t="shared" si="81"/>
        <v>#REF!</v>
      </c>
      <c r="N320" s="9" t="e">
        <f t="shared" si="81"/>
        <v>#REF!</v>
      </c>
      <c r="O320" s="9" t="e">
        <f t="shared" si="81"/>
        <v>#REF!</v>
      </c>
      <c r="P320" s="9" t="e">
        <f t="shared" si="81"/>
        <v>#REF!</v>
      </c>
      <c r="Q320" s="9" t="e">
        <f t="shared" si="81"/>
        <v>#REF!</v>
      </c>
      <c r="R320" s="9" t="e">
        <f t="shared" si="81"/>
        <v>#REF!</v>
      </c>
      <c r="S320" s="9" t="e">
        <f t="shared" si="81"/>
        <v>#REF!</v>
      </c>
      <c r="T320" s="9" t="e">
        <f t="shared" si="81"/>
        <v>#REF!</v>
      </c>
      <c r="U320" s="9" t="e">
        <f t="shared" si="81"/>
        <v>#REF!</v>
      </c>
      <c r="V320" s="9" t="e">
        <f t="shared" si="81"/>
        <v>#REF!</v>
      </c>
      <c r="W320" s="9" t="e">
        <f t="shared" si="81"/>
        <v>#REF!</v>
      </c>
      <c r="X320" s="9" t="e">
        <f t="shared" ref="X320:AM321" si="82">W320*0.987</f>
        <v>#REF!</v>
      </c>
      <c r="Y320" s="9" t="e">
        <f t="shared" si="82"/>
        <v>#REF!</v>
      </c>
      <c r="Z320" s="9" t="e">
        <f t="shared" si="82"/>
        <v>#REF!</v>
      </c>
      <c r="AA320" s="9" t="e">
        <f t="shared" si="82"/>
        <v>#REF!</v>
      </c>
      <c r="AB320" s="9" t="e">
        <f t="shared" si="82"/>
        <v>#REF!</v>
      </c>
      <c r="AC320" s="9" t="e">
        <f t="shared" si="82"/>
        <v>#REF!</v>
      </c>
      <c r="AD320" s="9" t="e">
        <f t="shared" si="82"/>
        <v>#REF!</v>
      </c>
      <c r="AE320" s="9" t="e">
        <f t="shared" si="82"/>
        <v>#REF!</v>
      </c>
      <c r="AF320" s="9" t="e">
        <f t="shared" si="82"/>
        <v>#REF!</v>
      </c>
      <c r="AG320" s="9" t="e">
        <f t="shared" si="82"/>
        <v>#REF!</v>
      </c>
      <c r="AH320" s="9" t="e">
        <f t="shared" si="82"/>
        <v>#REF!</v>
      </c>
      <c r="AI320" s="9" t="e">
        <f t="shared" si="82"/>
        <v>#REF!</v>
      </c>
      <c r="AJ320" s="9" t="e">
        <f t="shared" si="82"/>
        <v>#REF!</v>
      </c>
      <c r="AK320" s="9" t="e">
        <f t="shared" si="82"/>
        <v>#REF!</v>
      </c>
      <c r="AL320" s="9" t="e">
        <f t="shared" si="82"/>
        <v>#REF!</v>
      </c>
      <c r="AM320" s="9" t="e">
        <f t="shared" si="82"/>
        <v>#REF!</v>
      </c>
      <c r="AN320" s="9" t="e">
        <f t="shared" ref="AN320:BB321" si="83">AM320*0.987</f>
        <v>#REF!</v>
      </c>
      <c r="AO320" s="9" t="e">
        <f t="shared" si="83"/>
        <v>#REF!</v>
      </c>
      <c r="AP320" s="9" t="e">
        <f t="shared" si="83"/>
        <v>#REF!</v>
      </c>
      <c r="AQ320" s="9" t="e">
        <f t="shared" si="83"/>
        <v>#REF!</v>
      </c>
      <c r="AR320" s="9" t="e">
        <f t="shared" si="83"/>
        <v>#REF!</v>
      </c>
      <c r="AS320" s="9" t="e">
        <f t="shared" si="83"/>
        <v>#REF!</v>
      </c>
      <c r="AT320" s="9" t="e">
        <f t="shared" si="83"/>
        <v>#REF!</v>
      </c>
      <c r="AU320" s="9" t="e">
        <f t="shared" si="83"/>
        <v>#REF!</v>
      </c>
      <c r="AV320" s="9" t="e">
        <f t="shared" si="83"/>
        <v>#REF!</v>
      </c>
      <c r="AW320" s="9" t="e">
        <f t="shared" si="83"/>
        <v>#REF!</v>
      </c>
      <c r="AX320" s="9" t="e">
        <f t="shared" si="83"/>
        <v>#REF!</v>
      </c>
      <c r="AY320" s="9" t="e">
        <f t="shared" si="83"/>
        <v>#REF!</v>
      </c>
      <c r="AZ320" s="9" t="e">
        <f t="shared" si="83"/>
        <v>#REF!</v>
      </c>
      <c r="BA320" s="9" t="e">
        <f t="shared" si="83"/>
        <v>#REF!</v>
      </c>
      <c r="BB320" s="9" t="e">
        <f t="shared" si="83"/>
        <v>#REF!</v>
      </c>
    </row>
    <row r="321" spans="1:55" ht="15" customHeight="1" x14ac:dyDescent="0.3">
      <c r="C321" s="9" t="s">
        <v>361</v>
      </c>
      <c r="E321" s="382"/>
      <c r="F321" s="382"/>
      <c r="G321" s="9" t="e">
        <f>#REF!*0.987</f>
        <v>#REF!</v>
      </c>
      <c r="H321" s="9" t="e">
        <f t="shared" si="81"/>
        <v>#REF!</v>
      </c>
      <c r="I321" s="9" t="e">
        <f t="shared" si="81"/>
        <v>#REF!</v>
      </c>
      <c r="J321" s="9" t="e">
        <f t="shared" si="81"/>
        <v>#REF!</v>
      </c>
      <c r="K321" s="9" t="e">
        <f t="shared" si="81"/>
        <v>#REF!</v>
      </c>
      <c r="L321" s="9" t="e">
        <f t="shared" si="81"/>
        <v>#REF!</v>
      </c>
      <c r="M321" s="9" t="e">
        <f t="shared" si="81"/>
        <v>#REF!</v>
      </c>
      <c r="N321" s="9" t="e">
        <f t="shared" si="81"/>
        <v>#REF!</v>
      </c>
      <c r="O321" s="9" t="e">
        <f t="shared" si="81"/>
        <v>#REF!</v>
      </c>
      <c r="P321" s="9" t="e">
        <f t="shared" si="81"/>
        <v>#REF!</v>
      </c>
      <c r="Q321" s="9" t="e">
        <f t="shared" si="81"/>
        <v>#REF!</v>
      </c>
      <c r="R321" s="9" t="e">
        <f t="shared" si="81"/>
        <v>#REF!</v>
      </c>
      <c r="S321" s="9" t="e">
        <f t="shared" si="81"/>
        <v>#REF!</v>
      </c>
      <c r="T321" s="9" t="e">
        <f t="shared" si="81"/>
        <v>#REF!</v>
      </c>
      <c r="U321" s="9" t="e">
        <f t="shared" si="81"/>
        <v>#REF!</v>
      </c>
      <c r="V321" s="9" t="e">
        <f t="shared" si="81"/>
        <v>#REF!</v>
      </c>
      <c r="W321" s="9" t="e">
        <f t="shared" si="81"/>
        <v>#REF!</v>
      </c>
      <c r="X321" s="9" t="e">
        <f t="shared" si="82"/>
        <v>#REF!</v>
      </c>
      <c r="Y321" s="9" t="e">
        <f t="shared" si="82"/>
        <v>#REF!</v>
      </c>
      <c r="Z321" s="9" t="e">
        <f t="shared" si="82"/>
        <v>#REF!</v>
      </c>
      <c r="AA321" s="9" t="e">
        <f t="shared" si="82"/>
        <v>#REF!</v>
      </c>
      <c r="AB321" s="9" t="e">
        <f t="shared" si="82"/>
        <v>#REF!</v>
      </c>
      <c r="AC321" s="9" t="e">
        <f t="shared" si="82"/>
        <v>#REF!</v>
      </c>
      <c r="AD321" s="9" t="e">
        <f t="shared" si="82"/>
        <v>#REF!</v>
      </c>
      <c r="AE321" s="9" t="e">
        <f t="shared" si="82"/>
        <v>#REF!</v>
      </c>
      <c r="AF321" s="9" t="e">
        <f t="shared" si="82"/>
        <v>#REF!</v>
      </c>
      <c r="AG321" s="9" t="e">
        <f t="shared" si="82"/>
        <v>#REF!</v>
      </c>
      <c r="AH321" s="9" t="e">
        <f t="shared" si="82"/>
        <v>#REF!</v>
      </c>
      <c r="AI321" s="9" t="e">
        <f t="shared" si="82"/>
        <v>#REF!</v>
      </c>
      <c r="AJ321" s="9" t="e">
        <f t="shared" si="82"/>
        <v>#REF!</v>
      </c>
      <c r="AK321" s="9" t="e">
        <f t="shared" si="82"/>
        <v>#REF!</v>
      </c>
      <c r="AL321" s="9" t="e">
        <f t="shared" si="82"/>
        <v>#REF!</v>
      </c>
      <c r="AM321" s="9" t="e">
        <f t="shared" si="82"/>
        <v>#REF!</v>
      </c>
      <c r="AN321" s="9" t="e">
        <f t="shared" si="83"/>
        <v>#REF!</v>
      </c>
      <c r="AO321" s="9" t="e">
        <f t="shared" si="83"/>
        <v>#REF!</v>
      </c>
      <c r="AP321" s="9" t="e">
        <f t="shared" si="83"/>
        <v>#REF!</v>
      </c>
      <c r="AQ321" s="9" t="e">
        <f t="shared" si="83"/>
        <v>#REF!</v>
      </c>
      <c r="AR321" s="9" t="e">
        <f t="shared" si="83"/>
        <v>#REF!</v>
      </c>
      <c r="AS321" s="9" t="e">
        <f t="shared" si="83"/>
        <v>#REF!</v>
      </c>
      <c r="AT321" s="9" t="e">
        <f t="shared" si="83"/>
        <v>#REF!</v>
      </c>
      <c r="AU321" s="9" t="e">
        <f t="shared" si="83"/>
        <v>#REF!</v>
      </c>
      <c r="AV321" s="9" t="e">
        <f t="shared" si="83"/>
        <v>#REF!</v>
      </c>
      <c r="AW321" s="9" t="e">
        <f t="shared" si="83"/>
        <v>#REF!</v>
      </c>
      <c r="AX321" s="9" t="e">
        <f t="shared" si="83"/>
        <v>#REF!</v>
      </c>
      <c r="AY321" s="9" t="e">
        <f t="shared" si="83"/>
        <v>#REF!</v>
      </c>
      <c r="AZ321" s="9" t="e">
        <f t="shared" si="83"/>
        <v>#REF!</v>
      </c>
      <c r="BA321" s="9" t="e">
        <f t="shared" si="83"/>
        <v>#REF!</v>
      </c>
      <c r="BB321" s="9" t="e">
        <f t="shared" si="83"/>
        <v>#REF!</v>
      </c>
    </row>
    <row r="322" spans="1:55" ht="15" customHeight="1" x14ac:dyDescent="0.3">
      <c r="C322" s="46"/>
    </row>
    <row r="323" spans="1:55" ht="15" customHeight="1" x14ac:dyDescent="0.3">
      <c r="C323" s="47" t="s">
        <v>362</v>
      </c>
    </row>
    <row r="324" spans="1:55" ht="15" customHeight="1" x14ac:dyDescent="0.3">
      <c r="C324" s="46" t="s">
        <v>358</v>
      </c>
      <c r="E324" s="382" t="s">
        <v>208</v>
      </c>
      <c r="F324" s="382" t="s">
        <v>359</v>
      </c>
      <c r="G324" s="11">
        <v>2555</v>
      </c>
      <c r="H324" s="11">
        <v>2555</v>
      </c>
      <c r="I324" s="11">
        <v>2555</v>
      </c>
      <c r="J324" s="11">
        <v>2555</v>
      </c>
      <c r="K324" s="11">
        <v>2555</v>
      </c>
      <c r="L324" s="11">
        <v>2555</v>
      </c>
      <c r="M324" s="11">
        <v>2555</v>
      </c>
      <c r="N324" s="11">
        <v>2555</v>
      </c>
      <c r="O324" s="11">
        <v>2555</v>
      </c>
      <c r="P324" s="11">
        <v>2555</v>
      </c>
      <c r="Q324" s="11">
        <v>2555</v>
      </c>
      <c r="R324" s="11">
        <v>2555</v>
      </c>
      <c r="S324" s="11">
        <v>2529.4499999999998</v>
      </c>
      <c r="T324" s="11">
        <v>2505.433</v>
      </c>
      <c r="U324" s="11">
        <v>2481.4159999999997</v>
      </c>
      <c r="V324" s="11">
        <v>2457.3989999999999</v>
      </c>
      <c r="W324" s="11">
        <v>2433.3820000000001</v>
      </c>
      <c r="X324" s="11">
        <v>2409.3650000000002</v>
      </c>
      <c r="Y324" s="11">
        <v>2385.348</v>
      </c>
      <c r="Z324" s="11">
        <v>2361.3310000000001</v>
      </c>
      <c r="AA324" s="11">
        <v>2337.3140000000003</v>
      </c>
      <c r="AB324" s="11">
        <v>2313.297</v>
      </c>
      <c r="AC324" s="11">
        <v>2289.2800000000002</v>
      </c>
      <c r="AD324" s="11">
        <v>2265.2629999999999</v>
      </c>
      <c r="AE324" s="11">
        <v>2241.2460000000001</v>
      </c>
      <c r="AF324" s="11">
        <v>2217.2289999999998</v>
      </c>
      <c r="AG324" s="11">
        <v>2193.212</v>
      </c>
      <c r="AH324" s="11">
        <v>2178.8018000000002</v>
      </c>
      <c r="AI324" s="11">
        <v>2164.3916000000004</v>
      </c>
      <c r="AJ324" s="11">
        <v>2149.9814000000001</v>
      </c>
      <c r="AK324" s="11">
        <v>2135.5711999999999</v>
      </c>
      <c r="AL324" s="11">
        <v>2121.1610000000001</v>
      </c>
      <c r="AM324" s="11">
        <v>2106.7508000000003</v>
      </c>
      <c r="AN324" s="11">
        <v>2092.3406000000004</v>
      </c>
      <c r="AO324" s="11">
        <v>2077.9304000000002</v>
      </c>
      <c r="AP324" s="11">
        <v>2063.5201999999999</v>
      </c>
      <c r="AQ324" s="11">
        <v>2049.11</v>
      </c>
      <c r="AR324" s="11">
        <v>2034.6998000000001</v>
      </c>
      <c r="AS324" s="11">
        <v>2020.2896000000003</v>
      </c>
      <c r="AT324" s="11">
        <v>2005.8794</v>
      </c>
      <c r="AU324" s="11">
        <v>1991.4692</v>
      </c>
      <c r="AV324" s="11">
        <v>1977.0590000000002</v>
      </c>
      <c r="AW324" s="11">
        <v>1962.6488000000002</v>
      </c>
      <c r="AX324" s="11">
        <v>1948.2386000000001</v>
      </c>
      <c r="AY324" s="11">
        <v>1933.8284000000001</v>
      </c>
      <c r="AZ324" s="11">
        <v>1919.4182000000001</v>
      </c>
      <c r="BA324" s="11">
        <v>1905.008</v>
      </c>
      <c r="BB324" s="11">
        <v>1890.5978000000002</v>
      </c>
    </row>
    <row r="325" spans="1:55" ht="15" customHeight="1" x14ac:dyDescent="0.3">
      <c r="C325" s="9" t="s">
        <v>360</v>
      </c>
      <c r="E325" s="382"/>
      <c r="F325" s="382"/>
      <c r="G325" s="11">
        <v>1090</v>
      </c>
      <c r="H325" s="11">
        <v>1090</v>
      </c>
      <c r="I325" s="11">
        <v>1090</v>
      </c>
      <c r="J325" s="11">
        <v>1090</v>
      </c>
      <c r="K325" s="11">
        <v>1090</v>
      </c>
      <c r="L325" s="11">
        <v>1090</v>
      </c>
      <c r="M325" s="11">
        <v>1090</v>
      </c>
      <c r="N325" s="11">
        <v>1090</v>
      </c>
      <c r="O325" s="11">
        <v>1090</v>
      </c>
      <c r="P325" s="11">
        <v>1090</v>
      </c>
      <c r="Q325" s="11">
        <v>1090</v>
      </c>
      <c r="R325" s="11">
        <v>1090</v>
      </c>
      <c r="S325" s="11">
        <v>1079.0999999999999</v>
      </c>
      <c r="T325" s="11">
        <v>1068.854</v>
      </c>
      <c r="U325" s="11">
        <v>1058.6079999999999</v>
      </c>
      <c r="V325" s="11">
        <v>1048.3620000000001</v>
      </c>
      <c r="W325" s="11">
        <v>1038.116</v>
      </c>
      <c r="X325" s="11">
        <v>1027.8700000000001</v>
      </c>
      <c r="Y325" s="11">
        <v>1017.624</v>
      </c>
      <c r="Z325" s="11">
        <v>1007.378</v>
      </c>
      <c r="AA325" s="11">
        <v>997.13200000000006</v>
      </c>
      <c r="AB325" s="11">
        <v>986.88599999999997</v>
      </c>
      <c r="AC325" s="11">
        <v>976.64</v>
      </c>
      <c r="AD325" s="11">
        <v>966.39400000000001</v>
      </c>
      <c r="AE325" s="11">
        <v>956.14800000000002</v>
      </c>
      <c r="AF325" s="11">
        <v>945.90200000000004</v>
      </c>
      <c r="AG325" s="11">
        <v>935.65600000000006</v>
      </c>
      <c r="AH325" s="11">
        <v>929.50840000000005</v>
      </c>
      <c r="AI325" s="11">
        <v>923.36080000000015</v>
      </c>
      <c r="AJ325" s="11">
        <v>917.21320000000003</v>
      </c>
      <c r="AK325" s="11">
        <v>911.06560000000002</v>
      </c>
      <c r="AL325" s="11">
        <v>904.91800000000001</v>
      </c>
      <c r="AM325" s="11">
        <v>898.77040000000011</v>
      </c>
      <c r="AN325" s="11">
        <v>892.6228000000001</v>
      </c>
      <c r="AO325" s="11">
        <v>886.47519999999997</v>
      </c>
      <c r="AP325" s="11">
        <v>880.32760000000007</v>
      </c>
      <c r="AQ325" s="11">
        <v>874.18000000000006</v>
      </c>
      <c r="AR325" s="11">
        <v>868.03240000000005</v>
      </c>
      <c r="AS325" s="11">
        <v>861.88480000000004</v>
      </c>
      <c r="AT325" s="11">
        <v>855.73720000000003</v>
      </c>
      <c r="AU325" s="11">
        <v>849.58960000000002</v>
      </c>
      <c r="AV325" s="11">
        <v>843.44200000000001</v>
      </c>
      <c r="AW325" s="11">
        <v>837.29440000000011</v>
      </c>
      <c r="AX325" s="11">
        <v>831.1468000000001</v>
      </c>
      <c r="AY325" s="11">
        <v>824.99919999999997</v>
      </c>
      <c r="AZ325" s="11">
        <v>818.85160000000008</v>
      </c>
      <c r="BA325" s="11">
        <v>812.70400000000006</v>
      </c>
      <c r="BB325" s="11">
        <v>806.55640000000005</v>
      </c>
    </row>
    <row r="326" spans="1:55" ht="15" customHeight="1" x14ac:dyDescent="0.3">
      <c r="C326" s="9" t="s">
        <v>361</v>
      </c>
      <c r="E326" s="382"/>
      <c r="F326" s="382"/>
      <c r="G326" s="11">
        <v>365</v>
      </c>
      <c r="H326" s="11">
        <v>365</v>
      </c>
      <c r="I326" s="11">
        <v>365</v>
      </c>
      <c r="J326" s="11">
        <v>365</v>
      </c>
      <c r="K326" s="11">
        <v>365</v>
      </c>
      <c r="L326" s="11">
        <v>365</v>
      </c>
      <c r="M326" s="11">
        <v>365</v>
      </c>
      <c r="N326" s="11">
        <v>365</v>
      </c>
      <c r="O326" s="11">
        <v>365</v>
      </c>
      <c r="P326" s="11">
        <v>365</v>
      </c>
      <c r="Q326" s="11">
        <v>365</v>
      </c>
      <c r="R326" s="11">
        <v>365</v>
      </c>
      <c r="S326" s="11">
        <v>365</v>
      </c>
      <c r="T326" s="11">
        <v>365</v>
      </c>
      <c r="U326" s="11">
        <v>365</v>
      </c>
      <c r="V326" s="11">
        <v>365</v>
      </c>
      <c r="W326" s="11">
        <v>365</v>
      </c>
      <c r="X326" s="11">
        <v>365</v>
      </c>
      <c r="Y326" s="11">
        <v>365</v>
      </c>
      <c r="Z326" s="11">
        <v>365</v>
      </c>
      <c r="AA326" s="11">
        <v>365</v>
      </c>
      <c r="AB326" s="11">
        <v>365</v>
      </c>
      <c r="AC326" s="11">
        <v>365</v>
      </c>
      <c r="AD326" s="11">
        <v>365</v>
      </c>
      <c r="AE326" s="11">
        <v>365</v>
      </c>
      <c r="AF326" s="11">
        <v>365</v>
      </c>
      <c r="AG326" s="11">
        <v>365</v>
      </c>
      <c r="AH326" s="11">
        <v>365</v>
      </c>
      <c r="AI326" s="11">
        <v>365</v>
      </c>
      <c r="AJ326" s="11">
        <v>365</v>
      </c>
      <c r="AK326" s="11">
        <v>365</v>
      </c>
      <c r="AL326" s="11">
        <v>365</v>
      </c>
      <c r="AM326" s="11">
        <v>365</v>
      </c>
      <c r="AN326" s="11">
        <v>365</v>
      </c>
      <c r="AO326" s="11">
        <v>365</v>
      </c>
      <c r="AP326" s="11">
        <v>365</v>
      </c>
      <c r="AQ326" s="11">
        <v>365</v>
      </c>
      <c r="AR326" s="11">
        <v>365</v>
      </c>
      <c r="AS326" s="11">
        <v>365</v>
      </c>
      <c r="AT326" s="11">
        <v>365</v>
      </c>
      <c r="AU326" s="11">
        <v>365</v>
      </c>
      <c r="AV326" s="11">
        <v>365</v>
      </c>
      <c r="AW326" s="11">
        <v>365</v>
      </c>
      <c r="AX326" s="11">
        <v>365</v>
      </c>
      <c r="AY326" s="11">
        <v>365</v>
      </c>
      <c r="AZ326" s="11">
        <v>365</v>
      </c>
      <c r="BA326" s="11">
        <v>365</v>
      </c>
      <c r="BB326" s="11">
        <v>365</v>
      </c>
    </row>
    <row r="327" spans="1:55" ht="15" customHeight="1" x14ac:dyDescent="0.3">
      <c r="C327" s="46"/>
    </row>
    <row r="328" spans="1:55" ht="15" customHeight="1" x14ac:dyDescent="0.3">
      <c r="C328" s="47" t="s">
        <v>363</v>
      </c>
    </row>
    <row r="329" spans="1:55" ht="15" customHeight="1" x14ac:dyDescent="0.3">
      <c r="C329" s="46" t="s">
        <v>358</v>
      </c>
      <c r="E329" s="382" t="s">
        <v>208</v>
      </c>
      <c r="F329" s="382" t="s">
        <v>359</v>
      </c>
      <c r="G329" s="11" t="e">
        <f>#REF!</f>
        <v>#REF!</v>
      </c>
      <c r="H329" s="11" t="e">
        <f t="shared" ref="H329:W331" si="84">G329</f>
        <v>#REF!</v>
      </c>
      <c r="I329" s="11" t="e">
        <f t="shared" si="84"/>
        <v>#REF!</v>
      </c>
      <c r="J329" s="11" t="e">
        <f t="shared" si="84"/>
        <v>#REF!</v>
      </c>
      <c r="K329" s="11" t="e">
        <f t="shared" si="84"/>
        <v>#REF!</v>
      </c>
      <c r="L329" s="11" t="e">
        <f t="shared" si="84"/>
        <v>#REF!</v>
      </c>
      <c r="M329" s="11" t="e">
        <f t="shared" si="84"/>
        <v>#REF!</v>
      </c>
      <c r="N329" s="11" t="e">
        <f t="shared" si="84"/>
        <v>#REF!</v>
      </c>
      <c r="O329" s="11" t="e">
        <f t="shared" si="84"/>
        <v>#REF!</v>
      </c>
      <c r="P329" s="11" t="e">
        <f t="shared" si="84"/>
        <v>#REF!</v>
      </c>
      <c r="Q329" s="11" t="e">
        <f t="shared" si="84"/>
        <v>#REF!</v>
      </c>
      <c r="R329" s="11" t="e">
        <f t="shared" si="84"/>
        <v>#REF!</v>
      </c>
      <c r="S329" s="11" t="e">
        <f t="shared" si="84"/>
        <v>#REF!</v>
      </c>
      <c r="T329" s="11" t="e">
        <f t="shared" si="84"/>
        <v>#REF!</v>
      </c>
      <c r="U329" s="11" t="e">
        <f t="shared" si="84"/>
        <v>#REF!</v>
      </c>
      <c r="V329" s="11" t="e">
        <f t="shared" si="84"/>
        <v>#REF!</v>
      </c>
      <c r="W329" s="11" t="e">
        <f t="shared" si="84"/>
        <v>#REF!</v>
      </c>
      <c r="X329" s="11" t="e">
        <f t="shared" ref="X329:AM331" si="85">W329</f>
        <v>#REF!</v>
      </c>
      <c r="Y329" s="11" t="e">
        <f t="shared" si="85"/>
        <v>#REF!</v>
      </c>
      <c r="Z329" s="11" t="e">
        <f t="shared" si="85"/>
        <v>#REF!</v>
      </c>
      <c r="AA329" s="11" t="e">
        <f t="shared" si="85"/>
        <v>#REF!</v>
      </c>
      <c r="AB329" s="11" t="e">
        <f t="shared" si="85"/>
        <v>#REF!</v>
      </c>
      <c r="AC329" s="11" t="e">
        <f t="shared" si="85"/>
        <v>#REF!</v>
      </c>
      <c r="AD329" s="11" t="e">
        <f t="shared" si="85"/>
        <v>#REF!</v>
      </c>
      <c r="AE329" s="11" t="e">
        <f t="shared" si="85"/>
        <v>#REF!</v>
      </c>
      <c r="AF329" s="11" t="e">
        <f t="shared" si="85"/>
        <v>#REF!</v>
      </c>
      <c r="AG329" s="11" t="e">
        <f t="shared" si="85"/>
        <v>#REF!</v>
      </c>
      <c r="AH329" s="11" t="e">
        <f t="shared" si="85"/>
        <v>#REF!</v>
      </c>
      <c r="AI329" s="11" t="e">
        <f t="shared" si="85"/>
        <v>#REF!</v>
      </c>
      <c r="AJ329" s="11" t="e">
        <f t="shared" si="85"/>
        <v>#REF!</v>
      </c>
      <c r="AK329" s="11" t="e">
        <f t="shared" si="85"/>
        <v>#REF!</v>
      </c>
      <c r="AL329" s="11" t="e">
        <f t="shared" si="85"/>
        <v>#REF!</v>
      </c>
      <c r="AM329" s="11" t="e">
        <f t="shared" si="85"/>
        <v>#REF!</v>
      </c>
      <c r="AN329" s="11" t="e">
        <f t="shared" ref="AN329:BB331" si="86">AM329</f>
        <v>#REF!</v>
      </c>
      <c r="AO329" s="11" t="e">
        <f t="shared" si="86"/>
        <v>#REF!</v>
      </c>
      <c r="AP329" s="11" t="e">
        <f t="shared" si="86"/>
        <v>#REF!</v>
      </c>
      <c r="AQ329" s="11" t="e">
        <f t="shared" si="86"/>
        <v>#REF!</v>
      </c>
      <c r="AR329" s="11" t="e">
        <f t="shared" si="86"/>
        <v>#REF!</v>
      </c>
      <c r="AS329" s="11" t="e">
        <f t="shared" si="86"/>
        <v>#REF!</v>
      </c>
      <c r="AT329" s="11" t="e">
        <f t="shared" si="86"/>
        <v>#REF!</v>
      </c>
      <c r="AU329" s="11" t="e">
        <f t="shared" si="86"/>
        <v>#REF!</v>
      </c>
      <c r="AV329" s="11" t="e">
        <f t="shared" si="86"/>
        <v>#REF!</v>
      </c>
      <c r="AW329" s="11" t="e">
        <f t="shared" si="86"/>
        <v>#REF!</v>
      </c>
      <c r="AX329" s="11" t="e">
        <f t="shared" si="86"/>
        <v>#REF!</v>
      </c>
      <c r="AY329" s="11" t="e">
        <f t="shared" si="86"/>
        <v>#REF!</v>
      </c>
      <c r="AZ329" s="11" t="e">
        <f t="shared" si="86"/>
        <v>#REF!</v>
      </c>
      <c r="BA329" s="11" t="e">
        <f t="shared" si="86"/>
        <v>#REF!</v>
      </c>
      <c r="BB329" s="11" t="e">
        <f t="shared" si="86"/>
        <v>#REF!</v>
      </c>
    </row>
    <row r="330" spans="1:55" ht="15" customHeight="1" x14ac:dyDescent="0.3">
      <c r="C330" s="9" t="s">
        <v>360</v>
      </c>
      <c r="E330" s="382"/>
      <c r="F330" s="382"/>
      <c r="G330" s="11" t="e">
        <f>#REF!</f>
        <v>#REF!</v>
      </c>
      <c r="H330" s="11" t="e">
        <f t="shared" ref="H330:V331" si="87">G330</f>
        <v>#REF!</v>
      </c>
      <c r="I330" s="11" t="e">
        <f t="shared" si="87"/>
        <v>#REF!</v>
      </c>
      <c r="J330" s="11" t="e">
        <f t="shared" si="87"/>
        <v>#REF!</v>
      </c>
      <c r="K330" s="11" t="e">
        <f t="shared" si="87"/>
        <v>#REF!</v>
      </c>
      <c r="L330" s="11" t="e">
        <f t="shared" si="87"/>
        <v>#REF!</v>
      </c>
      <c r="M330" s="11" t="e">
        <f t="shared" si="87"/>
        <v>#REF!</v>
      </c>
      <c r="N330" s="11" t="e">
        <f t="shared" si="87"/>
        <v>#REF!</v>
      </c>
      <c r="O330" s="11" t="e">
        <f t="shared" si="87"/>
        <v>#REF!</v>
      </c>
      <c r="P330" s="11" t="e">
        <f t="shared" si="87"/>
        <v>#REF!</v>
      </c>
      <c r="Q330" s="11" t="e">
        <f t="shared" si="87"/>
        <v>#REF!</v>
      </c>
      <c r="R330" s="11" t="e">
        <f t="shared" si="87"/>
        <v>#REF!</v>
      </c>
      <c r="S330" s="11" t="e">
        <f t="shared" si="87"/>
        <v>#REF!</v>
      </c>
      <c r="T330" s="11" t="e">
        <f t="shared" si="87"/>
        <v>#REF!</v>
      </c>
      <c r="U330" s="11" t="e">
        <f t="shared" si="87"/>
        <v>#REF!</v>
      </c>
      <c r="V330" s="11" t="e">
        <f t="shared" si="87"/>
        <v>#REF!</v>
      </c>
      <c r="W330" s="11" t="e">
        <f t="shared" si="84"/>
        <v>#REF!</v>
      </c>
      <c r="X330" s="11" t="e">
        <f t="shared" si="85"/>
        <v>#REF!</v>
      </c>
      <c r="Y330" s="11" t="e">
        <f t="shared" si="85"/>
        <v>#REF!</v>
      </c>
      <c r="Z330" s="11" t="e">
        <f t="shared" si="85"/>
        <v>#REF!</v>
      </c>
      <c r="AA330" s="11" t="e">
        <f t="shared" si="85"/>
        <v>#REF!</v>
      </c>
      <c r="AB330" s="11" t="e">
        <f t="shared" si="85"/>
        <v>#REF!</v>
      </c>
      <c r="AC330" s="11" t="e">
        <f t="shared" si="85"/>
        <v>#REF!</v>
      </c>
      <c r="AD330" s="11" t="e">
        <f t="shared" si="85"/>
        <v>#REF!</v>
      </c>
      <c r="AE330" s="11" t="e">
        <f t="shared" si="85"/>
        <v>#REF!</v>
      </c>
      <c r="AF330" s="11" t="e">
        <f t="shared" si="85"/>
        <v>#REF!</v>
      </c>
      <c r="AG330" s="11" t="e">
        <f t="shared" si="85"/>
        <v>#REF!</v>
      </c>
      <c r="AH330" s="11" t="e">
        <f t="shared" si="85"/>
        <v>#REF!</v>
      </c>
      <c r="AI330" s="11" t="e">
        <f t="shared" si="85"/>
        <v>#REF!</v>
      </c>
      <c r="AJ330" s="11" t="e">
        <f t="shared" si="85"/>
        <v>#REF!</v>
      </c>
      <c r="AK330" s="11" t="e">
        <f t="shared" si="85"/>
        <v>#REF!</v>
      </c>
      <c r="AL330" s="11" t="e">
        <f t="shared" si="85"/>
        <v>#REF!</v>
      </c>
      <c r="AM330" s="11" t="e">
        <f t="shared" si="85"/>
        <v>#REF!</v>
      </c>
      <c r="AN330" s="11" t="e">
        <f t="shared" si="86"/>
        <v>#REF!</v>
      </c>
      <c r="AO330" s="11" t="e">
        <f t="shared" si="86"/>
        <v>#REF!</v>
      </c>
      <c r="AP330" s="11" t="e">
        <f t="shared" si="86"/>
        <v>#REF!</v>
      </c>
      <c r="AQ330" s="11" t="e">
        <f t="shared" si="86"/>
        <v>#REF!</v>
      </c>
      <c r="AR330" s="11" t="e">
        <f t="shared" si="86"/>
        <v>#REF!</v>
      </c>
      <c r="AS330" s="11" t="e">
        <f t="shared" si="86"/>
        <v>#REF!</v>
      </c>
      <c r="AT330" s="11" t="e">
        <f t="shared" si="86"/>
        <v>#REF!</v>
      </c>
      <c r="AU330" s="11" t="e">
        <f t="shared" si="86"/>
        <v>#REF!</v>
      </c>
      <c r="AV330" s="11" t="e">
        <f t="shared" si="86"/>
        <v>#REF!</v>
      </c>
      <c r="AW330" s="11" t="e">
        <f t="shared" si="86"/>
        <v>#REF!</v>
      </c>
      <c r="AX330" s="11" t="e">
        <f t="shared" si="86"/>
        <v>#REF!</v>
      </c>
      <c r="AY330" s="11" t="e">
        <f t="shared" si="86"/>
        <v>#REF!</v>
      </c>
      <c r="AZ330" s="11" t="e">
        <f t="shared" si="86"/>
        <v>#REF!</v>
      </c>
      <c r="BA330" s="11" t="e">
        <f t="shared" si="86"/>
        <v>#REF!</v>
      </c>
      <c r="BB330" s="11" t="e">
        <f t="shared" si="86"/>
        <v>#REF!</v>
      </c>
    </row>
    <row r="331" spans="1:55" ht="15" customHeight="1" x14ac:dyDescent="0.3">
      <c r="C331" s="9" t="s">
        <v>361</v>
      </c>
      <c r="E331" s="382"/>
      <c r="F331" s="382"/>
      <c r="G331" s="11" t="e">
        <f>#REF!</f>
        <v>#REF!</v>
      </c>
      <c r="H331" s="11" t="e">
        <f t="shared" si="87"/>
        <v>#REF!</v>
      </c>
      <c r="I331" s="11" t="e">
        <f t="shared" si="87"/>
        <v>#REF!</v>
      </c>
      <c r="J331" s="11" t="e">
        <f t="shared" si="87"/>
        <v>#REF!</v>
      </c>
      <c r="K331" s="11" t="e">
        <f t="shared" si="87"/>
        <v>#REF!</v>
      </c>
      <c r="L331" s="11" t="e">
        <f t="shared" si="87"/>
        <v>#REF!</v>
      </c>
      <c r="M331" s="11" t="e">
        <f t="shared" si="87"/>
        <v>#REF!</v>
      </c>
      <c r="N331" s="11" t="e">
        <f t="shared" si="87"/>
        <v>#REF!</v>
      </c>
      <c r="O331" s="11" t="e">
        <f t="shared" si="87"/>
        <v>#REF!</v>
      </c>
      <c r="P331" s="11" t="e">
        <f t="shared" si="87"/>
        <v>#REF!</v>
      </c>
      <c r="Q331" s="11" t="e">
        <f t="shared" si="87"/>
        <v>#REF!</v>
      </c>
      <c r="R331" s="11" t="e">
        <f t="shared" si="87"/>
        <v>#REF!</v>
      </c>
      <c r="S331" s="11" t="e">
        <f t="shared" si="87"/>
        <v>#REF!</v>
      </c>
      <c r="T331" s="11" t="e">
        <f t="shared" si="87"/>
        <v>#REF!</v>
      </c>
      <c r="U331" s="11" t="e">
        <f t="shared" si="87"/>
        <v>#REF!</v>
      </c>
      <c r="V331" s="11" t="e">
        <f t="shared" si="87"/>
        <v>#REF!</v>
      </c>
      <c r="W331" s="11" t="e">
        <f t="shared" si="84"/>
        <v>#REF!</v>
      </c>
      <c r="X331" s="11" t="e">
        <f t="shared" si="85"/>
        <v>#REF!</v>
      </c>
      <c r="Y331" s="11" t="e">
        <f t="shared" si="85"/>
        <v>#REF!</v>
      </c>
      <c r="Z331" s="11" t="e">
        <f t="shared" si="85"/>
        <v>#REF!</v>
      </c>
      <c r="AA331" s="11" t="e">
        <f t="shared" si="85"/>
        <v>#REF!</v>
      </c>
      <c r="AB331" s="11" t="e">
        <f t="shared" si="85"/>
        <v>#REF!</v>
      </c>
      <c r="AC331" s="11" t="e">
        <f t="shared" si="85"/>
        <v>#REF!</v>
      </c>
      <c r="AD331" s="11" t="e">
        <f t="shared" si="85"/>
        <v>#REF!</v>
      </c>
      <c r="AE331" s="11" t="e">
        <f t="shared" si="85"/>
        <v>#REF!</v>
      </c>
      <c r="AF331" s="11" t="e">
        <f t="shared" si="85"/>
        <v>#REF!</v>
      </c>
      <c r="AG331" s="11" t="e">
        <f t="shared" si="85"/>
        <v>#REF!</v>
      </c>
      <c r="AH331" s="11" t="e">
        <f t="shared" si="85"/>
        <v>#REF!</v>
      </c>
      <c r="AI331" s="11" t="e">
        <f t="shared" si="85"/>
        <v>#REF!</v>
      </c>
      <c r="AJ331" s="11" t="e">
        <f t="shared" si="85"/>
        <v>#REF!</v>
      </c>
      <c r="AK331" s="11" t="e">
        <f t="shared" si="85"/>
        <v>#REF!</v>
      </c>
      <c r="AL331" s="11" t="e">
        <f t="shared" si="85"/>
        <v>#REF!</v>
      </c>
      <c r="AM331" s="11" t="e">
        <f t="shared" si="85"/>
        <v>#REF!</v>
      </c>
      <c r="AN331" s="11" t="e">
        <f t="shared" si="86"/>
        <v>#REF!</v>
      </c>
      <c r="AO331" s="11" t="e">
        <f t="shared" si="86"/>
        <v>#REF!</v>
      </c>
      <c r="AP331" s="11" t="e">
        <f t="shared" si="86"/>
        <v>#REF!</v>
      </c>
      <c r="AQ331" s="11" t="e">
        <f t="shared" si="86"/>
        <v>#REF!</v>
      </c>
      <c r="AR331" s="11" t="e">
        <f t="shared" si="86"/>
        <v>#REF!</v>
      </c>
      <c r="AS331" s="11" t="e">
        <f t="shared" si="86"/>
        <v>#REF!</v>
      </c>
      <c r="AT331" s="11" t="e">
        <f t="shared" si="86"/>
        <v>#REF!</v>
      </c>
      <c r="AU331" s="11" t="e">
        <f t="shared" si="86"/>
        <v>#REF!</v>
      </c>
      <c r="AV331" s="11" t="e">
        <f t="shared" si="86"/>
        <v>#REF!</v>
      </c>
      <c r="AW331" s="11" t="e">
        <f t="shared" si="86"/>
        <v>#REF!</v>
      </c>
      <c r="AX331" s="11" t="e">
        <f t="shared" si="86"/>
        <v>#REF!</v>
      </c>
      <c r="AY331" s="11" t="e">
        <f t="shared" si="86"/>
        <v>#REF!</v>
      </c>
      <c r="AZ331" s="11" t="e">
        <f t="shared" si="86"/>
        <v>#REF!</v>
      </c>
      <c r="BA331" s="11" t="e">
        <f t="shared" si="86"/>
        <v>#REF!</v>
      </c>
      <c r="BB331" s="11" t="e">
        <f t="shared" si="86"/>
        <v>#REF!</v>
      </c>
    </row>
    <row r="333" spans="1:55" ht="14.4" customHeight="1" x14ac:dyDescent="0.3">
      <c r="A333" s="16" t="s">
        <v>364</v>
      </c>
      <c r="B333" s="16"/>
      <c r="C333" s="31" t="s">
        <v>365</v>
      </c>
      <c r="D333" s="351"/>
      <c r="E333" s="351"/>
      <c r="F333" s="35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c r="AV333" s="21"/>
      <c r="AW333" s="21"/>
      <c r="AX333" s="21"/>
      <c r="AY333" s="21"/>
      <c r="AZ333" s="21"/>
      <c r="BA333" s="21"/>
      <c r="BB333" s="21"/>
      <c r="BC333" s="21"/>
    </row>
    <row r="334" spans="1:55" ht="15" customHeight="1" x14ac:dyDescent="0.3">
      <c r="C334" s="9" t="s">
        <v>366</v>
      </c>
      <c r="E334" s="382" t="s">
        <v>367</v>
      </c>
      <c r="F334" s="382" t="s">
        <v>368</v>
      </c>
      <c r="G334" s="9">
        <v>11</v>
      </c>
      <c r="H334" s="9">
        <v>11</v>
      </c>
      <c r="I334" s="9">
        <v>11</v>
      </c>
      <c r="J334" s="9">
        <v>11</v>
      </c>
      <c r="K334" s="9">
        <v>11</v>
      </c>
      <c r="L334" s="9">
        <v>11</v>
      </c>
      <c r="M334" s="9">
        <v>11</v>
      </c>
      <c r="N334" s="9">
        <v>11</v>
      </c>
      <c r="O334" s="9">
        <v>11</v>
      </c>
      <c r="P334" s="9">
        <v>11</v>
      </c>
      <c r="Q334" s="9">
        <v>11</v>
      </c>
      <c r="R334" s="9">
        <v>11</v>
      </c>
      <c r="S334" s="9">
        <v>11</v>
      </c>
      <c r="T334" s="9">
        <v>11</v>
      </c>
      <c r="U334" s="9">
        <v>11</v>
      </c>
      <c r="V334" s="9">
        <v>11</v>
      </c>
      <c r="W334" s="9">
        <v>11</v>
      </c>
      <c r="X334" s="9">
        <v>11</v>
      </c>
      <c r="Y334" s="9">
        <v>11</v>
      </c>
      <c r="Z334" s="9">
        <v>11</v>
      </c>
      <c r="AA334" s="9">
        <v>11</v>
      </c>
      <c r="AB334" s="9">
        <v>11</v>
      </c>
      <c r="AC334" s="9">
        <v>11</v>
      </c>
      <c r="AD334" s="9">
        <v>11</v>
      </c>
      <c r="AE334" s="9">
        <v>11</v>
      </c>
      <c r="AF334" s="9">
        <v>11</v>
      </c>
      <c r="AG334" s="9">
        <v>11</v>
      </c>
      <c r="AH334" s="9">
        <v>11</v>
      </c>
      <c r="AI334" s="9">
        <v>11</v>
      </c>
      <c r="AJ334" s="9">
        <v>11</v>
      </c>
      <c r="AK334" s="9">
        <v>11</v>
      </c>
      <c r="AL334" s="9">
        <v>11</v>
      </c>
      <c r="AM334" s="9">
        <v>11</v>
      </c>
      <c r="AN334" s="9">
        <v>11</v>
      </c>
      <c r="AO334" s="9">
        <v>11</v>
      </c>
      <c r="AP334" s="9">
        <v>11</v>
      </c>
      <c r="AQ334" s="9">
        <v>11</v>
      </c>
      <c r="AR334" s="9">
        <v>11</v>
      </c>
      <c r="AS334" s="9">
        <v>11</v>
      </c>
      <c r="AT334" s="9">
        <v>11</v>
      </c>
      <c r="AU334" s="9">
        <v>11</v>
      </c>
      <c r="AV334" s="9">
        <v>11</v>
      </c>
      <c r="AW334" s="9">
        <v>11</v>
      </c>
      <c r="AX334" s="9">
        <v>11</v>
      </c>
      <c r="AY334" s="9">
        <v>11</v>
      </c>
      <c r="AZ334" s="9">
        <v>11</v>
      </c>
      <c r="BA334" s="9">
        <v>11</v>
      </c>
      <c r="BB334" s="9">
        <v>11</v>
      </c>
    </row>
    <row r="335" spans="1:55" ht="15" customHeight="1" x14ac:dyDescent="0.3">
      <c r="C335" s="9" t="s">
        <v>369</v>
      </c>
      <c r="E335" s="382"/>
      <c r="F335" s="382"/>
      <c r="G335" s="9">
        <v>5</v>
      </c>
      <c r="H335" s="9">
        <v>5</v>
      </c>
      <c r="I335" s="9">
        <v>5</v>
      </c>
      <c r="J335" s="9">
        <v>5</v>
      </c>
      <c r="K335" s="9">
        <v>5</v>
      </c>
      <c r="L335" s="9">
        <v>5</v>
      </c>
      <c r="M335" s="9">
        <v>5</v>
      </c>
      <c r="N335" s="9">
        <v>5</v>
      </c>
      <c r="O335" s="9">
        <v>5</v>
      </c>
      <c r="P335" s="9">
        <v>5</v>
      </c>
      <c r="Q335" s="9">
        <v>5</v>
      </c>
      <c r="R335" s="9">
        <v>5</v>
      </c>
      <c r="S335" s="9">
        <v>5</v>
      </c>
      <c r="T335" s="9">
        <v>5</v>
      </c>
      <c r="U335" s="9">
        <v>5</v>
      </c>
      <c r="V335" s="9">
        <v>5</v>
      </c>
      <c r="W335" s="9">
        <v>5</v>
      </c>
      <c r="X335" s="9">
        <v>5</v>
      </c>
      <c r="Y335" s="9">
        <v>5</v>
      </c>
      <c r="Z335" s="9">
        <v>5</v>
      </c>
      <c r="AA335" s="9">
        <v>5</v>
      </c>
      <c r="AB335" s="9">
        <v>5</v>
      </c>
      <c r="AC335" s="9">
        <v>5</v>
      </c>
      <c r="AD335" s="9">
        <v>5</v>
      </c>
      <c r="AE335" s="9">
        <v>5</v>
      </c>
      <c r="AF335" s="9">
        <v>5</v>
      </c>
      <c r="AG335" s="9">
        <v>5</v>
      </c>
      <c r="AH335" s="9">
        <v>5</v>
      </c>
      <c r="AI335" s="9">
        <v>5</v>
      </c>
      <c r="AJ335" s="9">
        <v>5</v>
      </c>
      <c r="AK335" s="9">
        <v>5</v>
      </c>
      <c r="AL335" s="9">
        <v>5</v>
      </c>
      <c r="AM335" s="9">
        <v>5</v>
      </c>
      <c r="AN335" s="9">
        <v>5</v>
      </c>
      <c r="AO335" s="9">
        <v>5</v>
      </c>
      <c r="AP335" s="9">
        <v>5</v>
      </c>
      <c r="AQ335" s="9">
        <v>5</v>
      </c>
      <c r="AR335" s="9">
        <v>5</v>
      </c>
      <c r="AS335" s="9">
        <v>5</v>
      </c>
      <c r="AT335" s="9">
        <v>5</v>
      </c>
      <c r="AU335" s="9">
        <v>5</v>
      </c>
      <c r="AV335" s="9">
        <v>5</v>
      </c>
      <c r="AW335" s="9">
        <v>5</v>
      </c>
      <c r="AX335" s="9">
        <v>5</v>
      </c>
      <c r="AY335" s="9">
        <v>5</v>
      </c>
      <c r="AZ335" s="9">
        <v>5</v>
      </c>
      <c r="BA335" s="9">
        <v>5</v>
      </c>
      <c r="BB335" s="9">
        <v>5</v>
      </c>
    </row>
    <row r="336" spans="1:55" ht="15" customHeight="1" x14ac:dyDescent="0.3">
      <c r="C336" s="9" t="s">
        <v>370</v>
      </c>
      <c r="E336" s="382"/>
      <c r="F336" s="382"/>
      <c r="G336" s="9">
        <v>694.21710000000007</v>
      </c>
      <c r="H336" s="9">
        <v>694.21710000000007</v>
      </c>
      <c r="I336" s="9">
        <v>694.21710000000007</v>
      </c>
      <c r="J336" s="9">
        <v>694.21710000000007</v>
      </c>
      <c r="K336" s="9">
        <v>694.21710000000007</v>
      </c>
      <c r="L336" s="9">
        <v>694.21710000000007</v>
      </c>
      <c r="M336" s="9">
        <v>694.21710000000007</v>
      </c>
      <c r="N336" s="9">
        <v>694.21710000000007</v>
      </c>
      <c r="O336" s="9">
        <v>694.21710000000007</v>
      </c>
      <c r="P336" s="9">
        <v>694.21710000000007</v>
      </c>
      <c r="Q336" s="9">
        <v>694.21710000000007</v>
      </c>
      <c r="R336" s="9">
        <v>694.21710000000007</v>
      </c>
      <c r="S336" s="9">
        <v>694.21710000000007</v>
      </c>
      <c r="T336" s="9">
        <v>694.21710000000007</v>
      </c>
      <c r="U336" s="9">
        <v>694.21710000000007</v>
      </c>
      <c r="V336" s="9">
        <v>694.21710000000007</v>
      </c>
      <c r="W336" s="9">
        <v>694.21710000000007</v>
      </c>
      <c r="X336" s="9">
        <v>694.21710000000007</v>
      </c>
      <c r="Y336" s="9">
        <v>694.21710000000007</v>
      </c>
      <c r="Z336" s="9">
        <v>694.21710000000007</v>
      </c>
      <c r="AA336" s="9">
        <v>694.21710000000007</v>
      </c>
      <c r="AB336" s="9">
        <v>694.21710000000007</v>
      </c>
      <c r="AC336" s="9">
        <v>694.21710000000007</v>
      </c>
      <c r="AD336" s="9">
        <v>694.21710000000007</v>
      </c>
      <c r="AE336" s="9">
        <v>694.21710000000007</v>
      </c>
      <c r="AF336" s="9">
        <v>694.21710000000007</v>
      </c>
      <c r="AG336" s="9">
        <v>694.21710000000007</v>
      </c>
      <c r="AH336" s="9">
        <v>694.21710000000007</v>
      </c>
      <c r="AI336" s="9">
        <v>694.21710000000007</v>
      </c>
      <c r="AJ336" s="9">
        <v>694.21710000000007</v>
      </c>
      <c r="AK336" s="9">
        <v>694.21710000000007</v>
      </c>
      <c r="AL336" s="9">
        <v>694.21710000000007</v>
      </c>
      <c r="AM336" s="9">
        <v>694.21710000000007</v>
      </c>
      <c r="AN336" s="9">
        <v>694.21710000000007</v>
      </c>
      <c r="AO336" s="9">
        <v>694.21710000000007</v>
      </c>
      <c r="AP336" s="9">
        <v>694.21710000000007</v>
      </c>
      <c r="AQ336" s="9">
        <v>694.21710000000007</v>
      </c>
      <c r="AR336" s="9">
        <v>694.21710000000007</v>
      </c>
      <c r="AS336" s="9">
        <v>694.21710000000007</v>
      </c>
      <c r="AT336" s="9">
        <v>694.21710000000007</v>
      </c>
      <c r="AU336" s="9">
        <v>694.21710000000007</v>
      </c>
      <c r="AV336" s="9">
        <v>694.21710000000007</v>
      </c>
      <c r="AW336" s="9">
        <v>694.21710000000007</v>
      </c>
      <c r="AX336" s="9">
        <v>694.21710000000007</v>
      </c>
      <c r="AY336" s="9">
        <v>694.21710000000007</v>
      </c>
      <c r="AZ336" s="9">
        <v>694.21710000000007</v>
      </c>
      <c r="BA336" s="9">
        <v>694.21710000000007</v>
      </c>
      <c r="BB336" s="9">
        <v>694.21710000000007</v>
      </c>
    </row>
    <row r="337" spans="1:55" ht="14.4" customHeight="1" x14ac:dyDescent="0.3">
      <c r="A337" s="16" t="s">
        <v>364</v>
      </c>
      <c r="B337" s="16"/>
      <c r="C337" s="31" t="s">
        <v>371</v>
      </c>
      <c r="D337" s="351"/>
      <c r="E337" s="351"/>
      <c r="F337" s="35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c r="AV337" s="21"/>
      <c r="AW337" s="21"/>
      <c r="AX337" s="21"/>
      <c r="AY337" s="21"/>
      <c r="AZ337" s="21"/>
      <c r="BA337" s="21"/>
      <c r="BB337" s="21"/>
      <c r="BC337" s="21"/>
    </row>
    <row r="338" spans="1:55" ht="15" customHeight="1" x14ac:dyDescent="0.3">
      <c r="C338" s="9" t="s">
        <v>372</v>
      </c>
      <c r="F338" s="38" t="s">
        <v>373</v>
      </c>
      <c r="G338" s="9">
        <v>5.8192311886797496E-4</v>
      </c>
      <c r="H338" s="9">
        <v>5.7453363735861338E-4</v>
      </c>
      <c r="I338" s="9">
        <v>5.6739684767377608E-4</v>
      </c>
      <c r="J338" s="9">
        <v>5.6050863701840106E-4</v>
      </c>
      <c r="K338" s="9">
        <v>5.5385989963794657E-4</v>
      </c>
      <c r="L338" s="9">
        <v>5.4744417539661369E-4</v>
      </c>
      <c r="M338" s="9">
        <v>5.4125166093523598E-4</v>
      </c>
      <c r="N338" s="9">
        <v>5.352790022272061E-4</v>
      </c>
      <c r="O338" s="9">
        <v>5.2951939889868665E-4</v>
      </c>
      <c r="P338" s="9">
        <v>5.2396728420072629E-4</v>
      </c>
      <c r="Q338" s="9">
        <v>5.1861796534849697E-4</v>
      </c>
      <c r="R338" s="9">
        <v>5.1346474722999103E-4</v>
      </c>
      <c r="S338" s="9">
        <v>5.0850287382281964E-4</v>
      </c>
      <c r="T338" s="9">
        <v>5.0372634665004983E-4</v>
      </c>
      <c r="U338" s="9">
        <v>4.9913141228642678E-4</v>
      </c>
      <c r="V338" s="9">
        <v>4.9471215358370404E-4</v>
      </c>
      <c r="W338" s="9">
        <v>4.9046431855033772E-4</v>
      </c>
      <c r="X338" s="9">
        <v>4.8638304987928349E-4</v>
      </c>
      <c r="Y338" s="9">
        <v>4.8246237410131331E-4</v>
      </c>
      <c r="Z338" s="9">
        <v>4.7869750028206029E-4</v>
      </c>
      <c r="AA338" s="9">
        <v>4.750849050773204E-4</v>
      </c>
      <c r="AB338" s="9">
        <v>4.7161949880268221E-4</v>
      </c>
      <c r="AC338" s="9">
        <v>4.6829825804259903E-4</v>
      </c>
      <c r="AD338" s="9">
        <v>4.6511672217457476E-4</v>
      </c>
      <c r="AE338" s="9">
        <v>4.6206965769779364E-4</v>
      </c>
      <c r="AF338" s="9">
        <v>4.5915520282313919E-4</v>
      </c>
      <c r="AG338" s="9">
        <v>4.5636833817792682E-4</v>
      </c>
      <c r="AH338" s="9">
        <v>4.5370414437340497E-4</v>
      </c>
      <c r="AI338" s="9">
        <v>4.5116069112428962E-4</v>
      </c>
      <c r="AJ338" s="9">
        <v>4.4873614300956928E-4</v>
      </c>
      <c r="AK338" s="9">
        <v>4.4642875727181401E-4</v>
      </c>
      <c r="AL338" s="9">
        <v>4.442368817354135E-4</v>
      </c>
      <c r="AM338" s="9">
        <v>4.4215895284026985E-4</v>
      </c>
      <c r="AN338" s="9">
        <v>4.4019349378767938E-4</v>
      </c>
      <c r="AO338" s="9">
        <v>4.3833911279533134E-4</v>
      </c>
      <c r="AP338" s="9">
        <v>4.3659450145854456E-4</v>
      </c>
      <c r="AQ338" s="9">
        <v>4.3495843321504673E-4</v>
      </c>
      <c r="AR338" s="9">
        <v>4.3342976191077887E-4</v>
      </c>
      <c r="AS338" s="9">
        <v>4.3200742046438259E-4</v>
      </c>
      <c r="AT338" s="9">
        <v>4.3069041962819641E-4</v>
      </c>
      <c r="AU338" s="9">
        <v>4.2947784684374936E-4</v>
      </c>
      <c r="AV338" s="9">
        <v>4.2836886518990381E-4</v>
      </c>
      <c r="AW338" s="9">
        <v>4.2736271242195089E-4</v>
      </c>
      <c r="AX338" s="9">
        <v>4.2645870010011834E-4</v>
      </c>
      <c r="AY338" s="9">
        <v>4.2565621280609865E-4</v>
      </c>
      <c r="AZ338" s="9">
        <v>4.2495470744635119E-4</v>
      </c>
      <c r="BA338" s="9">
        <v>4.2435371264107656E-4</v>
      </c>
      <c r="BB338" s="9">
        <v>4.2385282819790393E-4</v>
      </c>
    </row>
  </sheetData>
  <mergeCells count="75">
    <mergeCell ref="E334:E336"/>
    <mergeCell ref="E257:E271"/>
    <mergeCell ref="E301:E303"/>
    <mergeCell ref="E319:E321"/>
    <mergeCell ref="E324:E326"/>
    <mergeCell ref="E329:E331"/>
    <mergeCell ref="E172:E186"/>
    <mergeCell ref="E189:E203"/>
    <mergeCell ref="E206:E220"/>
    <mergeCell ref="E223:E237"/>
    <mergeCell ref="E240:E254"/>
    <mergeCell ref="E156:E158"/>
    <mergeCell ref="E162:E163"/>
    <mergeCell ref="F166:F168"/>
    <mergeCell ref="F162:F163"/>
    <mergeCell ref="E166:E167"/>
    <mergeCell ref="E140:E141"/>
    <mergeCell ref="E143:E144"/>
    <mergeCell ref="E146:E147"/>
    <mergeCell ref="E149:E150"/>
    <mergeCell ref="E152:E153"/>
    <mergeCell ref="E3:E17"/>
    <mergeCell ref="E20:E34"/>
    <mergeCell ref="E37:E51"/>
    <mergeCell ref="E54:E68"/>
    <mergeCell ref="E70:E84"/>
    <mergeCell ref="F172:F186"/>
    <mergeCell ref="F189:F203"/>
    <mergeCell ref="F206:F220"/>
    <mergeCell ref="F223:F237"/>
    <mergeCell ref="F240:F254"/>
    <mergeCell ref="F257:F271"/>
    <mergeCell ref="F334:F336"/>
    <mergeCell ref="F301:F303"/>
    <mergeCell ref="F319:F321"/>
    <mergeCell ref="F324:F326"/>
    <mergeCell ref="F329:F331"/>
    <mergeCell ref="F104:F118"/>
    <mergeCell ref="F122:F137"/>
    <mergeCell ref="F87:F102"/>
    <mergeCell ref="B70:B84"/>
    <mergeCell ref="D70:D84"/>
    <mergeCell ref="E87:E102"/>
    <mergeCell ref="E104:E118"/>
    <mergeCell ref="E122:E136"/>
    <mergeCell ref="F146:F147"/>
    <mergeCell ref="F149:F150"/>
    <mergeCell ref="F152:F153"/>
    <mergeCell ref="B149:B150"/>
    <mergeCell ref="D149:D150"/>
    <mergeCell ref="B152:B153"/>
    <mergeCell ref="D152:D153"/>
    <mergeCell ref="B146:B147"/>
    <mergeCell ref="D146:D147"/>
    <mergeCell ref="A155:A159"/>
    <mergeCell ref="B155:B160"/>
    <mergeCell ref="B3:B17"/>
    <mergeCell ref="D3:D17"/>
    <mergeCell ref="B20:B34"/>
    <mergeCell ref="D20:D34"/>
    <mergeCell ref="B37:B51"/>
    <mergeCell ref="D37:D51"/>
    <mergeCell ref="B87:B101"/>
    <mergeCell ref="A87:A88"/>
    <mergeCell ref="B54:B68"/>
    <mergeCell ref="D54:D68"/>
    <mergeCell ref="A104:A105"/>
    <mergeCell ref="B104:B118"/>
    <mergeCell ref="A122:A123"/>
    <mergeCell ref="B122:B136"/>
    <mergeCell ref="F3:F17"/>
    <mergeCell ref="F20:F34"/>
    <mergeCell ref="F37:F51"/>
    <mergeCell ref="F54:F68"/>
    <mergeCell ref="F70:F84"/>
  </mergeCells>
  <conditionalFormatting sqref="C70:D84 F70:F84 BD144 G137:BB145 G122:BC136 G54:BB68 G20:BB34 G148:BB148 G299:BB299 G333:BB333 G337:BB337 G87:BB121 G70:BB85 G151:BB170">
    <cfRule type="cellIs" dxfId="8" priority="11" operator="lessThan">
      <formula>0</formula>
    </cfRule>
  </conditionalFormatting>
  <conditionalFormatting sqref="G37:BB51">
    <cfRule type="cellIs" dxfId="7" priority="25" operator="lessThan">
      <formula>0</formula>
    </cfRule>
  </conditionalFormatting>
  <pageMargins left="0.7" right="0.7" top="0.75" bottom="0.75" header="0.3" footer="0.3"/>
  <pageSetup orientation="portrait" r:id="rId1"/>
  <ignoredErrors>
    <ignoredError sqref="H10:I10" formula="1"/>
  </ignoredError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B00CB-B9C8-4E10-B29E-727D7ECFABFA}">
  <sheetPr>
    <tabColor theme="8" tint="0.79998168889431442"/>
  </sheetPr>
  <dimension ref="A1:CY467"/>
  <sheetViews>
    <sheetView topLeftCell="A288" zoomScale="60" zoomScaleNormal="60" workbookViewId="0">
      <selection activeCell="A413" sqref="A413:XFD555"/>
    </sheetView>
  </sheetViews>
  <sheetFormatPr baseColWidth="10" defaultColWidth="11.44140625" defaultRowHeight="14.4" x14ac:dyDescent="0.3"/>
  <cols>
    <col min="2" max="2" width="34.6640625" customWidth="1"/>
    <col min="3" max="3" width="12.6640625" customWidth="1"/>
    <col min="4" max="4" width="13" customWidth="1"/>
    <col min="5" max="7" width="15.5546875" customWidth="1"/>
    <col min="8" max="8" width="12.44140625" customWidth="1"/>
    <col min="9" max="10" width="15.5546875" customWidth="1"/>
    <col min="11" max="19" width="11.5546875" style="82"/>
    <col min="45" max="45" width="32" customWidth="1"/>
  </cols>
  <sheetData>
    <row r="1" spans="1:63" s="85" customFormat="1" ht="19.8" x14ac:dyDescent="0.4">
      <c r="B1" s="85" t="s">
        <v>374</v>
      </c>
      <c r="C1" s="275"/>
      <c r="D1" s="275"/>
      <c r="E1" s="275"/>
      <c r="F1" s="275"/>
      <c r="G1" s="275"/>
      <c r="H1" s="95"/>
      <c r="I1" s="95"/>
      <c r="J1" s="95"/>
      <c r="K1" s="86"/>
      <c r="L1" s="86"/>
      <c r="M1" s="86"/>
      <c r="N1" s="86"/>
      <c r="O1" s="86"/>
      <c r="P1" s="86"/>
      <c r="Q1" s="86"/>
      <c r="R1" s="86"/>
      <c r="S1" s="86"/>
    </row>
    <row r="2" spans="1:63" s="80" customFormat="1" ht="15.6" x14ac:dyDescent="0.3">
      <c r="C2" s="81">
        <v>2010</v>
      </c>
      <c r="D2" s="81">
        <v>2011</v>
      </c>
      <c r="E2" s="81">
        <v>2012</v>
      </c>
      <c r="F2" s="81">
        <v>2013</v>
      </c>
      <c r="G2" s="81">
        <v>2014</v>
      </c>
      <c r="H2" s="81">
        <v>2015</v>
      </c>
      <c r="I2" s="81">
        <v>2016</v>
      </c>
      <c r="J2" s="81">
        <v>2017</v>
      </c>
      <c r="K2" s="81">
        <v>2018</v>
      </c>
      <c r="L2" s="81">
        <v>2019</v>
      </c>
      <c r="M2" s="81">
        <v>2020</v>
      </c>
      <c r="N2" s="81">
        <v>2021</v>
      </c>
      <c r="O2" s="81">
        <v>2022</v>
      </c>
      <c r="P2" s="81">
        <v>2023</v>
      </c>
      <c r="Q2" s="81">
        <v>2024</v>
      </c>
      <c r="R2" s="81">
        <v>2025</v>
      </c>
      <c r="S2" s="81">
        <v>2026</v>
      </c>
      <c r="T2" s="80">
        <v>2027</v>
      </c>
      <c r="U2" s="80">
        <v>2028</v>
      </c>
      <c r="V2" s="80">
        <v>2029</v>
      </c>
      <c r="W2" s="80">
        <v>2030</v>
      </c>
      <c r="X2" s="80">
        <v>2031</v>
      </c>
      <c r="Y2" s="80">
        <v>2032</v>
      </c>
      <c r="Z2" s="80">
        <v>2033</v>
      </c>
      <c r="AA2" s="80">
        <v>2034</v>
      </c>
      <c r="AB2" s="80">
        <v>2035</v>
      </c>
      <c r="AC2" s="80">
        <v>2036</v>
      </c>
      <c r="AD2" s="80">
        <v>2037</v>
      </c>
      <c r="AE2" s="80">
        <v>2038</v>
      </c>
      <c r="AF2" s="80">
        <v>2039</v>
      </c>
      <c r="AG2" s="80">
        <v>2040</v>
      </c>
      <c r="AH2" s="80">
        <v>2041</v>
      </c>
      <c r="AI2" s="80">
        <v>2042</v>
      </c>
      <c r="AJ2" s="80">
        <v>2043</v>
      </c>
      <c r="AK2" s="80">
        <v>2044</v>
      </c>
      <c r="AL2" s="80">
        <v>2045</v>
      </c>
      <c r="AM2" s="80">
        <v>2046</v>
      </c>
      <c r="AN2" s="80">
        <v>2047</v>
      </c>
      <c r="AO2" s="80">
        <v>2048</v>
      </c>
      <c r="AP2" s="80">
        <v>2049</v>
      </c>
      <c r="AQ2" s="80">
        <v>2050</v>
      </c>
      <c r="AR2" s="80">
        <v>2051</v>
      </c>
      <c r="AS2" s="80">
        <v>2052</v>
      </c>
      <c r="AT2" s="80">
        <v>2053</v>
      </c>
      <c r="AU2" s="80">
        <v>2054</v>
      </c>
      <c r="AV2" s="80">
        <v>2055</v>
      </c>
      <c r="AW2" s="80">
        <v>2056</v>
      </c>
      <c r="AX2" s="80">
        <v>2057</v>
      </c>
      <c r="AY2" s="80">
        <v>2058</v>
      </c>
      <c r="AZ2" s="80">
        <v>2059</v>
      </c>
      <c r="BA2" s="80">
        <v>2060</v>
      </c>
      <c r="BB2" s="80">
        <v>2061</v>
      </c>
      <c r="BC2" s="80">
        <v>2062</v>
      </c>
      <c r="BD2" s="80">
        <v>2063</v>
      </c>
      <c r="BE2" s="80">
        <v>2064</v>
      </c>
      <c r="BF2" s="80">
        <v>2065</v>
      </c>
      <c r="BG2" s="80">
        <v>2066</v>
      </c>
      <c r="BH2" s="80">
        <v>2067</v>
      </c>
      <c r="BI2" s="80">
        <v>2068</v>
      </c>
      <c r="BJ2" s="80">
        <v>2069</v>
      </c>
      <c r="BK2" s="80">
        <v>2070</v>
      </c>
    </row>
    <row r="3" spans="1:63" x14ac:dyDescent="0.3">
      <c r="A3" s="386" t="s">
        <v>672</v>
      </c>
      <c r="B3" t="s">
        <v>375</v>
      </c>
      <c r="C3" s="82">
        <f>Tendencial!G116</f>
        <v>36.777975116741715</v>
      </c>
      <c r="D3" s="82">
        <f>Tendencial!H116</f>
        <v>38.691774364103281</v>
      </c>
      <c r="E3" s="82">
        <f>Tendencial!I116</f>
        <v>33.250087721793889</v>
      </c>
      <c r="F3" s="82">
        <f>Tendencial!J116</f>
        <v>31.779871513532424</v>
      </c>
      <c r="G3" s="82">
        <f>Tendencial!K116</f>
        <v>37.091561283393744</v>
      </c>
      <c r="H3" s="82">
        <f>Tendencial!L116</f>
        <v>38.786294605070921</v>
      </c>
      <c r="I3" s="82">
        <f>Tendencial!M116</f>
        <v>36.208188003571095</v>
      </c>
      <c r="J3" s="82">
        <f>Tendencial!N116</f>
        <v>39.745819546113111</v>
      </c>
      <c r="K3" s="82">
        <f>Tendencial!O116</f>
        <v>40.26187779655038</v>
      </c>
      <c r="L3" s="82">
        <f>Tendencial!P116</f>
        <v>35.907197827071073</v>
      </c>
      <c r="M3" s="82">
        <f>Tendencial!Q116</f>
        <v>40.743049243603316</v>
      </c>
      <c r="N3" s="82">
        <f>Tendencial!R116</f>
        <v>40.740567388853336</v>
      </c>
      <c r="O3" s="82">
        <f>Tendencial!S116</f>
        <v>36.281746884400519</v>
      </c>
      <c r="P3" s="82">
        <f>Tendencial!T116</f>
        <v>39.694399999999973</v>
      </c>
      <c r="Q3" s="82">
        <f>Tendencial!U116</f>
        <v>39.694399999999973</v>
      </c>
      <c r="R3" s="82">
        <f>Tendencial!V116</f>
        <v>39.694399999999973</v>
      </c>
      <c r="S3" s="82">
        <f>Tendencial!W116</f>
        <v>39.694399999999973</v>
      </c>
      <c r="T3" s="82">
        <f>Tendencial!X116</f>
        <v>39.694399999999973</v>
      </c>
      <c r="U3" s="82">
        <f>Tendencial!Y116</f>
        <v>39.694399999999973</v>
      </c>
      <c r="V3" s="82">
        <f>Tendencial!Z116</f>
        <v>39.694399999999973</v>
      </c>
      <c r="W3" s="82">
        <f>Tendencial!AA116</f>
        <v>39.694399999999973</v>
      </c>
      <c r="X3" s="82">
        <f>Tendencial!AB116</f>
        <v>39.694399999999973</v>
      </c>
      <c r="Y3" s="82">
        <f>Tendencial!AC116</f>
        <v>39.694399999999973</v>
      </c>
      <c r="Z3" s="82">
        <f>Tendencial!AD116</f>
        <v>39.694399999999973</v>
      </c>
      <c r="AA3" s="82">
        <f>Tendencial!AE116</f>
        <v>39.694399999999973</v>
      </c>
      <c r="AB3" s="82">
        <f>Tendencial!AF116</f>
        <v>39.694399999999973</v>
      </c>
      <c r="AC3" s="82">
        <f>Tendencial!AG116</f>
        <v>39.694399999999973</v>
      </c>
      <c r="AD3" s="82">
        <f>Tendencial!AH116</f>
        <v>39.694399999999973</v>
      </c>
      <c r="AE3" s="82">
        <f>Tendencial!AI116</f>
        <v>39.694399999999973</v>
      </c>
      <c r="AF3" s="82">
        <f>Tendencial!AJ116</f>
        <v>39.694399999999973</v>
      </c>
      <c r="AG3" s="82">
        <f>Tendencial!AK116</f>
        <v>39.694399999999973</v>
      </c>
      <c r="AH3" s="82">
        <f>Tendencial!AL116</f>
        <v>39.694399999999973</v>
      </c>
      <c r="AI3" s="82">
        <f>Tendencial!AM116</f>
        <v>39.694399999999973</v>
      </c>
      <c r="AJ3" s="82">
        <f>Tendencial!AN116</f>
        <v>39.694399999999973</v>
      </c>
      <c r="AK3" s="82">
        <f>Tendencial!AO116</f>
        <v>39.694399999999973</v>
      </c>
      <c r="AL3" s="82">
        <f>Tendencial!AP116</f>
        <v>39.694399999999973</v>
      </c>
      <c r="AM3" s="82">
        <f>Tendencial!AQ116</f>
        <v>39.694399999999973</v>
      </c>
      <c r="AN3" s="82">
        <f>Tendencial!AR116</f>
        <v>39.694399999999973</v>
      </c>
      <c r="AO3" s="82">
        <f>Tendencial!AS116</f>
        <v>39.694399999999973</v>
      </c>
      <c r="AP3" s="82">
        <f>Tendencial!AT116</f>
        <v>39.694399999999973</v>
      </c>
      <c r="AQ3" s="82">
        <f>Tendencial!AU116</f>
        <v>39.694399999999973</v>
      </c>
      <c r="AR3" s="82">
        <f>Tendencial!AV116</f>
        <v>39.694399999999973</v>
      </c>
      <c r="AS3" s="82">
        <f>Tendencial!AW116</f>
        <v>39.694399999999973</v>
      </c>
      <c r="AT3" s="82">
        <f>Tendencial!AX116</f>
        <v>39.694399999999973</v>
      </c>
      <c r="AU3" s="82">
        <f>Tendencial!AY116</f>
        <v>39.694399999999973</v>
      </c>
      <c r="AV3" s="82">
        <f>Tendencial!AZ116</f>
        <v>39.694399999999973</v>
      </c>
      <c r="AW3" s="82">
        <f>Tendencial!BA116</f>
        <v>39.694399999999973</v>
      </c>
      <c r="AX3" s="82">
        <f>Tendencial!BB116</f>
        <v>39.694399999999973</v>
      </c>
      <c r="AY3" s="82">
        <f>Tendencial!BC116</f>
        <v>39.694399999999973</v>
      </c>
      <c r="AZ3" s="82">
        <f>Tendencial!BD116</f>
        <v>39.694399999999973</v>
      </c>
      <c r="BA3" s="82">
        <f>Tendencial!BE116</f>
        <v>39.694399999999973</v>
      </c>
      <c r="BB3" s="82">
        <f>Tendencial!BF116</f>
        <v>39.694399999999973</v>
      </c>
      <c r="BC3" s="82">
        <f>Tendencial!BG116</f>
        <v>39.694399999999973</v>
      </c>
      <c r="BD3" s="82">
        <f>Tendencial!BH116</f>
        <v>39.694399999999973</v>
      </c>
      <c r="BE3" s="82">
        <f>Tendencial!BI116</f>
        <v>39.694399999999973</v>
      </c>
      <c r="BF3" s="82">
        <f>Tendencial!BJ116</f>
        <v>39.694399999999973</v>
      </c>
      <c r="BG3" s="82">
        <f>Tendencial!BK116</f>
        <v>39.694399999999973</v>
      </c>
      <c r="BH3" s="82">
        <f>Tendencial!BL116</f>
        <v>39.694399999999973</v>
      </c>
      <c r="BI3" s="82">
        <f>Tendencial!BM116</f>
        <v>39.694399999999973</v>
      </c>
      <c r="BJ3" s="82">
        <f>Tendencial!BN116</f>
        <v>39.694399999999973</v>
      </c>
      <c r="BK3" s="82">
        <f>Tendencial!BO116</f>
        <v>39.694399999999973</v>
      </c>
    </row>
    <row r="4" spans="1:63" x14ac:dyDescent="0.3">
      <c r="A4" s="386"/>
      <c r="B4" t="s">
        <v>376</v>
      </c>
      <c r="C4" s="82">
        <f>Tendencial!G117</f>
        <v>0.36691896396083606</v>
      </c>
      <c r="D4" s="82">
        <f>Tendencial!H117</f>
        <v>0.5611552393564424</v>
      </c>
      <c r="E4" s="82">
        <f>Tendencial!I117</f>
        <v>0.34169964323792335</v>
      </c>
      <c r="F4" s="82">
        <f>Tendencial!J117</f>
        <v>0.31917283330931284</v>
      </c>
      <c r="G4" s="82">
        <f>Tendencial!K117</f>
        <v>0.41921763002600387</v>
      </c>
      <c r="H4" s="82">
        <f>Tendencial!L117</f>
        <v>0.4170203705675154</v>
      </c>
      <c r="I4" s="82">
        <f>Tendencial!M117</f>
        <v>0.3908602399082457</v>
      </c>
      <c r="J4" s="82">
        <f>Tendencial!N117</f>
        <v>0.44070854027265705</v>
      </c>
      <c r="K4" s="82">
        <f>Tendencial!O117</f>
        <v>0.46853670684331106</v>
      </c>
      <c r="L4" s="82">
        <f>Tendencial!P117</f>
        <v>0.53989551514459444</v>
      </c>
      <c r="M4" s="82">
        <f>Tendencial!Q117</f>
        <v>0.62179741233002173</v>
      </c>
      <c r="N4" s="82">
        <f>Tendencial!R117</f>
        <v>0.55578266460858028</v>
      </c>
      <c r="O4" s="82">
        <f>Tendencial!S117</f>
        <v>0.66214372409628941</v>
      </c>
      <c r="P4" s="82">
        <f>Tendencial!T117</f>
        <v>0.70830000000000126</v>
      </c>
      <c r="Q4" s="82">
        <f>Tendencial!U117</f>
        <v>0.70977562500000135</v>
      </c>
      <c r="R4" s="82">
        <f>Tendencial!V117</f>
        <v>0.71125432421875145</v>
      </c>
      <c r="S4" s="82">
        <f>Tendencial!W117</f>
        <v>0.71273610406087395</v>
      </c>
      <c r="T4" s="82">
        <f>Tendencial!X117</f>
        <v>0.71422097094433423</v>
      </c>
      <c r="U4" s="82">
        <f>Tendencial!Y117</f>
        <v>0.71570893130046831</v>
      </c>
      <c r="V4" s="82">
        <f>Tendencial!Z117</f>
        <v>0.71719999157401104</v>
      </c>
      <c r="W4" s="82">
        <f>Tendencial!AA117</f>
        <v>0.71869415822312366</v>
      </c>
      <c r="X4" s="82">
        <f>Tendencial!AB117</f>
        <v>0.72019143771942196</v>
      </c>
      <c r="Y4" s="82">
        <f>Tendencial!AC117</f>
        <v>0.72169183654800417</v>
      </c>
      <c r="Z4" s="82">
        <f>Tendencial!AD117</f>
        <v>0.72319536120747929</v>
      </c>
      <c r="AA4" s="82">
        <f>Tendencial!AE117</f>
        <v>0.72470201820999491</v>
      </c>
      <c r="AB4" s="82">
        <f>Tendencial!AF117</f>
        <v>0.72621181408126578</v>
      </c>
      <c r="AC4" s="82">
        <f>Tendencial!AG117</f>
        <v>0.72772475536060188</v>
      </c>
      <c r="AD4" s="82">
        <f>Tendencial!AH117</f>
        <v>0.72924084860093652</v>
      </c>
      <c r="AE4" s="82">
        <f>Tendencial!AI117</f>
        <v>0.73076010036885519</v>
      </c>
      <c r="AF4" s="82">
        <f>Tendencial!AJ117</f>
        <v>0.73228251724462368</v>
      </c>
      <c r="AG4" s="82">
        <f>Tendencial!AK117</f>
        <v>0.73380810582221667</v>
      </c>
      <c r="AH4" s="82">
        <f>Tendencial!AL117</f>
        <v>0.73533687270934633</v>
      </c>
      <c r="AI4" s="82">
        <f>Tendencial!AM117</f>
        <v>0.73686882452749092</v>
      </c>
      <c r="AJ4" s="82">
        <f>Tendencial!AN117</f>
        <v>0.73840396791192331</v>
      </c>
      <c r="AK4" s="82">
        <f>Tendencial!AO117</f>
        <v>0.73994230951173989</v>
      </c>
      <c r="AL4" s="82">
        <f>Tendencial!AP117</f>
        <v>0.74148385598988942</v>
      </c>
      <c r="AM4" s="82">
        <f>Tendencial!AQ117</f>
        <v>0.74302861402320175</v>
      </c>
      <c r="AN4" s="82">
        <f>Tendencial!AR117</f>
        <v>0.74457659030241685</v>
      </c>
      <c r="AO4" s="82">
        <f>Tendencial!AS117</f>
        <v>0.74612779153221365</v>
      </c>
      <c r="AP4" s="82">
        <f>Tendencial!AT117</f>
        <v>0.74768222443123922</v>
      </c>
      <c r="AQ4" s="82">
        <f>Tendencial!AU117</f>
        <v>0.74923989573213767</v>
      </c>
      <c r="AR4" s="82">
        <f>Tendencial!AV117</f>
        <v>0.75080081218157968</v>
      </c>
      <c r="AS4" s="82">
        <f>Tendencial!AW117</f>
        <v>0.75236498054029133</v>
      </c>
      <c r="AT4" s="82">
        <f>Tendencial!AX117</f>
        <v>0.75393240758308366</v>
      </c>
      <c r="AU4" s="82">
        <f>Tendencial!AY117</f>
        <v>0.75550310009888189</v>
      </c>
      <c r="AV4" s="82">
        <f>Tendencial!AZ117</f>
        <v>0.75707706489075466</v>
      </c>
      <c r="AW4" s="82">
        <f>Tendencial!BA117</f>
        <v>0.75865430877594386</v>
      </c>
      <c r="AX4" s="82">
        <f>Tendencial!BB117</f>
        <v>0.7602348385858938</v>
      </c>
      <c r="AY4" s="82">
        <f>Tendencial!BC117</f>
        <v>0.76181866116628116</v>
      </c>
      <c r="AZ4" s="82">
        <f>Tendencial!BD117</f>
        <v>0.76340578337704434</v>
      </c>
      <c r="BA4" s="82">
        <f>Tendencial!BE117</f>
        <v>0.76499621209241331</v>
      </c>
      <c r="BB4" s="82">
        <f>Tendencial!BF117</f>
        <v>0.76658995420093923</v>
      </c>
      <c r="BC4" s="82">
        <f>Tendencial!BG117</f>
        <v>0.76818701660552458</v>
      </c>
      <c r="BD4" s="82">
        <f>Tendencial!BH117</f>
        <v>0.76978740622345287</v>
      </c>
      <c r="BE4" s="82">
        <f>Tendencial!BI117</f>
        <v>0.77139112998641846</v>
      </c>
      <c r="BF4" s="82">
        <f>Tendencial!BJ117</f>
        <v>0.77299819484055687</v>
      </c>
      <c r="BG4" s="82">
        <f>Tendencial!BK117</f>
        <v>0.77460860774647478</v>
      </c>
      <c r="BH4" s="82">
        <f>Tendencial!BL117</f>
        <v>0.77622237567927999</v>
      </c>
      <c r="BI4" s="82">
        <f>Tendencial!BM117</f>
        <v>0.77783950562861193</v>
      </c>
      <c r="BJ4" s="82">
        <f>Tendencial!BN117</f>
        <v>0.7794600045986716</v>
      </c>
      <c r="BK4" s="82">
        <f>Tendencial!BO117</f>
        <v>0.78108387960825221</v>
      </c>
    </row>
    <row r="5" spans="1:63" x14ac:dyDescent="0.3">
      <c r="A5" s="386"/>
      <c r="B5" t="s">
        <v>377</v>
      </c>
      <c r="C5" s="82">
        <f>Tendencial!G118</f>
        <v>0.21628913068977651</v>
      </c>
      <c r="D5" s="82">
        <f>Tendencial!H118</f>
        <v>0.24229513864174809</v>
      </c>
      <c r="E5" s="82">
        <f>Tendencial!I118</f>
        <v>9.3253716173294365E-2</v>
      </c>
      <c r="F5" s="82">
        <f>Tendencial!J118</f>
        <v>0.12590260762328201</v>
      </c>
      <c r="G5" s="82">
        <f>Tendencial!K118</f>
        <v>0.11907110447256432</v>
      </c>
      <c r="H5" s="82">
        <f>Tendencial!L118</f>
        <v>0.12031253548958594</v>
      </c>
      <c r="I5" s="82">
        <f>Tendencial!M118</f>
        <v>0.13072442420996253</v>
      </c>
      <c r="J5" s="82">
        <f>Tendencial!N118</f>
        <v>0.20300590445517983</v>
      </c>
      <c r="K5" s="82">
        <f>Tendencial!O118</f>
        <v>0.15865806289938603</v>
      </c>
      <c r="L5" s="82">
        <f>Tendencial!P118</f>
        <v>0.22584403695175742</v>
      </c>
      <c r="M5" s="82">
        <f>Tendencial!Q118</f>
        <v>0.19621687911107807</v>
      </c>
      <c r="N5" s="82">
        <f>Tendencial!R118</f>
        <v>0.16678538719853467</v>
      </c>
      <c r="O5" s="82">
        <f>Tendencial!S118</f>
        <v>0.26640852754761069</v>
      </c>
      <c r="P5" s="82">
        <f>Tendencial!T118</f>
        <v>0.25030000000000108</v>
      </c>
      <c r="Q5" s="82">
        <f>Tendencial!U118</f>
        <v>0.25082145833333441</v>
      </c>
      <c r="R5" s="82">
        <f>Tendencial!V118</f>
        <v>0.25134400303819554</v>
      </c>
      <c r="S5" s="82">
        <f>Tendencial!W118</f>
        <v>0.25186763637785847</v>
      </c>
      <c r="T5" s="82">
        <f>Tendencial!X118</f>
        <v>0.25239236062031239</v>
      </c>
      <c r="U5" s="82">
        <f>Tendencial!Y118</f>
        <v>0.25291817803827138</v>
      </c>
      <c r="V5" s="82">
        <f>Tendencial!Z118</f>
        <v>0.25344509090918449</v>
      </c>
      <c r="W5" s="82">
        <f>Tendencial!AA118</f>
        <v>0.25397310151524533</v>
      </c>
      <c r="X5" s="82">
        <f>Tendencial!AB118</f>
        <v>0.25450221214340213</v>
      </c>
      <c r="Y5" s="82">
        <f>Tendencial!AC118</f>
        <v>0.25503242508536755</v>
      </c>
      <c r="Z5" s="82">
        <f>Tendencial!AD118</f>
        <v>0.25556374263762877</v>
      </c>
      <c r="AA5" s="82">
        <f>Tendencial!AE118</f>
        <v>0.25609616710145716</v>
      </c>
      <c r="AB5" s="82">
        <f>Tendencial!AF118</f>
        <v>0.25662970078291858</v>
      </c>
      <c r="AC5" s="82">
        <f>Tendencial!AG118</f>
        <v>0.25716434599288301</v>
      </c>
      <c r="AD5" s="82">
        <f>Tendencial!AH118</f>
        <v>0.25770010504703489</v>
      </c>
      <c r="AE5" s="82">
        <f>Tendencial!AI118</f>
        <v>0.25823698026588293</v>
      </c>
      <c r="AF5" s="82">
        <f>Tendencial!AJ118</f>
        <v>0.25877497397477023</v>
      </c>
      <c r="AG5" s="82">
        <f>Tendencial!AK118</f>
        <v>0.25931408850388438</v>
      </c>
      <c r="AH5" s="82">
        <f>Tendencial!AL118</f>
        <v>0.25985432618826748</v>
      </c>
      <c r="AI5" s="82">
        <f>Tendencial!AM118</f>
        <v>0.26039568936782642</v>
      </c>
      <c r="AJ5" s="82">
        <f>Tendencial!AN118</f>
        <v>0.26093818038734273</v>
      </c>
      <c r="AK5" s="82">
        <f>Tendencial!AO118</f>
        <v>0.26148180159648304</v>
      </c>
      <c r="AL5" s="82">
        <f>Tendencial!AP118</f>
        <v>0.26202655534980906</v>
      </c>
      <c r="AM5" s="82">
        <f>Tendencial!AQ118</f>
        <v>0.26257244400678786</v>
      </c>
      <c r="AN5" s="82">
        <f>Tendencial!AR118</f>
        <v>0.26311946993180202</v>
      </c>
      <c r="AO5" s="82">
        <f>Tendencial!AS118</f>
        <v>0.26366763549415995</v>
      </c>
      <c r="AP5" s="82">
        <f>Tendencial!AT118</f>
        <v>0.26421694306810611</v>
      </c>
      <c r="AQ5" s="82">
        <f>Tendencial!AU118</f>
        <v>0.26476739503283137</v>
      </c>
      <c r="AR5" s="82">
        <f>Tendencial!AV118</f>
        <v>0.26531899377248314</v>
      </c>
      <c r="AS5" s="82">
        <f>Tendencial!AW118</f>
        <v>0.26587174167617583</v>
      </c>
      <c r="AT5" s="82">
        <f>Tendencial!AX118</f>
        <v>0.26642564113800121</v>
      </c>
      <c r="AU5" s="82">
        <f>Tendencial!AY118</f>
        <v>0.26698069455703877</v>
      </c>
      <c r="AV5" s="82">
        <f>Tendencial!AZ118</f>
        <v>0.26753690433736593</v>
      </c>
      <c r="AW5" s="82">
        <f>Tendencial!BA118</f>
        <v>0.26809427288806881</v>
      </c>
      <c r="AX5" s="82">
        <f>Tendencial!BB118</f>
        <v>0.26865280262325231</v>
      </c>
      <c r="AY5" s="82">
        <f>Tendencial!BC118</f>
        <v>0.26921249596205077</v>
      </c>
      <c r="AZ5" s="82">
        <f>Tendencial!BD118</f>
        <v>0.26977335532863839</v>
      </c>
      <c r="BA5" s="82">
        <f>Tendencial!BE118</f>
        <v>0.27033538315223976</v>
      </c>
      <c r="BB5" s="82">
        <f>Tendencial!BF118</f>
        <v>0.27089858186714028</v>
      </c>
      <c r="BC5" s="82">
        <f>Tendencial!BG118</f>
        <v>0.27146295391269687</v>
      </c>
      <c r="BD5" s="82">
        <f>Tendencial!BH118</f>
        <v>0.27202850173334836</v>
      </c>
      <c r="BE5" s="82">
        <f>Tendencial!BI118</f>
        <v>0.27259522777862621</v>
      </c>
      <c r="BF5" s="82">
        <f>Tendencial!BJ118</f>
        <v>0.27316313450316504</v>
      </c>
      <c r="BG5" s="82">
        <f>Tendencial!BK118</f>
        <v>0.27373222436671335</v>
      </c>
      <c r="BH5" s="82">
        <f>Tendencial!BL118</f>
        <v>0.27430249983414401</v>
      </c>
      <c r="BI5" s="82">
        <f>Tendencial!BM118</f>
        <v>0.27487396337546516</v>
      </c>
      <c r="BJ5" s="82">
        <f>Tendencial!BN118</f>
        <v>0.27544661746583071</v>
      </c>
      <c r="BK5" s="82">
        <f>Tendencial!BO118</f>
        <v>0.27602046458555124</v>
      </c>
    </row>
    <row r="6" spans="1:63" x14ac:dyDescent="0.3">
      <c r="A6" s="386"/>
      <c r="B6" t="s">
        <v>378</v>
      </c>
      <c r="C6" s="82">
        <f>Tendencial!G119</f>
        <v>78.063575490049388</v>
      </c>
      <c r="D6" s="82">
        <f>Tendencial!H119</f>
        <v>94.0584003238679</v>
      </c>
      <c r="E6" s="82">
        <f>Tendencial!I119</f>
        <v>77.477944959522887</v>
      </c>
      <c r="F6" s="82">
        <f>Tendencial!J119</f>
        <v>70.827627490946512</v>
      </c>
      <c r="G6" s="82">
        <f>Tendencial!K119</f>
        <v>85.159827436733678</v>
      </c>
      <c r="H6" s="82">
        <f>Tendencial!L119</f>
        <v>98.484690496608707</v>
      </c>
      <c r="I6" s="82">
        <f>Tendencial!M119</f>
        <v>82.758706681571937</v>
      </c>
      <c r="J6" s="82">
        <f>Tendencial!N119</f>
        <v>73.53564262163502</v>
      </c>
      <c r="K6" s="82">
        <f>Tendencial!O119</f>
        <v>67.989654963102979</v>
      </c>
      <c r="L6" s="82">
        <f>Tendencial!P119</f>
        <v>73.460684302118153</v>
      </c>
      <c r="M6" s="82">
        <f>Tendencial!Q119</f>
        <v>74.345460716546896</v>
      </c>
      <c r="N6" s="82">
        <f>Tendencial!R119</f>
        <v>77.713414431150085</v>
      </c>
      <c r="O6" s="82">
        <f>Tendencial!S119</f>
        <v>59.810931153196861</v>
      </c>
      <c r="P6" s="82">
        <f>Tendencial!T119</f>
        <v>68.154000000000451</v>
      </c>
      <c r="Q6" s="82">
        <f>Tendencial!U119</f>
        <v>68.359171937500449</v>
      </c>
      <c r="R6" s="82">
        <f>Tendencial!V119</f>
        <v>68.564961528020632</v>
      </c>
      <c r="S6" s="82">
        <f>Tendencial!W119</f>
        <v>68.771370630953939</v>
      </c>
      <c r="T6" s="82">
        <f>Tendencial!X119</f>
        <v>68.978401111290879</v>
      </c>
      <c r="U6" s="82">
        <f>Tendencial!Y119</f>
        <v>69.186054839636327</v>
      </c>
      <c r="V6" s="82">
        <f>Tendencial!Z119</f>
        <v>69.394333692226482</v>
      </c>
      <c r="W6" s="82">
        <f>Tendencial!AA119</f>
        <v>69.603239550945787</v>
      </c>
      <c r="X6" s="82">
        <f>Tendencial!AB119</f>
        <v>69.812774303343943</v>
      </c>
      <c r="Y6" s="82">
        <f>Tendencial!AC119</f>
        <v>70.022939842652974</v>
      </c>
      <c r="Z6" s="82">
        <f>Tendencial!AD119</f>
        <v>70.233738067804296</v>
      </c>
      <c r="AA6" s="82">
        <f>Tendencial!AE119</f>
        <v>70.445170883445911</v>
      </c>
      <c r="AB6" s="82">
        <f>Tendencial!AF119</f>
        <v>70.657240199959617</v>
      </c>
      <c r="AC6" s="82">
        <f>Tendencial!AG119</f>
        <v>70.869947933478244</v>
      </c>
      <c r="AD6" s="82">
        <f>Tendencial!AH119</f>
        <v>71.08329600590298</v>
      </c>
      <c r="AE6" s="82">
        <f>Tendencial!AI119</f>
        <v>71.297286344920749</v>
      </c>
      <c r="AF6" s="82">
        <f>Tendencial!AJ119</f>
        <v>71.511920884021606</v>
      </c>
      <c r="AG6" s="82">
        <f>Tendencial!AK119</f>
        <v>71.727201562516214</v>
      </c>
      <c r="AH6" s="82">
        <f>Tendencial!AL119</f>
        <v>71.943130325553369</v>
      </c>
      <c r="AI6" s="82">
        <f>Tendencial!AM119</f>
        <v>72.159709124137592</v>
      </c>
      <c r="AJ6" s="82">
        <f>Tendencial!AN119</f>
        <v>72.376939915146721</v>
      </c>
      <c r="AK6" s="82">
        <f>Tendencial!AO119</f>
        <v>72.594824661349605</v>
      </c>
      <c r="AL6" s="82">
        <f>Tendencial!AP119</f>
        <v>72.813365331423881</v>
      </c>
      <c r="AM6" s="82">
        <f>Tendencial!AQ119</f>
        <v>73.032563899973695</v>
      </c>
      <c r="AN6" s="82">
        <f>Tendencial!AR119</f>
        <v>73.252422347547579</v>
      </c>
      <c r="AO6" s="82">
        <f>Tendencial!AS119</f>
        <v>73.472942660656344</v>
      </c>
      <c r="AP6" s="82">
        <f>Tendencial!AT119</f>
        <v>73.694126831791024</v>
      </c>
      <c r="AQ6" s="82">
        <f>Tendencial!AU119</f>
        <v>73.915976859440903</v>
      </c>
      <c r="AR6" s="82">
        <f>Tendencial!AV119</f>
        <v>74.138494748111512</v>
      </c>
      <c r="AS6" s="82">
        <f>Tendencial!AW119</f>
        <v>74.36168250834281</v>
      </c>
      <c r="AT6" s="82">
        <f>Tendencial!AX119</f>
        <v>74.5855421567273</v>
      </c>
      <c r="AU6" s="82">
        <f>Tendencial!AY119</f>
        <v>74.810075715928278</v>
      </c>
      <c r="AV6" s="82">
        <f>Tendencial!AZ119</f>
        <v>75.035285214698106</v>
      </c>
      <c r="AW6" s="82">
        <f>Tendencial!BA119</f>
        <v>75.261172687896519</v>
      </c>
      <c r="AX6" s="82">
        <f>Tendencial!BB119</f>
        <v>75.487740176509035</v>
      </c>
      <c r="AY6" s="82">
        <f>Tendencial!BC119</f>
        <v>75.714989727665397</v>
      </c>
      <c r="AZ6" s="82">
        <f>Tendencial!BD119</f>
        <v>75.942923394658052</v>
      </c>
      <c r="BA6" s="82">
        <f>Tendencial!BE119</f>
        <v>76.171543236960716</v>
      </c>
      <c r="BB6" s="82">
        <f>Tendencial!BF119</f>
        <v>76.400851320246986</v>
      </c>
      <c r="BC6" s="82">
        <f>Tendencial!BG119</f>
        <v>76.630849716408974</v>
      </c>
      <c r="BD6" s="82">
        <f>Tendencial!BH119</f>
        <v>76.86154050357608</v>
      </c>
      <c r="BE6" s="82">
        <f>Tendencial!BI119</f>
        <v>77.092925766133718</v>
      </c>
      <c r="BF6" s="82">
        <f>Tendencial!BJ119</f>
        <v>77.325007594742189</v>
      </c>
      <c r="BG6" s="82">
        <f>Tendencial!BK119</f>
        <v>77.557788086355529</v>
      </c>
      <c r="BH6" s="82">
        <f>Tendencial!BL119</f>
        <v>77.79126934424049</v>
      </c>
      <c r="BI6" s="82">
        <f>Tendencial!BM119</f>
        <v>78.025453477995555</v>
      </c>
      <c r="BJ6" s="82">
        <f>Tendencial!BN119</f>
        <v>78.260342603569939</v>
      </c>
      <c r="BK6" s="82">
        <f>Tendencial!BO119</f>
        <v>78.495938843282772</v>
      </c>
    </row>
    <row r="7" spans="1:63" x14ac:dyDescent="0.3">
      <c r="A7" s="386"/>
      <c r="B7" t="s">
        <v>379</v>
      </c>
      <c r="C7" s="82">
        <f>Tendencial!G120</f>
        <v>2.234824433513646</v>
      </c>
      <c r="D7" s="82">
        <f>Tendencial!H120</f>
        <v>1.6671662766708666</v>
      </c>
      <c r="E7" s="82">
        <f>Tendencial!I120</f>
        <v>2.7324016605696904</v>
      </c>
      <c r="F7" s="82">
        <f>Tendencial!J120</f>
        <v>2.3702330807084238</v>
      </c>
      <c r="G7" s="82">
        <f>Tendencial!K120</f>
        <v>3.4336375016471208</v>
      </c>
      <c r="H7" s="82">
        <f>Tendencial!L120</f>
        <v>3.7832567646121245</v>
      </c>
      <c r="I7" s="82">
        <f>Tendencial!M120</f>
        <v>3.1693472715979225</v>
      </c>
      <c r="J7" s="82">
        <f>Tendencial!N120</f>
        <v>3.5362070788060898</v>
      </c>
      <c r="K7" s="82">
        <f>Tendencial!O120</f>
        <v>3.3286540144375976</v>
      </c>
      <c r="L7" s="82">
        <f>Tendencial!P120</f>
        <v>4.1881683374567302</v>
      </c>
      <c r="M7" s="82">
        <f>Tendencial!Q120</f>
        <v>3.5239779883680322</v>
      </c>
      <c r="N7" s="82">
        <f>Tendencial!R120</f>
        <v>4.2089326354119247</v>
      </c>
      <c r="O7" s="82">
        <f>Tendencial!S120</f>
        <v>4.1731183803542979</v>
      </c>
      <c r="P7" s="82">
        <f>Tendencial!T120</f>
        <v>4.547800000000052</v>
      </c>
      <c r="Q7" s="82">
        <f>Tendencial!U120</f>
        <v>4.5693073041667187</v>
      </c>
      <c r="R7" s="82">
        <f>Tendencial!V120</f>
        <v>4.5909163199593408</v>
      </c>
      <c r="S7" s="82">
        <f>Tendencial!W120</f>
        <v>4.6126275283891482</v>
      </c>
      <c r="T7" s="82">
        <f>Tendencial!X120</f>
        <v>4.6344414127421549</v>
      </c>
      <c r="U7" s="82">
        <f>Tendencial!Y120</f>
        <v>4.6563584585899145</v>
      </c>
      <c r="V7" s="82">
        <f>Tendencial!Z120</f>
        <v>4.6783791538003294</v>
      </c>
      <c r="W7" s="82">
        <f>Tendencial!AA120</f>
        <v>4.70050398854851</v>
      </c>
      <c r="X7" s="82">
        <f>Tendencial!AB120</f>
        <v>4.7227334553276874</v>
      </c>
      <c r="Y7" s="82">
        <f>Tendencial!AC120</f>
        <v>4.7450680489601744</v>
      </c>
      <c r="Z7" s="82">
        <f>Tendencial!AD120</f>
        <v>4.7675082666083819</v>
      </c>
      <c r="AA7" s="82">
        <f>Tendencial!AE120</f>
        <v>4.7900546077858843</v>
      </c>
      <c r="AB7" s="82">
        <f>Tendencial!AF120</f>
        <v>4.8127075743685381</v>
      </c>
      <c r="AC7" s="82">
        <f>Tendencial!AG120</f>
        <v>4.8354676706056559</v>
      </c>
      <c r="AD7" s="82">
        <f>Tendencial!AH120</f>
        <v>4.8583354031312282</v>
      </c>
      <c r="AE7" s="82">
        <f>Tendencial!AI120</f>
        <v>4.8813112809752033</v>
      </c>
      <c r="AF7" s="82">
        <f>Tendencial!AJ120</f>
        <v>4.9043958155748149</v>
      </c>
      <c r="AG7" s="82">
        <f>Tendencial!AK120</f>
        <v>4.927589520785971</v>
      </c>
      <c r="AH7" s="82">
        <f>Tendencial!AL120</f>
        <v>4.9508929128946884</v>
      </c>
      <c r="AI7" s="82">
        <f>Tendencial!AM120</f>
        <v>4.974306510628586</v>
      </c>
      <c r="AJ7" s="82">
        <f>Tendencial!AN120</f>
        <v>4.9978308351684335</v>
      </c>
      <c r="AK7" s="82">
        <f>Tendencial!AO120</f>
        <v>5.0214664101597508</v>
      </c>
      <c r="AL7" s="82">
        <f>Tendencial!AP120</f>
        <v>5.0452137617244643</v>
      </c>
      <c r="AM7" s="82">
        <f>Tendencial!AQ120</f>
        <v>5.0690734184726196</v>
      </c>
      <c r="AN7" s="82">
        <f>Tendencial!AR120</f>
        <v>5.093045911514146</v>
      </c>
      <c r="AO7" s="82">
        <f>Tendencial!AS120</f>
        <v>5.1171317744706819</v>
      </c>
      <c r="AP7" s="82">
        <f>Tendencial!AT120</f>
        <v>5.1413315434874498</v>
      </c>
      <c r="AQ7" s="82">
        <f>Tendencial!AU120</f>
        <v>5.1656457572451924</v>
      </c>
      <c r="AR7" s="82">
        <f>Tendencial!AV120</f>
        <v>5.1900749569721647</v>
      </c>
      <c r="AS7" s="82">
        <f>Tendencial!AW120</f>
        <v>5.2146196864561789</v>
      </c>
      <c r="AT7" s="82">
        <f>Tendencial!AX120</f>
        <v>5.2392804920567109</v>
      </c>
      <c r="AU7" s="82">
        <f>Tendencial!AY120</f>
        <v>5.2640579227170621</v>
      </c>
      <c r="AV7" s="82">
        <f>Tendencial!AZ120</f>
        <v>5.2889525299765783</v>
      </c>
      <c r="AW7" s="82">
        <f>Tendencial!BA120</f>
        <v>5.3139648679829259</v>
      </c>
      <c r="AX7" s="82">
        <f>Tendencial!BB120</f>
        <v>5.3390954935044288</v>
      </c>
      <c r="AY7" s="82">
        <f>Tendencial!BC120</f>
        <v>5.3643449659424602</v>
      </c>
      <c r="AZ7" s="82">
        <f>Tendencial!BD120</f>
        <v>5.3897138473438968</v>
      </c>
      <c r="BA7" s="82">
        <f>Tendencial!BE120</f>
        <v>5.4152027024136276</v>
      </c>
      <c r="BB7" s="82">
        <f>Tendencial!BF120</f>
        <v>5.4408120985271253</v>
      </c>
      <c r="BC7" s="82">
        <f>Tendencial!BG120</f>
        <v>5.4665426057430766</v>
      </c>
      <c r="BD7" s="82">
        <f>Tendencial!BH120</f>
        <v>5.49239479681607</v>
      </c>
      <c r="BE7" s="82">
        <f>Tendencial!BI120</f>
        <v>5.5183692472093462</v>
      </c>
      <c r="BF7" s="82">
        <f>Tendencial!BJ120</f>
        <v>5.544466535107607</v>
      </c>
      <c r="BG7" s="82">
        <f>Tendencial!BK120</f>
        <v>5.5706872414298871</v>
      </c>
      <c r="BH7" s="82">
        <f>Tendencial!BL120</f>
        <v>5.5970319498424823</v>
      </c>
      <c r="BI7" s="82">
        <f>Tendencial!BM120</f>
        <v>5.6235012467719461</v>
      </c>
      <c r="BJ7" s="82">
        <f>Tendencial!BN120</f>
        <v>5.6500957214181389</v>
      </c>
      <c r="BK7" s="82">
        <f>Tendencial!BO120</f>
        <v>5.6768159657673456</v>
      </c>
    </row>
    <row r="8" spans="1:63" x14ac:dyDescent="0.3">
      <c r="A8" s="386"/>
      <c r="B8" t="s">
        <v>380</v>
      </c>
      <c r="C8" s="82">
        <f>Tendencial!G121</f>
        <v>14.73093301361226</v>
      </c>
      <c r="D8" s="82">
        <f>Tendencial!H121</f>
        <v>10.349596103646171</v>
      </c>
      <c r="E8" s="82">
        <f>Tendencial!I121</f>
        <v>13.340103133277603</v>
      </c>
      <c r="F8" s="82">
        <f>Tendencial!J121</f>
        <v>10.587242326340178</v>
      </c>
      <c r="G8" s="82">
        <f>Tendencial!K121</f>
        <v>12.7513593200275</v>
      </c>
      <c r="H8" s="82">
        <f>Tendencial!L121</f>
        <v>14.381813923531821</v>
      </c>
      <c r="I8" s="82">
        <f>Tendencial!M121</f>
        <v>11.84081580054503</v>
      </c>
      <c r="J8" s="82">
        <f>Tendencial!N121</f>
        <v>12.585838212469072</v>
      </c>
      <c r="K8" s="82">
        <f>Tendencial!O121</f>
        <v>12.438520820496334</v>
      </c>
      <c r="L8" s="82">
        <f>Tendencial!P121</f>
        <v>11.328309474983575</v>
      </c>
      <c r="M8" s="82">
        <f>Tendencial!Q121</f>
        <v>12.979917121648652</v>
      </c>
      <c r="N8" s="82">
        <f>Tendencial!R121</f>
        <v>15.85832858013886</v>
      </c>
      <c r="O8" s="82">
        <f>Tendencial!S121</f>
        <v>16.242640757806406</v>
      </c>
      <c r="P8" s="82">
        <f>Tendencial!T121</f>
        <v>14.440600000000018</v>
      </c>
      <c r="Q8" s="82">
        <f>Tendencial!U121</f>
        <v>14.481214187500019</v>
      </c>
      <c r="R8" s="82">
        <f>Tendencial!V121</f>
        <v>14.521942602402364</v>
      </c>
      <c r="S8" s="82">
        <f>Tendencial!W121</f>
        <v>14.562785565971621</v>
      </c>
      <c r="T8" s="82">
        <f>Tendencial!X121</f>
        <v>14.603743400375919</v>
      </c>
      <c r="U8" s="82">
        <f>Tendencial!Y121</f>
        <v>14.644816428689477</v>
      </c>
      <c r="V8" s="82">
        <f>Tendencial!Z121</f>
        <v>14.686004974895168</v>
      </c>
      <c r="W8" s="82">
        <f>Tendencial!AA121</f>
        <v>14.727309363887063</v>
      </c>
      <c r="X8" s="82">
        <f>Tendencial!AB121</f>
        <v>14.768729921472996</v>
      </c>
      <c r="Y8" s="82">
        <f>Tendencial!AC121</f>
        <v>14.810266974377141</v>
      </c>
      <c r="Z8" s="82">
        <f>Tendencial!AD121</f>
        <v>14.851920850242578</v>
      </c>
      <c r="AA8" s="82">
        <f>Tendencial!AE121</f>
        <v>14.893691877633888</v>
      </c>
      <c r="AB8" s="82">
        <f>Tendencial!AF121</f>
        <v>14.935580386039735</v>
      </c>
      <c r="AC8" s="82">
        <f>Tendencial!AG121</f>
        <v>14.977586705875474</v>
      </c>
      <c r="AD8" s="82">
        <f>Tendencial!AH121</f>
        <v>15.019711168485751</v>
      </c>
      <c r="AE8" s="82">
        <f>Tendencial!AI121</f>
        <v>15.061954106147118</v>
      </c>
      <c r="AF8" s="82">
        <f>Tendencial!AJ121</f>
        <v>15.104315852070659</v>
      </c>
      <c r="AG8" s="82">
        <f>Tendencial!AK121</f>
        <v>15.146796740404609</v>
      </c>
      <c r="AH8" s="82">
        <f>Tendencial!AL121</f>
        <v>15.189397106236999</v>
      </c>
      <c r="AI8" s="82">
        <f>Tendencial!AM121</f>
        <v>15.232117285598292</v>
      </c>
      <c r="AJ8" s="82">
        <f>Tendencial!AN121</f>
        <v>15.274957615464039</v>
      </c>
      <c r="AK8" s="82">
        <f>Tendencial!AO121</f>
        <v>15.317918433757534</v>
      </c>
      <c r="AL8" s="82">
        <f>Tendencial!AP121</f>
        <v>15.361000079352479</v>
      </c>
      <c r="AM8" s="82">
        <f>Tendencial!AQ121</f>
        <v>15.404202892075659</v>
      </c>
      <c r="AN8" s="82">
        <f>Tendencial!AR121</f>
        <v>15.447527212709623</v>
      </c>
      <c r="AO8" s="82">
        <f>Tendencial!AS121</f>
        <v>15.490973382995371</v>
      </c>
      <c r="AP8" s="82">
        <f>Tendencial!AT121</f>
        <v>15.534541745635048</v>
      </c>
      <c r="AQ8" s="82">
        <f>Tendencial!AU121</f>
        <v>15.578232644294648</v>
      </c>
      <c r="AR8" s="82">
        <f>Tendencial!AV121</f>
        <v>15.622046423606728</v>
      </c>
      <c r="AS8" s="82">
        <f>Tendencial!AW121</f>
        <v>15.665983429173123</v>
      </c>
      <c r="AT8" s="82">
        <f>Tendencial!AX121</f>
        <v>15.710044007567674</v>
      </c>
      <c r="AU8" s="82">
        <f>Tendencial!AY121</f>
        <v>15.75422850633896</v>
      </c>
      <c r="AV8" s="82">
        <f>Tendencial!AZ121</f>
        <v>15.798537274013039</v>
      </c>
      <c r="AW8" s="82">
        <f>Tendencial!BA121</f>
        <v>15.842970660096203</v>
      </c>
      <c r="AX8" s="82">
        <f>Tendencial!BB121</f>
        <v>15.887529015077725</v>
      </c>
      <c r="AY8" s="82">
        <f>Tendencial!BC121</f>
        <v>15.932212690432632</v>
      </c>
      <c r="AZ8" s="82">
        <f>Tendencial!BD121</f>
        <v>15.977022038624476</v>
      </c>
      <c r="BA8" s="82">
        <f>Tendencial!BE121</f>
        <v>16.021957413108108</v>
      </c>
      <c r="BB8" s="82">
        <f>Tendencial!BF121</f>
        <v>16.067019168332475</v>
      </c>
      <c r="BC8" s="82">
        <f>Tendencial!BG121</f>
        <v>16.112207659743412</v>
      </c>
      <c r="BD8" s="82">
        <f>Tendencial!BH121</f>
        <v>16.157523243786443</v>
      </c>
      <c r="BE8" s="82">
        <f>Tendencial!BI121</f>
        <v>16.202966277909592</v>
      </c>
      <c r="BF8" s="82">
        <f>Tendencial!BJ121</f>
        <v>16.248537120566215</v>
      </c>
      <c r="BG8" s="82">
        <f>Tendencial!BK121</f>
        <v>16.294236131217811</v>
      </c>
      <c r="BH8" s="82">
        <f>Tendencial!BL121</f>
        <v>16.340063670336864</v>
      </c>
      <c r="BI8" s="82">
        <f>Tendencial!BM121</f>
        <v>16.386020099409688</v>
      </c>
      <c r="BJ8" s="82">
        <f>Tendencial!BN121</f>
        <v>16.432105780939278</v>
      </c>
      <c r="BK8" s="82">
        <f>Tendencial!BO121</f>
        <v>16.478321078448172</v>
      </c>
    </row>
    <row r="9" spans="1:63" x14ac:dyDescent="0.3">
      <c r="A9" s="386"/>
      <c r="B9" t="s">
        <v>381</v>
      </c>
      <c r="C9" s="82">
        <f>Tendencial!G122</f>
        <v>0</v>
      </c>
      <c r="D9" s="82">
        <f>Tendencial!H122</f>
        <v>0</v>
      </c>
      <c r="E9" s="82">
        <f>Tendencial!I122</f>
        <v>0</v>
      </c>
      <c r="F9" s="82">
        <f>Tendencial!J122</f>
        <v>0</v>
      </c>
      <c r="G9" s="82">
        <f>Tendencial!K122</f>
        <v>1.2324546517328507</v>
      </c>
      <c r="H9" s="82">
        <f>Tendencial!L122</f>
        <v>1.4536522473658471</v>
      </c>
      <c r="I9" s="82">
        <f>Tendencial!M122</f>
        <v>1.5901065449010654</v>
      </c>
      <c r="J9" s="82">
        <f>Tendencial!N122</f>
        <v>1.249277327718497</v>
      </c>
      <c r="K9" s="82">
        <f>Tendencial!O122</f>
        <v>1.1024466153713151</v>
      </c>
      <c r="L9" s="82">
        <f>Tendencial!P122</f>
        <v>1.4624352331606219</v>
      </c>
      <c r="M9" s="82">
        <f>Tendencial!Q122</f>
        <v>1.3839040747891473</v>
      </c>
      <c r="N9" s="82">
        <f>Tendencial!R122</f>
        <v>1.0675280480672091</v>
      </c>
      <c r="O9" s="82">
        <f>Tendencial!S122</f>
        <v>1.3319627503096654</v>
      </c>
      <c r="P9" s="82">
        <f>Tendencial!T122</f>
        <v>1.2250000000000014</v>
      </c>
      <c r="Q9" s="82">
        <f>Tendencial!U122</f>
        <v>1.2237239583333346</v>
      </c>
      <c r="R9" s="82">
        <f>Tendencial!V122</f>
        <v>1.2224492458767373</v>
      </c>
      <c r="S9" s="82">
        <f>Tendencial!W122</f>
        <v>1.2211758612456156</v>
      </c>
      <c r="T9" s="82">
        <f>Tendencial!X122</f>
        <v>1.2199038030568181</v>
      </c>
      <c r="U9" s="82">
        <f>Tendencial!Y122</f>
        <v>1.2186330699286338</v>
      </c>
      <c r="V9" s="82">
        <f>Tendencial!Z122</f>
        <v>1.2173636604807914</v>
      </c>
      <c r="W9" s="82">
        <f>Tendencial!AA122</f>
        <v>1.2160955733344572</v>
      </c>
      <c r="X9" s="82">
        <f>Tendencial!AB122</f>
        <v>1.2148288071122337</v>
      </c>
      <c r="Y9" s="82">
        <f>Tendencial!AC122</f>
        <v>1.2135633604381584</v>
      </c>
      <c r="Z9" s="82">
        <f>Tendencial!AD122</f>
        <v>1.2122992319377019</v>
      </c>
      <c r="AA9" s="82">
        <f>Tendencial!AE122</f>
        <v>1.2110364202377668</v>
      </c>
      <c r="AB9" s="82">
        <f>Tendencial!AF122</f>
        <v>1.2097749239666857</v>
      </c>
      <c r="AC9" s="82">
        <f>Tendencial!AG122</f>
        <v>1.2085147417542204</v>
      </c>
      <c r="AD9" s="82">
        <f>Tendencial!AH122</f>
        <v>1.2072558722315596</v>
      </c>
      <c r="AE9" s="82">
        <f>Tendencial!AI122</f>
        <v>1.2059983140313184</v>
      </c>
      <c r="AF9" s="82">
        <f>Tendencial!AJ122</f>
        <v>1.2047420657875356</v>
      </c>
      <c r="AG9" s="82">
        <f>Tendencial!AK122</f>
        <v>1.2034871261356734</v>
      </c>
      <c r="AH9" s="82">
        <f>Tendencial!AL122</f>
        <v>1.2022334937126153</v>
      </c>
      <c r="AI9" s="82">
        <f>Tendencial!AM122</f>
        <v>1.2009811671566646</v>
      </c>
      <c r="AJ9" s="82">
        <f>Tendencial!AN122</f>
        <v>1.1997301451075431</v>
      </c>
      <c r="AK9" s="82">
        <f>Tendencial!AO122</f>
        <v>1.1984804262063893</v>
      </c>
      <c r="AL9" s="82">
        <f>Tendencial!AP122</f>
        <v>1.1972320090957576</v>
      </c>
      <c r="AM9" s="82">
        <f>Tendencial!AQ122</f>
        <v>1.1959848924196161</v>
      </c>
      <c r="AN9" s="82">
        <f>Tendencial!AR122</f>
        <v>1.1947390748233457</v>
      </c>
      <c r="AO9" s="82">
        <f>Tendencial!AS122</f>
        <v>1.1934945549537381</v>
      </c>
      <c r="AP9" s="82">
        <f>Tendencial!AT122</f>
        <v>1.1922513314589946</v>
      </c>
      <c r="AQ9" s="82">
        <f>Tendencial!AU122</f>
        <v>1.1910094029887248</v>
      </c>
      <c r="AR9" s="82">
        <f>Tendencial!AV122</f>
        <v>1.1897687681939448</v>
      </c>
      <c r="AS9" s="82">
        <f>Tendencial!AW122</f>
        <v>1.188529425727076</v>
      </c>
      <c r="AT9" s="82">
        <f>Tendencial!AX122</f>
        <v>1.1872913742419435</v>
      </c>
      <c r="AU9" s="82">
        <f>Tendencial!AY122</f>
        <v>1.1860546123937747</v>
      </c>
      <c r="AV9" s="82">
        <f>Tendencial!AZ122</f>
        <v>1.1848191388391978</v>
      </c>
      <c r="AW9" s="82">
        <f>Tendencial!BA122</f>
        <v>1.1835849522362403</v>
      </c>
      <c r="AX9" s="82">
        <f>Tendencial!BB122</f>
        <v>1.1823520512443275</v>
      </c>
      <c r="AY9" s="82">
        <f>Tendencial!BC122</f>
        <v>1.1811204345242814</v>
      </c>
      <c r="AZ9" s="82">
        <f>Tendencial!BD122</f>
        <v>1.1798901007383185</v>
      </c>
      <c r="BA9" s="82">
        <f>Tendencial!BE122</f>
        <v>1.1786610485500493</v>
      </c>
      <c r="BB9" s="82">
        <f>Tendencial!BF122</f>
        <v>1.1774332766244762</v>
      </c>
      <c r="BC9" s="82">
        <f>Tendencial!BG122</f>
        <v>1.1762067836279924</v>
      </c>
      <c r="BD9" s="82">
        <f>Tendencial!BH122</f>
        <v>1.1749815682283797</v>
      </c>
      <c r="BE9" s="82">
        <f>Tendencial!BI122</f>
        <v>1.1737576290948084</v>
      </c>
      <c r="BF9" s="82">
        <f>Tendencial!BJ122</f>
        <v>1.1725349648978345</v>
      </c>
      <c r="BG9" s="82">
        <f>Tendencial!BK122</f>
        <v>1.1713135743093992</v>
      </c>
      <c r="BH9" s="82">
        <f>Tendencial!BL122</f>
        <v>1.1700934560028269</v>
      </c>
      <c r="BI9" s="82">
        <f>Tendencial!BM122</f>
        <v>1.1688746086528239</v>
      </c>
      <c r="BJ9" s="82">
        <f>Tendencial!BN122</f>
        <v>1.1676570309354772</v>
      </c>
      <c r="BK9" s="82">
        <f>Tendencial!BO122</f>
        <v>1.1664407215282526</v>
      </c>
    </row>
    <row r="10" spans="1:63" x14ac:dyDescent="0.3">
      <c r="A10" s="386"/>
      <c r="B10" t="s">
        <v>382</v>
      </c>
      <c r="C10" s="82">
        <f>Tendencial!G123</f>
        <v>0</v>
      </c>
      <c r="D10" s="82">
        <f>Tendencial!H123</f>
        <v>0</v>
      </c>
      <c r="E10" s="82">
        <f>Tendencial!I123</f>
        <v>0</v>
      </c>
      <c r="F10" s="82">
        <f>Tendencial!J123</f>
        <v>0</v>
      </c>
      <c r="G10" s="82">
        <f>Tendencial!K123</f>
        <v>0</v>
      </c>
      <c r="H10" s="82">
        <f>Tendencial!L123</f>
        <v>6.047940658034979</v>
      </c>
      <c r="I10" s="82">
        <f>Tendencial!M123</f>
        <v>6.093985677686832</v>
      </c>
      <c r="J10" s="82">
        <f>Tendencial!N123</f>
        <v>8.9120786323933672</v>
      </c>
      <c r="K10" s="82">
        <f>Tendencial!O123</f>
        <v>7.2669508271541199</v>
      </c>
      <c r="L10" s="82">
        <f>Tendencial!P123</f>
        <v>6.6780970695565829</v>
      </c>
      <c r="M10" s="82">
        <f>Tendencial!Q123</f>
        <v>6.8088875134981564</v>
      </c>
      <c r="N10" s="82">
        <f>Tendencial!R123</f>
        <v>6.5500556145042585</v>
      </c>
      <c r="O10" s="82">
        <f>Tendencial!S123</f>
        <v>6.0555524976594723</v>
      </c>
      <c r="P10" s="82">
        <f>Tendencial!T123</f>
        <v>6.6410999999999945</v>
      </c>
      <c r="Q10" s="82">
        <f>Tendencial!U123</f>
        <v>6.6341821874999942</v>
      </c>
      <c r="R10" s="82">
        <f>Tendencial!V123</f>
        <v>6.6272715810546812</v>
      </c>
      <c r="S10" s="82">
        <f>Tendencial!W123</f>
        <v>6.6203681731577486</v>
      </c>
      <c r="T10" s="82">
        <f>Tendencial!X123</f>
        <v>6.6134719563107094</v>
      </c>
      <c r="U10" s="82">
        <f>Tendencial!Y123</f>
        <v>6.6065829230228852</v>
      </c>
      <c r="V10" s="82">
        <f>Tendencial!Z123</f>
        <v>6.599701065811403</v>
      </c>
      <c r="W10" s="82">
        <f>Tendencial!AA123</f>
        <v>6.5928263772011828</v>
      </c>
      <c r="X10" s="82">
        <f>Tendencial!AB123</f>
        <v>6.5859588497249311</v>
      </c>
      <c r="Y10" s="82">
        <f>Tendencial!AC123</f>
        <v>6.5790984759231339</v>
      </c>
      <c r="Z10" s="82">
        <f>Tendencial!AD123</f>
        <v>6.5722452483440472</v>
      </c>
      <c r="AA10" s="82">
        <f>Tendencial!AE123</f>
        <v>6.5653991595436887</v>
      </c>
      <c r="AB10" s="82">
        <f>Tendencial!AF123</f>
        <v>6.5585602020858307</v>
      </c>
      <c r="AC10" s="82">
        <f>Tendencial!AG123</f>
        <v>6.5517283685419914</v>
      </c>
      <c r="AD10" s="82">
        <f>Tendencial!AH123</f>
        <v>6.5449036514914267</v>
      </c>
      <c r="AE10" s="82">
        <f>Tendencial!AI123</f>
        <v>6.5380860435211225</v>
      </c>
      <c r="AF10" s="82">
        <f>Tendencial!AJ123</f>
        <v>6.5312755372257874</v>
      </c>
      <c r="AG10" s="82">
        <f>Tendencial!AK123</f>
        <v>6.5244721252078435</v>
      </c>
      <c r="AH10" s="82">
        <f>Tendencial!AL123</f>
        <v>6.5176758000774182</v>
      </c>
      <c r="AI10" s="82">
        <f>Tendencial!AM123</f>
        <v>6.5108865544523375</v>
      </c>
      <c r="AJ10" s="82">
        <f>Tendencial!AN123</f>
        <v>6.5041043809581156</v>
      </c>
      <c r="AK10" s="82">
        <f>Tendencial!AO123</f>
        <v>6.497329272227951</v>
      </c>
      <c r="AL10" s="82">
        <f>Tendencial!AP123</f>
        <v>6.4905612209027135</v>
      </c>
      <c r="AM10" s="82">
        <f>Tendencial!AQ123</f>
        <v>6.4838002196309397</v>
      </c>
      <c r="AN10" s="82">
        <f>Tendencial!AR123</f>
        <v>6.477046261068824</v>
      </c>
      <c r="AO10" s="82">
        <f>Tendencial!AS123</f>
        <v>6.4702993378802107</v>
      </c>
      <c r="AP10" s="82">
        <f>Tendencial!AT123</f>
        <v>6.4635594427365852</v>
      </c>
      <c r="AQ10" s="82">
        <f>Tendencial!AU123</f>
        <v>6.4568265683170676</v>
      </c>
      <c r="AR10" s="82">
        <f>Tendencial!AV123</f>
        <v>6.4501007073084038</v>
      </c>
      <c r="AS10" s="82">
        <f>Tendencial!AW123</f>
        <v>6.4433818524049569</v>
      </c>
      <c r="AT10" s="82">
        <f>Tendencial!AX123</f>
        <v>6.4366699963087015</v>
      </c>
      <c r="AU10" s="82">
        <f>Tendencial!AY123</f>
        <v>6.4299651317292126</v>
      </c>
      <c r="AV10" s="82">
        <f>Tendencial!AZ123</f>
        <v>6.4232672513836606</v>
      </c>
      <c r="AW10" s="82">
        <f>Tendencial!BA123</f>
        <v>6.4165763479968021</v>
      </c>
      <c r="AX10" s="82">
        <f>Tendencial!BB123</f>
        <v>6.4098924143009715</v>
      </c>
      <c r="AY10" s="82">
        <f>Tendencial!BC123</f>
        <v>6.4032154430360739</v>
      </c>
      <c r="AZ10" s="82">
        <f>Tendencial!BD123</f>
        <v>6.3965454269495776</v>
      </c>
      <c r="BA10" s="82">
        <f>Tendencial!BE123</f>
        <v>6.3898823587965046</v>
      </c>
      <c r="BB10" s="82">
        <f>Tendencial!BF123</f>
        <v>6.3832262313394246</v>
      </c>
      <c r="BC10" s="82">
        <f>Tendencial!BG123</f>
        <v>6.3765770373484454</v>
      </c>
      <c r="BD10" s="82">
        <f>Tendencial!BH123</f>
        <v>6.3699347696012074</v>
      </c>
      <c r="BE10" s="82">
        <f>Tendencial!BI123</f>
        <v>6.3632994208828721</v>
      </c>
      <c r="BF10" s="82">
        <f>Tendencial!BJ123</f>
        <v>6.3566709839861186</v>
      </c>
      <c r="BG10" s="82">
        <f>Tendencial!BK123</f>
        <v>6.3500494517111328</v>
      </c>
      <c r="BH10" s="82">
        <f>Tendencial!BL123</f>
        <v>6.3434348168656003</v>
      </c>
      <c r="BI10" s="82">
        <f>Tendencial!BM123</f>
        <v>6.3368270722646987</v>
      </c>
      <c r="BJ10" s="82">
        <f>Tendencial!BN123</f>
        <v>6.3302262107310892</v>
      </c>
      <c r="BK10" s="82">
        <f>Tendencial!BO123</f>
        <v>6.3236322250949106</v>
      </c>
    </row>
    <row r="11" spans="1:63" x14ac:dyDescent="0.3">
      <c r="A11" s="386"/>
      <c r="B11" t="s">
        <v>383</v>
      </c>
      <c r="C11" s="82">
        <f>Tendencial!G124</f>
        <v>0.56324422784393136</v>
      </c>
      <c r="D11" s="82">
        <f>Tendencial!H124</f>
        <v>0.47573853669445859</v>
      </c>
      <c r="E11" s="82">
        <f>Tendencial!I124</f>
        <v>0.44091837615444374</v>
      </c>
      <c r="F11" s="82">
        <f>Tendencial!J124</f>
        <v>0.47152204764954853</v>
      </c>
      <c r="G11" s="82">
        <f>Tendencial!K124</f>
        <v>1.0091035634743875</v>
      </c>
      <c r="H11" s="82">
        <f>Tendencial!L124</f>
        <v>0.92935231023102294</v>
      </c>
      <c r="I11" s="82">
        <f>Tendencial!M124</f>
        <v>1.2240164464413019</v>
      </c>
      <c r="J11" s="82">
        <f>Tendencial!N124</f>
        <v>0.89776575095986288</v>
      </c>
      <c r="K11" s="82">
        <f>Tendencial!O124</f>
        <v>1.5238912143461654</v>
      </c>
      <c r="L11" s="82">
        <f>Tendencial!P124</f>
        <v>1.3219387271175187</v>
      </c>
      <c r="M11" s="82">
        <f>Tendencial!Q124</f>
        <v>1.7401309130170726</v>
      </c>
      <c r="N11" s="82">
        <f>Tendencial!R124</f>
        <v>1.4155396702730552</v>
      </c>
      <c r="O11" s="82">
        <f>Tendencial!S124</f>
        <v>1.5271258192396591</v>
      </c>
      <c r="P11" s="82">
        <f>Tendencial!T124</f>
        <v>1.8811000000000035</v>
      </c>
      <c r="Q11" s="82">
        <f>Tendencial!U124</f>
        <v>1.8830594791666702</v>
      </c>
      <c r="R11" s="82">
        <f>Tendencial!V124</f>
        <v>1.8850209994574687</v>
      </c>
      <c r="S11" s="82">
        <f>Tendencial!W124</f>
        <v>1.8869845629985702</v>
      </c>
      <c r="T11" s="82">
        <f>Tendencial!X124</f>
        <v>1.8889501719183603</v>
      </c>
      <c r="U11" s="82">
        <f>Tendencial!Y124</f>
        <v>1.8909178283474419</v>
      </c>
      <c r="V11" s="82">
        <f>Tendencial!Z124</f>
        <v>1.8928875344186371</v>
      </c>
      <c r="W11" s="82">
        <f>Tendencial!AA124</f>
        <v>1.8948592922669898</v>
      </c>
      <c r="X11" s="82">
        <f>Tendencial!AB124</f>
        <v>1.8968331040297679</v>
      </c>
      <c r="Y11" s="82">
        <f>Tendencial!AC124</f>
        <v>1.8988089718464654</v>
      </c>
      <c r="Z11" s="82">
        <f>Tendencial!AD124</f>
        <v>1.9007868978588054</v>
      </c>
      <c r="AA11" s="82">
        <f>Tendencial!AE124</f>
        <v>1.9027668842107415</v>
      </c>
      <c r="AB11" s="82">
        <f>Tendencial!AF124</f>
        <v>1.9047489330484608</v>
      </c>
      <c r="AC11" s="82">
        <f>Tendencial!AG124</f>
        <v>1.9067330465203862</v>
      </c>
      <c r="AD11" s="82">
        <f>Tendencial!AH124</f>
        <v>1.9087192267771782</v>
      </c>
      <c r="AE11" s="82">
        <f>Tendencial!AI124</f>
        <v>1.9107074759717377</v>
      </c>
      <c r="AF11" s="82">
        <f>Tendencial!AJ124</f>
        <v>1.9126977962592082</v>
      </c>
      <c r="AG11" s="82">
        <f>Tendencial!AK124</f>
        <v>1.9146901897969781</v>
      </c>
      <c r="AH11" s="82">
        <f>Tendencial!AL124</f>
        <v>1.9166846587446833</v>
      </c>
      <c r="AI11" s="82">
        <f>Tendencial!AM124</f>
        <v>1.9186812052642088</v>
      </c>
      <c r="AJ11" s="82">
        <f>Tendencial!AN124</f>
        <v>1.9206798315196922</v>
      </c>
      <c r="AK11" s="82">
        <f>Tendencial!AO124</f>
        <v>1.9226805396775251</v>
      </c>
      <c r="AL11" s="82">
        <f>Tendencial!AP124</f>
        <v>1.9246833319063557</v>
      </c>
      <c r="AM11" s="82">
        <f>Tendencial!AQ124</f>
        <v>1.9266882103770913</v>
      </c>
      <c r="AN11" s="82">
        <f>Tendencial!AR124</f>
        <v>1.9286951772629006</v>
      </c>
      <c r="AO11" s="82">
        <f>Tendencial!AS124</f>
        <v>1.930704234739216</v>
      </c>
      <c r="AP11" s="82">
        <f>Tendencial!AT124</f>
        <v>1.932715384983736</v>
      </c>
      <c r="AQ11" s="82">
        <f>Tendencial!AU124</f>
        <v>1.9347286301764273</v>
      </c>
      <c r="AR11" s="82">
        <f>Tendencial!AV124</f>
        <v>1.9367439724995277</v>
      </c>
      <c r="AS11" s="82">
        <f>Tendencial!AW124</f>
        <v>1.938761414137548</v>
      </c>
      <c r="AT11" s="82">
        <f>Tendencial!AX124</f>
        <v>1.9407809572772745</v>
      </c>
      <c r="AU11" s="82">
        <f>Tendencial!AY124</f>
        <v>1.9428026041077715</v>
      </c>
      <c r="AV11" s="82">
        <f>Tendencial!AZ124</f>
        <v>1.9448263568203836</v>
      </c>
      <c r="AW11" s="82">
        <f>Tendencial!BA124</f>
        <v>1.9468522176087382</v>
      </c>
      <c r="AX11" s="82">
        <f>Tendencial!BB124</f>
        <v>1.9488801886687472</v>
      </c>
      <c r="AY11" s="82">
        <f>Tendencial!BC124</f>
        <v>1.9509102721986105</v>
      </c>
      <c r="AZ11" s="82">
        <f>Tendencial!BD124</f>
        <v>1.9529424703988172</v>
      </c>
      <c r="BA11" s="82">
        <f>Tendencial!BE124</f>
        <v>1.9549767854721491</v>
      </c>
      <c r="BB11" s="82">
        <f>Tendencial!BF124</f>
        <v>1.9570132196236825</v>
      </c>
      <c r="BC11" s="82">
        <f>Tendencial!BG124</f>
        <v>1.9590517750607903</v>
      </c>
      <c r="BD11" s="82">
        <f>Tendencial!BH124</f>
        <v>1.9610924539931451</v>
      </c>
      <c r="BE11" s="82">
        <f>Tendencial!BI124</f>
        <v>1.9631352586327213</v>
      </c>
      <c r="BF11" s="82">
        <f>Tendencial!BJ124</f>
        <v>1.9651801911937969</v>
      </c>
      <c r="BG11" s="82">
        <f>Tendencial!BK124</f>
        <v>1.9672272538929569</v>
      </c>
      <c r="BH11" s="82">
        <f>Tendencial!BL124</f>
        <v>1.9692764489490953</v>
      </c>
      <c r="BI11" s="82">
        <f>Tendencial!BM124</f>
        <v>1.9713277785834171</v>
      </c>
      <c r="BJ11" s="82">
        <f>Tendencial!BN124</f>
        <v>1.9733812450194415</v>
      </c>
      <c r="BK11" s="82">
        <f>Tendencial!BO124</f>
        <v>1.9754368504830033</v>
      </c>
    </row>
    <row r="12" spans="1:63" x14ac:dyDescent="0.3">
      <c r="A12" s="386"/>
      <c r="B12" t="s">
        <v>384</v>
      </c>
      <c r="C12" s="82">
        <f>Tendencial!G125</f>
        <v>0.75451915088664168</v>
      </c>
      <c r="D12" s="82">
        <f>Tendencial!H125</f>
        <v>0.86984045875205818</v>
      </c>
      <c r="E12" s="82">
        <f>Tendencial!I125</f>
        <v>0.62762476138532863</v>
      </c>
      <c r="F12" s="82">
        <f>Tendencial!J125</f>
        <v>0.78062719387311064</v>
      </c>
      <c r="G12" s="82">
        <f>Tendencial!K125</f>
        <v>0.97859439595774</v>
      </c>
      <c r="H12" s="82">
        <f>Tendencial!L125</f>
        <v>1.1661005267562643</v>
      </c>
      <c r="I12" s="82">
        <f>Tendencial!M125</f>
        <v>1.505259203606311</v>
      </c>
      <c r="J12" s="82">
        <f>Tendencial!N125</f>
        <v>1.2425064833242869</v>
      </c>
      <c r="K12" s="82">
        <f>Tendencial!O125</f>
        <v>1.4456936494957755</v>
      </c>
      <c r="L12" s="82">
        <f>Tendencial!P125</f>
        <v>1.5515429187441045</v>
      </c>
      <c r="M12" s="82">
        <f>Tendencial!Q125</f>
        <v>1.4557525951557093</v>
      </c>
      <c r="N12" s="82">
        <f>Tendencial!R125</f>
        <v>1.4921974083264409</v>
      </c>
      <c r="O12" s="82">
        <f>Tendencial!S125</f>
        <v>1.5130165472497585</v>
      </c>
      <c r="P12" s="82">
        <f>Tendencial!T125</f>
        <v>1.8078000000000145</v>
      </c>
      <c r="Q12" s="82">
        <f>Tendencial!U125</f>
        <v>1.8096831250000145</v>
      </c>
      <c r="R12" s="82">
        <f>Tendencial!V125</f>
        <v>1.8115682115885561</v>
      </c>
      <c r="S12" s="82">
        <f>Tendencial!W125</f>
        <v>1.8134552618089608</v>
      </c>
      <c r="T12" s="82">
        <f>Tendencial!X125</f>
        <v>1.8153442777066784</v>
      </c>
      <c r="U12" s="82">
        <f>Tendencial!Y125</f>
        <v>1.8172352613292895</v>
      </c>
      <c r="V12" s="82">
        <f>Tendencial!Z125</f>
        <v>1.8191282147265073</v>
      </c>
      <c r="W12" s="82">
        <f>Tendencial!AA125</f>
        <v>1.8210231399501806</v>
      </c>
      <c r="X12" s="82">
        <f>Tendencial!AB125</f>
        <v>1.8229200390542952</v>
      </c>
      <c r="Y12" s="82">
        <f>Tendencial!AC125</f>
        <v>1.8248189140949767</v>
      </c>
      <c r="Z12" s="82">
        <f>Tendencial!AD125</f>
        <v>1.8267197671304922</v>
      </c>
      <c r="AA12" s="82">
        <f>Tendencial!AE125</f>
        <v>1.8286226002212531</v>
      </c>
      <c r="AB12" s="82">
        <f>Tendencial!AF125</f>
        <v>1.8305274154298168</v>
      </c>
      <c r="AC12" s="82">
        <f>Tendencial!AG125</f>
        <v>1.8324342148208894</v>
      </c>
      <c r="AD12" s="82">
        <f>Tendencial!AH125</f>
        <v>1.8343430004613277</v>
      </c>
      <c r="AE12" s="82">
        <f>Tendencial!AI125</f>
        <v>1.8362537744201415</v>
      </c>
      <c r="AF12" s="82">
        <f>Tendencial!AJ125</f>
        <v>1.8381665387684958</v>
      </c>
      <c r="AG12" s="82">
        <f>Tendencial!AK125</f>
        <v>1.8400812955797128</v>
      </c>
      <c r="AH12" s="82">
        <f>Tendencial!AL125</f>
        <v>1.8419980469292749</v>
      </c>
      <c r="AI12" s="82">
        <f>Tendencial!AM125</f>
        <v>1.8439167948948261</v>
      </c>
      <c r="AJ12" s="82">
        <f>Tendencial!AN125</f>
        <v>1.8458375415561747</v>
      </c>
      <c r="AK12" s="82">
        <f>Tendencial!AO125</f>
        <v>1.8477602889952955</v>
      </c>
      <c r="AL12" s="82">
        <f>Tendencial!AP125</f>
        <v>1.8496850392963322</v>
      </c>
      <c r="AM12" s="82">
        <f>Tendencial!AQ125</f>
        <v>1.8516117945455992</v>
      </c>
      <c r="AN12" s="82">
        <f>Tendencial!AR125</f>
        <v>1.8535405568315841</v>
      </c>
      <c r="AO12" s="82">
        <f>Tendencial!AS125</f>
        <v>1.8554713282449502</v>
      </c>
      <c r="AP12" s="82">
        <f>Tendencial!AT125</f>
        <v>1.8574041108785386</v>
      </c>
      <c r="AQ12" s="82">
        <f>Tendencial!AU125</f>
        <v>1.8593389068273702</v>
      </c>
      <c r="AR12" s="82">
        <f>Tendencial!AV125</f>
        <v>1.8612757181886486</v>
      </c>
      <c r="AS12" s="82">
        <f>Tendencial!AW125</f>
        <v>1.8632145470617616</v>
      </c>
      <c r="AT12" s="82">
        <f>Tendencial!AX125</f>
        <v>1.8651553955482842</v>
      </c>
      <c r="AU12" s="82">
        <f>Tendencial!AY125</f>
        <v>1.8670982657519803</v>
      </c>
      <c r="AV12" s="82">
        <f>Tendencial!AZ125</f>
        <v>1.8690431597788053</v>
      </c>
      <c r="AW12" s="82">
        <f>Tendencial!BA125</f>
        <v>1.8709900797369081</v>
      </c>
      <c r="AX12" s="82">
        <f>Tendencial!BB125</f>
        <v>1.872939027736634</v>
      </c>
      <c r="AY12" s="82">
        <f>Tendencial!BC125</f>
        <v>1.8748900058905262</v>
      </c>
      <c r="AZ12" s="82">
        <f>Tendencial!BD125</f>
        <v>1.8768430163133287</v>
      </c>
      <c r="BA12" s="82">
        <f>Tendencial!BE125</f>
        <v>1.8787980611219883</v>
      </c>
      <c r="BB12" s="82">
        <f>Tendencial!BF125</f>
        <v>1.880755142435657</v>
      </c>
      <c r="BC12" s="82">
        <f>Tendencial!BG125</f>
        <v>1.8827142623756941</v>
      </c>
      <c r="BD12" s="82">
        <f>Tendencial!BH125</f>
        <v>1.8846754230656686</v>
      </c>
      <c r="BE12" s="82">
        <f>Tendencial!BI125</f>
        <v>1.8866386266313619</v>
      </c>
      <c r="BF12" s="82">
        <f>Tendencial!BJ125</f>
        <v>1.8886038752007694</v>
      </c>
      <c r="BG12" s="82">
        <f>Tendencial!BK125</f>
        <v>1.8905711709041035</v>
      </c>
      <c r="BH12" s="82">
        <f>Tendencial!BL125</f>
        <v>1.8925405158737951</v>
      </c>
      <c r="BI12" s="82">
        <f>Tendencial!BM125</f>
        <v>1.8945119122444969</v>
      </c>
      <c r="BJ12" s="82">
        <f>Tendencial!BN125</f>
        <v>1.8964853621530848</v>
      </c>
      <c r="BK12" s="82">
        <f>Tendencial!BO125</f>
        <v>1.8984608677386607</v>
      </c>
    </row>
    <row r="13" spans="1:63" x14ac:dyDescent="0.3">
      <c r="A13" s="386"/>
      <c r="B13" t="s">
        <v>385</v>
      </c>
      <c r="C13" s="82">
        <f>Tendencial!G126</f>
        <v>7.2170067804382718</v>
      </c>
      <c r="D13" s="82">
        <f>Tendencial!H126</f>
        <v>6.3185309765997699</v>
      </c>
      <c r="E13" s="82">
        <f>Tendencial!I126</f>
        <v>7.1299036786350793</v>
      </c>
      <c r="F13" s="82">
        <f>Tendencial!J126</f>
        <v>5.9774600170919303</v>
      </c>
      <c r="G13" s="82">
        <f>Tendencial!K126</f>
        <v>10.241910038862596</v>
      </c>
      <c r="H13" s="82">
        <f>Tendencial!L126</f>
        <v>9.9296321969458283</v>
      </c>
      <c r="I13" s="82">
        <f>Tendencial!M126</f>
        <v>10.765855704697987</v>
      </c>
      <c r="J13" s="82">
        <f>Tendencial!N126</f>
        <v>10.293925805136567</v>
      </c>
      <c r="K13" s="82">
        <f>Tendencial!O126</f>
        <v>9.9292230892816153</v>
      </c>
      <c r="L13" s="82">
        <f>Tendencial!P126</f>
        <v>10.374113475177305</v>
      </c>
      <c r="M13" s="82">
        <f>Tendencial!Q126</f>
        <v>11.860907539403675</v>
      </c>
      <c r="N13" s="82">
        <f>Tendencial!R126</f>
        <v>9.3249917952084029</v>
      </c>
      <c r="O13" s="82">
        <f>Tendencial!S126</f>
        <v>11.165104791856413</v>
      </c>
      <c r="P13" s="82">
        <f>Tendencial!T126</f>
        <v>12.049399999999878</v>
      </c>
      <c r="Q13" s="82">
        <f>Tendencial!U126</f>
        <v>12.06195145833321</v>
      </c>
      <c r="R13" s="82">
        <f>Tendencial!V126</f>
        <v>12.074515991102306</v>
      </c>
      <c r="S13" s="82">
        <f>Tendencial!W126</f>
        <v>12.08709361192637</v>
      </c>
      <c r="T13" s="82">
        <f>Tendencial!X126</f>
        <v>12.099684334438793</v>
      </c>
      <c r="U13" s="82">
        <f>Tendencial!Y126</f>
        <v>12.112288172287165</v>
      </c>
      <c r="V13" s="82">
        <f>Tendencial!Z126</f>
        <v>12.124905139133297</v>
      </c>
      <c r="W13" s="82">
        <f>Tendencial!AA126</f>
        <v>12.137535248653228</v>
      </c>
      <c r="X13" s="82">
        <f>Tendencial!AB126</f>
        <v>12.15017851453724</v>
      </c>
      <c r="Y13" s="82">
        <f>Tendencial!AC126</f>
        <v>12.162834950489883</v>
      </c>
      <c r="Z13" s="82">
        <f>Tendencial!AD126</f>
        <v>12.175504570229975</v>
      </c>
      <c r="AA13" s="82">
        <f>Tendencial!AE126</f>
        <v>12.188187387490631</v>
      </c>
      <c r="AB13" s="82">
        <f>Tendencial!AF126</f>
        <v>12.200883416019266</v>
      </c>
      <c r="AC13" s="82">
        <f>Tendencial!AG126</f>
        <v>12.213592669577618</v>
      </c>
      <c r="AD13" s="82">
        <f>Tendencial!AH126</f>
        <v>12.226315161941761</v>
      </c>
      <c r="AE13" s="82">
        <f>Tendencial!AI126</f>
        <v>12.239050906902117</v>
      </c>
      <c r="AF13" s="82">
        <f>Tendencial!AJ126</f>
        <v>12.251799918263472</v>
      </c>
      <c r="AG13" s="82">
        <f>Tendencial!AK126</f>
        <v>12.264562209844996</v>
      </c>
      <c r="AH13" s="82">
        <f>Tendencial!AL126</f>
        <v>12.27733779548025</v>
      </c>
      <c r="AI13" s="82">
        <f>Tendencial!AM126</f>
        <v>12.290126689017209</v>
      </c>
      <c r="AJ13" s="82">
        <f>Tendencial!AN126</f>
        <v>12.302928904318268</v>
      </c>
      <c r="AK13" s="82">
        <f>Tendencial!AO126</f>
        <v>12.315744455260266</v>
      </c>
      <c r="AL13" s="82">
        <f>Tendencial!AP126</f>
        <v>12.328573355734495</v>
      </c>
      <c r="AM13" s="82">
        <f>Tendencial!AQ126</f>
        <v>12.341415619646718</v>
      </c>
      <c r="AN13" s="82">
        <f>Tendencial!AR126</f>
        <v>12.354271260917182</v>
      </c>
      <c r="AO13" s="82">
        <f>Tendencial!AS126</f>
        <v>12.367140293480636</v>
      </c>
      <c r="AP13" s="82">
        <f>Tendencial!AT126</f>
        <v>12.380022731286344</v>
      </c>
      <c r="AQ13" s="82">
        <f>Tendencial!AU126</f>
        <v>12.3929185882981</v>
      </c>
      <c r="AR13" s="82">
        <f>Tendencial!AV126</f>
        <v>12.405827878494243</v>
      </c>
      <c r="AS13" s="82">
        <f>Tendencial!AW126</f>
        <v>12.418750615867674</v>
      </c>
      <c r="AT13" s="82">
        <f>Tendencial!AX126</f>
        <v>12.43168681442587</v>
      </c>
      <c r="AU13" s="82">
        <f>Tendencial!AY126</f>
        <v>12.444636488190897</v>
      </c>
      <c r="AV13" s="82">
        <f>Tendencial!AZ126</f>
        <v>12.457599651199429</v>
      </c>
      <c r="AW13" s="82">
        <f>Tendencial!BA126</f>
        <v>12.470576317502761</v>
      </c>
      <c r="AX13" s="82">
        <f>Tendencial!BB126</f>
        <v>12.483566501166825</v>
      </c>
      <c r="AY13" s="82">
        <f>Tendencial!BC126</f>
        <v>12.496570216272206</v>
      </c>
      <c r="AZ13" s="82">
        <f>Tendencial!BD126</f>
        <v>12.509587476914156</v>
      </c>
      <c r="BA13" s="82">
        <f>Tendencial!BE126</f>
        <v>12.522618297202607</v>
      </c>
      <c r="BB13" s="82">
        <f>Tendencial!BF126</f>
        <v>12.535662691262193</v>
      </c>
      <c r="BC13" s="82">
        <f>Tendencial!BG126</f>
        <v>12.548720673232257</v>
      </c>
      <c r="BD13" s="82">
        <f>Tendencial!BH126</f>
        <v>12.561792257266873</v>
      </c>
      <c r="BE13" s="82">
        <f>Tendencial!BI126</f>
        <v>12.574877457534859</v>
      </c>
      <c r="BF13" s="82">
        <f>Tendencial!BJ126</f>
        <v>12.587976288219791</v>
      </c>
      <c r="BG13" s="82">
        <f>Tendencial!BK126</f>
        <v>12.601088763520019</v>
      </c>
      <c r="BH13" s="82">
        <f>Tendencial!BL126</f>
        <v>12.614214897648685</v>
      </c>
      <c r="BI13" s="82">
        <f>Tendencial!BM126</f>
        <v>12.627354704833735</v>
      </c>
      <c r="BJ13" s="82">
        <f>Tendencial!BN126</f>
        <v>12.640508199317935</v>
      </c>
      <c r="BK13" s="82">
        <f>Tendencial!BO126</f>
        <v>12.65367539535889</v>
      </c>
    </row>
    <row r="14" spans="1:63" x14ac:dyDescent="0.3">
      <c r="A14" s="386"/>
      <c r="B14" t="s">
        <v>386</v>
      </c>
      <c r="C14" s="82">
        <f>Tendencial!G127</f>
        <v>4.7410408126434112</v>
      </c>
      <c r="D14" s="82">
        <f>Tendencial!H127</f>
        <v>4.8532368074667938</v>
      </c>
      <c r="E14" s="82">
        <f>Tendencial!I127</f>
        <v>5.8565152380632375</v>
      </c>
      <c r="F14" s="82">
        <f>Tendencial!J127</f>
        <v>4.6757077331285606</v>
      </c>
      <c r="G14" s="82">
        <f>Tendencial!K127</f>
        <v>6.4872116979046277</v>
      </c>
      <c r="H14" s="82">
        <f>Tendencial!L127</f>
        <v>7.34537978395816</v>
      </c>
      <c r="I14" s="82">
        <f>Tendencial!M127</f>
        <v>5.8173798949099709</v>
      </c>
      <c r="J14" s="82">
        <f>Tendencial!N127</f>
        <v>7.1572330766544541</v>
      </c>
      <c r="K14" s="82">
        <f>Tendencial!O127</f>
        <v>5.8907862560616735</v>
      </c>
      <c r="L14" s="82">
        <f>Tendencial!P127</f>
        <v>5.0618074550282515</v>
      </c>
      <c r="M14" s="82">
        <f>Tendencial!Q127</f>
        <v>5.5734874726479289</v>
      </c>
      <c r="N14" s="82">
        <f>Tendencial!R127</f>
        <v>6.6674589016658894</v>
      </c>
      <c r="O14" s="82">
        <f>Tendencial!S127</f>
        <v>9.8120761579853699</v>
      </c>
      <c r="P14" s="82">
        <f>Tendencial!T127</f>
        <v>7.6707999999999856</v>
      </c>
      <c r="Q14" s="82">
        <f>Tendencial!U127</f>
        <v>7.6947712499999863</v>
      </c>
      <c r="R14" s="82">
        <f>Tendencial!V127</f>
        <v>7.7188174101562366</v>
      </c>
      <c r="S14" s="82">
        <f>Tendencial!W127</f>
        <v>7.7429387145629756</v>
      </c>
      <c r="T14" s="82">
        <f>Tendencial!X127</f>
        <v>7.7671353980459852</v>
      </c>
      <c r="U14" s="82">
        <f>Tendencial!Y127</f>
        <v>7.791407696164879</v>
      </c>
      <c r="V14" s="82">
        <f>Tendencial!Z127</f>
        <v>7.8157558452153948</v>
      </c>
      <c r="W14" s="82">
        <f>Tendencial!AA127</f>
        <v>7.8401800822316936</v>
      </c>
      <c r="X14" s="82">
        <f>Tendencial!AB127</f>
        <v>7.8646806449886677</v>
      </c>
      <c r="Y14" s="82">
        <f>Tendencial!AC127</f>
        <v>7.8892577720042576</v>
      </c>
      <c r="Z14" s="82">
        <f>Tendencial!AD127</f>
        <v>7.9139117025417711</v>
      </c>
      <c r="AA14" s="82">
        <f>Tendencial!AE127</f>
        <v>7.9386426766122149</v>
      </c>
      <c r="AB14" s="82">
        <f>Tendencial!AF127</f>
        <v>7.9634509349766285</v>
      </c>
      <c r="AC14" s="82">
        <f>Tendencial!AG127</f>
        <v>7.9883367191484309</v>
      </c>
      <c r="AD14" s="82">
        <f>Tendencial!AH127</f>
        <v>8.0133002713957708</v>
      </c>
      <c r="AE14" s="82">
        <f>Tendencial!AI127</f>
        <v>8.0383418347438838</v>
      </c>
      <c r="AF14" s="82">
        <f>Tendencial!AJ127</f>
        <v>8.063461652977459</v>
      </c>
      <c r="AG14" s="82">
        <f>Tendencial!AK127</f>
        <v>8.0886599706430147</v>
      </c>
      <c r="AH14" s="82">
        <f>Tendencial!AL127</f>
        <v>8.1139370330512737</v>
      </c>
      <c r="AI14" s="82">
        <f>Tendencial!AM127</f>
        <v>8.1392930862795598</v>
      </c>
      <c r="AJ14" s="82">
        <f>Tendencial!AN127</f>
        <v>8.1647283771741836</v>
      </c>
      <c r="AK14" s="82">
        <f>Tendencial!AO127</f>
        <v>8.1902431533528528</v>
      </c>
      <c r="AL14" s="82">
        <f>Tendencial!AP127</f>
        <v>8.2158376632070809</v>
      </c>
      <c r="AM14" s="82">
        <f>Tendencial!AQ127</f>
        <v>8.2415121559046032</v>
      </c>
      <c r="AN14" s="82">
        <f>Tendencial!AR127</f>
        <v>8.2672668813918051</v>
      </c>
      <c r="AO14" s="82">
        <f>Tendencial!AS127</f>
        <v>8.2931020903961556</v>
      </c>
      <c r="AP14" s="82">
        <f>Tendencial!AT127</f>
        <v>8.3190180344286446</v>
      </c>
      <c r="AQ14" s="82">
        <f>Tendencial!AU127</f>
        <v>8.345014965786234</v>
      </c>
      <c r="AR14" s="82">
        <f>Tendencial!AV127</f>
        <v>8.3710931375543165</v>
      </c>
      <c r="AS14" s="82">
        <f>Tendencial!AW127</f>
        <v>8.3972528036091738</v>
      </c>
      <c r="AT14" s="82">
        <f>Tendencial!AX127</f>
        <v>8.4234942186204531</v>
      </c>
      <c r="AU14" s="82">
        <f>Tendencial!AY127</f>
        <v>8.4498176380536432</v>
      </c>
      <c r="AV14" s="82">
        <f>Tendencial!AZ127</f>
        <v>8.4762233181725612</v>
      </c>
      <c r="AW14" s="82">
        <f>Tendencial!BA127</f>
        <v>8.5027115160418507</v>
      </c>
      <c r="AX14" s="82">
        <f>Tendencial!BB127</f>
        <v>8.5292824895294821</v>
      </c>
      <c r="AY14" s="82">
        <f>Tendencial!BC127</f>
        <v>8.5559364973092613</v>
      </c>
      <c r="AZ14" s="82">
        <f>Tendencial!BD127</f>
        <v>8.5826737988633539</v>
      </c>
      <c r="BA14" s="82">
        <f>Tendencial!BE127</f>
        <v>8.6094946544848021</v>
      </c>
      <c r="BB14" s="82">
        <f>Tendencial!BF127</f>
        <v>8.6363993252800668</v>
      </c>
      <c r="BC14" s="82">
        <f>Tendencial!BG127</f>
        <v>8.6633880731715678</v>
      </c>
      <c r="BD14" s="82">
        <f>Tendencial!BH127</f>
        <v>8.6904611609002291</v>
      </c>
      <c r="BE14" s="82">
        <f>Tendencial!BI127</f>
        <v>8.7176188520280427</v>
      </c>
      <c r="BF14" s="82">
        <f>Tendencial!BJ127</f>
        <v>8.7448614109406311</v>
      </c>
      <c r="BG14" s="82">
        <f>Tendencial!BK127</f>
        <v>8.7721891028498202</v>
      </c>
      <c r="BH14" s="82">
        <f>Tendencial!BL127</f>
        <v>8.7996021937962254</v>
      </c>
      <c r="BI14" s="82">
        <f>Tendencial!BM127</f>
        <v>8.8271009506518396</v>
      </c>
      <c r="BJ14" s="82">
        <f>Tendencial!BN127</f>
        <v>8.8546856411226269</v>
      </c>
      <c r="BK14" s="82">
        <f>Tendencial!BO127</f>
        <v>8.8823565337511354</v>
      </c>
    </row>
    <row r="15" spans="1:63" x14ac:dyDescent="0.3">
      <c r="A15" s="386"/>
      <c r="B15" t="s">
        <v>387</v>
      </c>
      <c r="C15" s="82">
        <f>Tendencial!G128</f>
        <v>20.08933933933934</v>
      </c>
      <c r="D15" s="82">
        <f>Tendencial!H128</f>
        <v>22.881238155401139</v>
      </c>
      <c r="E15" s="82">
        <f>Tendencial!I128</f>
        <v>20.460188495287618</v>
      </c>
      <c r="F15" s="82">
        <f>Tendencial!J128</f>
        <v>9.9026415094339626</v>
      </c>
      <c r="G15" s="82">
        <f>Tendencial!K128</f>
        <v>19.127611168562563</v>
      </c>
      <c r="H15" s="82">
        <f>Tendencial!L128</f>
        <v>17.659816024746032</v>
      </c>
      <c r="I15" s="82">
        <f>Tendencial!M128</f>
        <v>9.779784178307743</v>
      </c>
      <c r="J15" s="82">
        <f>Tendencial!N128</f>
        <v>11.232907118992863</v>
      </c>
      <c r="K15" s="82">
        <f>Tendencial!O128</f>
        <v>11.381865046571704</v>
      </c>
      <c r="L15" s="82">
        <f>Tendencial!P128</f>
        <v>12.922222196437646</v>
      </c>
      <c r="M15" s="82">
        <f>Tendencial!Q128</f>
        <v>14.344512787640847</v>
      </c>
      <c r="N15" s="82">
        <f>Tendencial!R128</f>
        <v>14.623969180071411</v>
      </c>
      <c r="O15" s="82">
        <f>Tendencial!S128</f>
        <v>13.371425940489321</v>
      </c>
      <c r="P15" s="82">
        <f>Tendencial!T128</f>
        <v>10.571800000000167</v>
      </c>
      <c r="Q15" s="82">
        <f>Tendencial!U128</f>
        <v>10.615849166666834</v>
      </c>
      <c r="R15" s="82">
        <f>Tendencial!V128</f>
        <v>10.660081871527945</v>
      </c>
      <c r="S15" s="82">
        <f>Tendencial!W128</f>
        <v>10.704498879325978</v>
      </c>
      <c r="T15" s="82">
        <f>Tendencial!X128</f>
        <v>10.749100957989837</v>
      </c>
      <c r="U15" s="82">
        <f>Tendencial!Y128</f>
        <v>10.793888878648128</v>
      </c>
      <c r="V15" s="82">
        <f>Tendencial!Z128</f>
        <v>10.838863415642495</v>
      </c>
      <c r="W15" s="82">
        <f>Tendencial!AA128</f>
        <v>10.884025346541005</v>
      </c>
      <c r="X15" s="82">
        <f>Tendencial!AB128</f>
        <v>10.929375452151593</v>
      </c>
      <c r="Y15" s="82">
        <f>Tendencial!AC128</f>
        <v>10.974914516535557</v>
      </c>
      <c r="Z15" s="82">
        <f>Tendencial!AD128</f>
        <v>11.020643327021123</v>
      </c>
      <c r="AA15" s="82">
        <f>Tendencial!AE128</f>
        <v>11.066562674217044</v>
      </c>
      <c r="AB15" s="82">
        <f>Tendencial!AF128</f>
        <v>11.112673352026281</v>
      </c>
      <c r="AC15" s="82">
        <f>Tendencial!AG128</f>
        <v>11.158976157659724</v>
      </c>
      <c r="AD15" s="82">
        <f>Tendencial!AH128</f>
        <v>11.205471891649973</v>
      </c>
      <c r="AE15" s="82">
        <f>Tendencial!AI128</f>
        <v>11.25216135786518</v>
      </c>
      <c r="AF15" s="82">
        <f>Tendencial!AJ128</f>
        <v>11.299045363522952</v>
      </c>
      <c r="AG15" s="82">
        <f>Tendencial!AK128</f>
        <v>11.346124719204298</v>
      </c>
      <c r="AH15" s="82">
        <f>Tendencial!AL128</f>
        <v>11.393400238867649</v>
      </c>
      <c r="AI15" s="82">
        <f>Tendencial!AM128</f>
        <v>11.440872739862931</v>
      </c>
      <c r="AJ15" s="82">
        <f>Tendencial!AN128</f>
        <v>11.488543042945693</v>
      </c>
      <c r="AK15" s="82">
        <f>Tendencial!AO128</f>
        <v>11.536411972291299</v>
      </c>
      <c r="AL15" s="82">
        <f>Tendencial!AP128</f>
        <v>11.584480355509179</v>
      </c>
      <c r="AM15" s="82">
        <f>Tendencial!AQ128</f>
        <v>11.632749023657134</v>
      </c>
      <c r="AN15" s="82">
        <f>Tendencial!AR128</f>
        <v>11.681218811255706</v>
      </c>
      <c r="AO15" s="82">
        <f>Tendencial!AS128</f>
        <v>11.729890556302605</v>
      </c>
      <c r="AP15" s="82">
        <f>Tendencial!AT128</f>
        <v>11.778765100287199</v>
      </c>
      <c r="AQ15" s="82">
        <f>Tendencial!AU128</f>
        <v>11.827843288205061</v>
      </c>
      <c r="AR15" s="82">
        <f>Tendencial!AV128</f>
        <v>11.877125968572582</v>
      </c>
      <c r="AS15" s="82">
        <f>Tendencial!AW128</f>
        <v>11.926613993441634</v>
      </c>
      <c r="AT15" s="82">
        <f>Tendencial!AX128</f>
        <v>11.976308218414308</v>
      </c>
      <c r="AU15" s="82">
        <f>Tendencial!AY128</f>
        <v>12.026209502657702</v>
      </c>
      <c r="AV15" s="82">
        <f>Tendencial!AZ128</f>
        <v>12.076318708918775</v>
      </c>
      <c r="AW15" s="82">
        <f>Tendencial!BA128</f>
        <v>12.126636703539269</v>
      </c>
      <c r="AX15" s="82">
        <f>Tendencial!BB128</f>
        <v>12.177164356470682</v>
      </c>
      <c r="AY15" s="82">
        <f>Tendencial!BC128</f>
        <v>12.227902541289309</v>
      </c>
      <c r="AZ15" s="82">
        <f>Tendencial!BD128</f>
        <v>12.278852135211347</v>
      </c>
      <c r="BA15" s="82">
        <f>Tendencial!BE128</f>
        <v>12.330014019108061</v>
      </c>
      <c r="BB15" s="82">
        <f>Tendencial!BF128</f>
        <v>12.38138907752101</v>
      </c>
      <c r="BC15" s="82">
        <f>Tendencial!BG128</f>
        <v>12.432978198677349</v>
      </c>
      <c r="BD15" s="82">
        <f>Tendencial!BH128</f>
        <v>12.484782274505172</v>
      </c>
      <c r="BE15" s="82">
        <f>Tendencial!BI128</f>
        <v>12.536802200648943</v>
      </c>
      <c r="BF15" s="82">
        <f>Tendencial!BJ128</f>
        <v>12.589038876484979</v>
      </c>
      <c r="BG15" s="82">
        <f>Tendencial!BK128</f>
        <v>12.641493205136999</v>
      </c>
      <c r="BH15" s="82">
        <f>Tendencial!BL128</f>
        <v>12.694166093491736</v>
      </c>
      <c r="BI15" s="82">
        <f>Tendencial!BM128</f>
        <v>12.747058452214619</v>
      </c>
      <c r="BJ15" s="82">
        <f>Tendencial!BN128</f>
        <v>12.800171195765513</v>
      </c>
      <c r="BK15" s="82">
        <f>Tendencial!BO128</f>
        <v>12.853505242414535</v>
      </c>
    </row>
    <row r="16" spans="1:63" x14ac:dyDescent="0.3">
      <c r="A16" s="386"/>
      <c r="B16" t="s">
        <v>388</v>
      </c>
      <c r="C16" s="82">
        <f>Tendencial!G129</f>
        <v>0</v>
      </c>
      <c r="D16" s="82">
        <f>Tendencial!H129</f>
        <v>0</v>
      </c>
      <c r="E16" s="82">
        <f>Tendencial!I129</f>
        <v>0</v>
      </c>
      <c r="F16" s="82">
        <f>Tendencial!J129</f>
        <v>0</v>
      </c>
      <c r="G16" s="82">
        <f>Tendencial!K129</f>
        <v>71.313941598573763</v>
      </c>
      <c r="H16" s="82">
        <f>Tendencial!L129</f>
        <v>77.600192829050854</v>
      </c>
      <c r="I16" s="82">
        <f>Tendencial!M129</f>
        <v>63.930904968869726</v>
      </c>
      <c r="J16" s="82">
        <f>Tendencial!N129</f>
        <v>68.002762025316457</v>
      </c>
      <c r="K16" s="82">
        <f>Tendencial!O129</f>
        <v>72.656153620689651</v>
      </c>
      <c r="L16" s="82">
        <f>Tendencial!P129</f>
        <v>60.822164783012298</v>
      </c>
      <c r="M16" s="82">
        <f>Tendencial!Q129</f>
        <v>79.535751217038523</v>
      </c>
      <c r="N16" s="82">
        <f>Tendencial!R129</f>
        <v>63.011435803532962</v>
      </c>
      <c r="O16" s="82">
        <f>Tendencial!S129</f>
        <v>47.752700636522462</v>
      </c>
      <c r="P16" s="82">
        <f>Tendencial!T129</f>
        <v>57.706900000000132</v>
      </c>
      <c r="Q16" s="82">
        <f>Tendencial!U129</f>
        <v>58.0014456354168</v>
      </c>
      <c r="R16" s="82">
        <f>Tendencial!V129</f>
        <v>58.297494680847578</v>
      </c>
      <c r="S16" s="82">
        <f>Tendencial!W129</f>
        <v>58.59505480994774</v>
      </c>
      <c r="T16" s="82">
        <f>Tendencial!X129</f>
        <v>58.89413373554018</v>
      </c>
      <c r="U16" s="82">
        <f>Tendencial!Y129</f>
        <v>59.194739209815332</v>
      </c>
      <c r="V16" s="82">
        <f>Tendencial!Z129</f>
        <v>59.496879024532099</v>
      </c>
      <c r="W16" s="82">
        <f>Tendencial!AA129</f>
        <v>59.800561011219813</v>
      </c>
      <c r="X16" s="82">
        <f>Tendencial!AB129</f>
        <v>60.105793041381247</v>
      </c>
      <c r="Y16" s="82">
        <f>Tendencial!AC129</f>
        <v>60.41258302669663</v>
      </c>
      <c r="Z16" s="82">
        <f>Tendencial!AD129</f>
        <v>60.720938919228729</v>
      </c>
      <c r="AA16" s="82">
        <f>Tendencial!AE129</f>
        <v>61.030868711628962</v>
      </c>
      <c r="AB16" s="82">
        <f>Tendencial!AF129</f>
        <v>61.342380437344566</v>
      </c>
      <c r="AC16" s="82">
        <f>Tendencial!AG129</f>
        <v>61.655482170826851</v>
      </c>
      <c r="AD16" s="82">
        <f>Tendencial!AH129</f>
        <v>61.970182027740449</v>
      </c>
      <c r="AE16" s="82">
        <f>Tendencial!AI129</f>
        <v>62.286488165173708</v>
      </c>
      <c r="AF16" s="82">
        <f>Tendencial!AJ129</f>
        <v>62.604408781850118</v>
      </c>
      <c r="AG16" s="82">
        <f>Tendencial!AK129</f>
        <v>62.923952118340814</v>
      </c>
      <c r="AH16" s="82">
        <f>Tendencial!AL129</f>
        <v>63.245126457278182</v>
      </c>
      <c r="AI16" s="82">
        <f>Tendencial!AM129</f>
        <v>63.567940123570544</v>
      </c>
      <c r="AJ16" s="82">
        <f>Tendencial!AN129</f>
        <v>63.892401484617935</v>
      </c>
      <c r="AK16" s="82">
        <f>Tendencial!AO129</f>
        <v>64.218518950529003</v>
      </c>
      <c r="AL16" s="82">
        <f>Tendencial!AP129</f>
        <v>64.54630097433899</v>
      </c>
      <c r="AM16" s="82">
        <f>Tendencial!AQ129</f>
        <v>64.875756052228851</v>
      </c>
      <c r="AN16" s="82">
        <f>Tendencial!AR129</f>
        <v>65.20689272374544</v>
      </c>
      <c r="AO16" s="82">
        <f>Tendencial!AS129</f>
        <v>65.539719572022889</v>
      </c>
      <c r="AP16" s="82">
        <f>Tendencial!AT129</f>
        <v>65.874245224005094</v>
      </c>
      <c r="AQ16" s="82">
        <f>Tendencial!AU129</f>
        <v>66.210478350669291</v>
      </c>
      <c r="AR16" s="82">
        <f>Tendencial!AV129</f>
        <v>66.548427667250834</v>
      </c>
      <c r="AS16" s="82">
        <f>Tendencial!AW129</f>
        <v>66.888101933469102</v>
      </c>
      <c r="AT16" s="82">
        <f>Tendencial!AX129</f>
        <v>67.229509953754516</v>
      </c>
      <c r="AU16" s="82">
        <f>Tendencial!AY129</f>
        <v>67.57266057747681</v>
      </c>
      <c r="AV16" s="82">
        <f>Tendencial!AZ129</f>
        <v>67.917562699174354</v>
      </c>
      <c r="AW16" s="82">
        <f>Tendencial!BA129</f>
        <v>68.26422525878472</v>
      </c>
      <c r="AX16" s="82">
        <f>Tendencial!BB129</f>
        <v>68.612657241876434</v>
      </c>
      <c r="AY16" s="82">
        <f>Tendencial!BC129</f>
        <v>68.962867679881853</v>
      </c>
      <c r="AZ16" s="82">
        <f>Tendencial!BD129</f>
        <v>69.314865650331257</v>
      </c>
      <c r="BA16" s="82">
        <f>Tendencial!BE129</f>
        <v>69.668660277088151</v>
      </c>
      <c r="BB16" s="82">
        <f>Tendencial!BF129</f>
        <v>70.024260730585794</v>
      </c>
      <c r="BC16" s="82">
        <f>Tendencial!BG129</f>
        <v>70.381676228064833</v>
      </c>
      <c r="BD16" s="82">
        <f>Tendencial!BH129</f>
        <v>70.740916033812255</v>
      </c>
      <c r="BE16" s="82">
        <f>Tendencial!BI129</f>
        <v>71.101989459401508</v>
      </c>
      <c r="BF16" s="82">
        <f>Tendencial!BJ129</f>
        <v>71.464905863933865</v>
      </c>
      <c r="BG16" s="82">
        <f>Tendencial!BK129</f>
        <v>71.829674654281035</v>
      </c>
      <c r="BH16" s="82">
        <f>Tendencial!BL129</f>
        <v>72.196305285328933</v>
      </c>
      <c r="BI16" s="82">
        <f>Tendencial!BM129</f>
        <v>72.564807260222807</v>
      </c>
      <c r="BJ16" s="82">
        <f>Tendencial!BN129</f>
        <v>72.935190130613535</v>
      </c>
      <c r="BK16" s="82">
        <f>Tendencial!BO129</f>
        <v>73.307463496905214</v>
      </c>
    </row>
    <row r="17" spans="1:63" x14ac:dyDescent="0.3">
      <c r="A17" s="386"/>
      <c r="B17" t="s">
        <v>389</v>
      </c>
      <c r="C17" s="82">
        <f>Tendencial!G238</f>
        <v>4.3399451081938354</v>
      </c>
      <c r="D17" s="82">
        <f>Tendencial!H238</f>
        <v>4.4791927432968537</v>
      </c>
      <c r="E17" s="82">
        <f>Tendencial!I238</f>
        <v>4.2178381873535038</v>
      </c>
      <c r="F17" s="82">
        <f>Tendencial!J238</f>
        <v>3.8209693273180934</v>
      </c>
      <c r="G17" s="82">
        <f>Tendencial!K238</f>
        <v>3.8966781123636114</v>
      </c>
      <c r="H17" s="82">
        <f>Tendencial!L238</f>
        <v>4.4060733051287997</v>
      </c>
      <c r="I17" s="82">
        <f>Tendencial!M238</f>
        <v>4.190502848217065</v>
      </c>
      <c r="J17" s="82">
        <f>Tendencial!N238</f>
        <v>2.9785367215861491</v>
      </c>
      <c r="K17" s="82">
        <f>Tendencial!O238</f>
        <v>4.5259874353834082</v>
      </c>
      <c r="L17" s="82">
        <f>Tendencial!P238</f>
        <v>4.2743933486996308</v>
      </c>
      <c r="M17" s="82">
        <f>Tendencial!Q238</f>
        <v>4.2716667305897547</v>
      </c>
      <c r="N17" s="82">
        <f>Tendencial!R238</f>
        <v>4.4205054058263613</v>
      </c>
      <c r="O17" s="82">
        <f>Tendencial!S238</f>
        <v>4.5880063438264829</v>
      </c>
      <c r="P17" s="82">
        <f>Tendencial!T238</f>
        <v>4.2968999999999973</v>
      </c>
      <c r="Q17" s="82">
        <f>Tendencial!U238</f>
        <v>4.3282315624999974</v>
      </c>
      <c r="R17" s="82">
        <f>Tendencial!V238</f>
        <v>4.3597915843098933</v>
      </c>
      <c r="S17" s="82">
        <f>Tendencial!W238</f>
        <v>4.3915817312788201</v>
      </c>
      <c r="T17" s="82">
        <f>Tendencial!X238</f>
        <v>4.423603681402728</v>
      </c>
      <c r="U17" s="82">
        <f>Tendencial!Y238</f>
        <v>4.4558591249129567</v>
      </c>
      <c r="V17" s="82">
        <f>Tendencial!Z238</f>
        <v>4.4883497643654469</v>
      </c>
      <c r="W17" s="82">
        <f>Tendencial!AA238</f>
        <v>4.5210773147306114</v>
      </c>
      <c r="X17" s="82">
        <f>Tendencial!AB238</f>
        <v>4.5540435034838556</v>
      </c>
      <c r="Y17" s="82">
        <f>Tendencial!AC238</f>
        <v>4.5872500706967587</v>
      </c>
      <c r="Z17" s="82">
        <f>Tendencial!AD238</f>
        <v>4.6206987691289223</v>
      </c>
      <c r="AA17" s="82">
        <f>Tendencial!AE238</f>
        <v>4.6543913643204871</v>
      </c>
      <c r="AB17" s="82">
        <f>Tendencial!AF238</f>
        <v>4.6883296346853243</v>
      </c>
      <c r="AC17" s="82">
        <f>Tendencial!AG238</f>
        <v>4.7225153716049046</v>
      </c>
      <c r="AD17" s="82">
        <f>Tendencial!AH238</f>
        <v>4.7569503795228574</v>
      </c>
      <c r="AE17" s="82">
        <f>Tendencial!AI238</f>
        <v>4.7916364760402113</v>
      </c>
      <c r="AF17" s="82">
        <f>Tendencial!AJ238</f>
        <v>4.8265754920113375</v>
      </c>
      <c r="AG17" s="82">
        <f>Tendencial!AK238</f>
        <v>4.8617692716405871</v>
      </c>
      <c r="AH17" s="82">
        <f>Tendencial!AL238</f>
        <v>4.8972196725796335</v>
      </c>
      <c r="AI17" s="82">
        <f>Tendencial!AM238</f>
        <v>4.9329285660255264</v>
      </c>
      <c r="AJ17" s="82">
        <f>Tendencial!AN238</f>
        <v>4.9688978368194627</v>
      </c>
      <c r="AK17" s="82">
        <f>Tendencial!AO238</f>
        <v>5.0051293835462713</v>
      </c>
      <c r="AL17" s="82">
        <f>Tendencial!AP238</f>
        <v>5.0416251186346299</v>
      </c>
      <c r="AM17" s="82">
        <f>Tendencial!AQ238</f>
        <v>5.0783869684580072</v>
      </c>
      <c r="AN17" s="82">
        <f>Tendencial!AR238</f>
        <v>5.115416873436347</v>
      </c>
      <c r="AO17" s="82">
        <f>Tendencial!AS238</f>
        <v>5.1527167881384868</v>
      </c>
      <c r="AP17" s="82">
        <f>Tendencial!AT238</f>
        <v>5.1902886813853302</v>
      </c>
      <c r="AQ17" s="82">
        <f>Tendencial!AU238</f>
        <v>5.2281345363537648</v>
      </c>
      <c r="AR17" s="82">
        <f>Tendencial!AV238</f>
        <v>5.2662563506813447</v>
      </c>
      <c r="AS17" s="82">
        <f>Tendencial!AW238</f>
        <v>5.3046561365717295</v>
      </c>
      <c r="AT17" s="82">
        <f>Tendencial!AX238</f>
        <v>5.3433359209008984</v>
      </c>
      <c r="AU17" s="82">
        <f>Tendencial!AY238</f>
        <v>5.3822977453241343</v>
      </c>
      <c r="AV17" s="82">
        <f>Tendencial!AZ238</f>
        <v>5.4215436663837897</v>
      </c>
      <c r="AW17" s="82">
        <f>Tendencial!BA238</f>
        <v>5.4610757556178386</v>
      </c>
      <c r="AX17" s="82">
        <f>Tendencial!BB238</f>
        <v>5.5008960996692187</v>
      </c>
      <c r="AY17" s="82">
        <f>Tendencial!BC238</f>
        <v>5.5410068003959738</v>
      </c>
      <c r="AZ17" s="82">
        <f>Tendencial!BD238</f>
        <v>5.5814099749821944</v>
      </c>
      <c r="BA17" s="82">
        <f>Tendencial!BE238</f>
        <v>5.6221077560497728</v>
      </c>
      <c r="BB17" s="82">
        <f>Tendencial!BF238</f>
        <v>5.6631022917709695</v>
      </c>
      <c r="BC17" s="82">
        <f>Tendencial!BG238</f>
        <v>5.7043957459817998</v>
      </c>
      <c r="BD17" s="82">
        <f>Tendencial!BH238</f>
        <v>5.7459902982962507</v>
      </c>
      <c r="BE17" s="82">
        <f>Tendencial!BI238</f>
        <v>5.7878881442213279</v>
      </c>
      <c r="BF17" s="82">
        <f>Tendencial!BJ238</f>
        <v>5.8300914952729421</v>
      </c>
      <c r="BG17" s="82">
        <f>Tendencial!BK238</f>
        <v>5.8726025790926411</v>
      </c>
      <c r="BH17" s="82">
        <f>Tendencial!BL238</f>
        <v>5.9154236395651916</v>
      </c>
      <c r="BI17" s="82">
        <f>Tendencial!BM238</f>
        <v>5.958556936937021</v>
      </c>
      <c r="BJ17" s="82">
        <f>Tendencial!BN238</f>
        <v>6.0020047479355201</v>
      </c>
      <c r="BK17" s="82">
        <f>Tendencial!BO238</f>
        <v>6.0457693658892167</v>
      </c>
    </row>
    <row r="18" spans="1:63" x14ac:dyDescent="0.3">
      <c r="C18" s="277"/>
      <c r="D18" s="277"/>
      <c r="E18" s="277"/>
      <c r="F18" s="277"/>
      <c r="G18" s="277"/>
      <c r="H18" s="356"/>
      <c r="I18" s="356"/>
      <c r="J18" s="356"/>
    </row>
    <row r="19" spans="1:63" x14ac:dyDescent="0.3">
      <c r="A19" s="386" t="s">
        <v>390</v>
      </c>
      <c r="B19" t="s">
        <v>391</v>
      </c>
      <c r="C19" s="82">
        <f t="shared" ref="C19:J19" si="0">C3</f>
        <v>36.777975116741715</v>
      </c>
      <c r="D19" s="82">
        <f t="shared" si="0"/>
        <v>38.691774364103281</v>
      </c>
      <c r="E19" s="82">
        <f t="shared" si="0"/>
        <v>33.250087721793889</v>
      </c>
      <c r="F19" s="82">
        <f t="shared" si="0"/>
        <v>31.779871513532424</v>
      </c>
      <c r="G19" s="82">
        <f t="shared" si="0"/>
        <v>37.091561283393744</v>
      </c>
      <c r="H19" s="82">
        <f t="shared" si="0"/>
        <v>38.786294605070921</v>
      </c>
      <c r="I19" s="82">
        <f t="shared" si="0"/>
        <v>36.208188003571095</v>
      </c>
      <c r="J19" s="82">
        <f t="shared" si="0"/>
        <v>39.745819546113111</v>
      </c>
      <c r="K19" s="82">
        <f>K3</f>
        <v>40.26187779655038</v>
      </c>
      <c r="L19" s="82">
        <f t="shared" ref="L19:O19" si="1">L3</f>
        <v>35.907197827071073</v>
      </c>
      <c r="M19" s="82">
        <f t="shared" si="1"/>
        <v>40.743049243603316</v>
      </c>
      <c r="N19" s="82">
        <f t="shared" si="1"/>
        <v>40.740567388853336</v>
      </c>
      <c r="O19" s="82">
        <f t="shared" si="1"/>
        <v>36.281746884400519</v>
      </c>
      <c r="P19" s="82">
        <f t="shared" ref="P19" si="2">P3</f>
        <v>39.694399999999973</v>
      </c>
      <c r="Q19" s="84">
        <f>'CC70 - Valores'!G3</f>
        <v>39.694399999999973</v>
      </c>
      <c r="R19" s="84">
        <f>'CC70 - Valores'!H3</f>
        <v>39.914399999999972</v>
      </c>
      <c r="S19" s="84">
        <f>'CC70 - Valores'!I3</f>
        <v>40.134399999999971</v>
      </c>
      <c r="T19" s="84">
        <f>'CC70 - Valores'!J3</f>
        <v>40.35439999999997</v>
      </c>
      <c r="U19" s="84">
        <f>'CC70 - Valores'!K3</f>
        <v>40.574399999999969</v>
      </c>
      <c r="V19" s="84">
        <f>'CC70 - Valores'!L3</f>
        <v>40.794399999999968</v>
      </c>
      <c r="W19" s="84">
        <f>'CC70 - Valores'!M3</f>
        <v>41.014399999999966</v>
      </c>
      <c r="X19" s="84">
        <f>'CC70 - Valores'!N3</f>
        <v>41.234399999999965</v>
      </c>
      <c r="Y19" s="84">
        <f>'CC70 - Valores'!O3</f>
        <v>41.454399999999964</v>
      </c>
      <c r="Z19" s="84">
        <f>'CC70 - Valores'!P3</f>
        <v>41.674399999999963</v>
      </c>
      <c r="AA19" s="84">
        <f>'CC70 - Valores'!Q3</f>
        <v>41.894399999999962</v>
      </c>
      <c r="AB19" s="84">
        <f>'CC70 - Valores'!R3</f>
        <v>42.114399999999961</v>
      </c>
      <c r="AC19" s="84">
        <f>'CC70 - Valores'!S3</f>
        <v>42.33439999999996</v>
      </c>
      <c r="AD19" s="84">
        <f>'CC70 - Valores'!T3</f>
        <v>42.554399999999958</v>
      </c>
      <c r="AE19" s="84">
        <f>'CC70 - Valores'!U3</f>
        <v>42.774399999999957</v>
      </c>
      <c r="AF19" s="84">
        <f>'CC70 - Valores'!V3</f>
        <v>42.994399999999956</v>
      </c>
      <c r="AG19" s="84">
        <f>'CC70 - Valores'!W3</f>
        <v>42.994399999999956</v>
      </c>
      <c r="AH19" s="84">
        <f>'CC70 - Valores'!X3</f>
        <v>42.994399999999956</v>
      </c>
      <c r="AI19" s="84">
        <f>'CC70 - Valores'!Y3</f>
        <v>42.994399999999956</v>
      </c>
      <c r="AJ19" s="84">
        <f>'CC70 - Valores'!Z3</f>
        <v>42.994399999999956</v>
      </c>
      <c r="AK19" s="84">
        <f>'CC70 - Valores'!AA3</f>
        <v>42.994399999999956</v>
      </c>
      <c r="AL19" s="84">
        <f>'CC70 - Valores'!AB3</f>
        <v>42.994399999999956</v>
      </c>
      <c r="AM19" s="84">
        <f>'CC70 - Valores'!AC3</f>
        <v>42.994399999999956</v>
      </c>
      <c r="AN19" s="84">
        <f>'CC70 - Valores'!AD3</f>
        <v>42.994399999999956</v>
      </c>
      <c r="AO19" s="84">
        <f>'CC70 - Valores'!AE3</f>
        <v>42.994399999999956</v>
      </c>
      <c r="AP19" s="84">
        <f>'CC70 - Valores'!AF3</f>
        <v>42.994399999999956</v>
      </c>
      <c r="AQ19" s="84">
        <f>'CC70 - Valores'!AG3</f>
        <v>42.994399999999956</v>
      </c>
      <c r="AR19" s="84">
        <f>'CC70 - Valores'!AH3</f>
        <v>42.994399999999956</v>
      </c>
      <c r="AS19" s="84">
        <f>'CC70 - Valores'!AI3</f>
        <v>42.994399999999956</v>
      </c>
      <c r="AT19" s="84">
        <f>'CC70 - Valores'!AJ3</f>
        <v>42.994399999999956</v>
      </c>
      <c r="AU19" s="84">
        <f>'CC70 - Valores'!AK3</f>
        <v>42.994399999999956</v>
      </c>
      <c r="AV19" s="84">
        <f>'CC70 - Valores'!AL3</f>
        <v>42.994399999999956</v>
      </c>
      <c r="AW19" s="84">
        <f>'CC70 - Valores'!AM3</f>
        <v>42.994399999999956</v>
      </c>
      <c r="AX19" s="84">
        <f>'CC70 - Valores'!AN3</f>
        <v>42.994399999999956</v>
      </c>
      <c r="AY19" s="84">
        <f>'CC70 - Valores'!AO3</f>
        <v>42.994399999999956</v>
      </c>
      <c r="AZ19" s="84">
        <f>'CC70 - Valores'!AP3</f>
        <v>42.994399999999956</v>
      </c>
      <c r="BA19" s="84">
        <f>'CC70 - Valores'!AQ3</f>
        <v>42.994399999999956</v>
      </c>
      <c r="BB19" s="84">
        <f>'CC70 - Valores'!AR3</f>
        <v>42.994399999999956</v>
      </c>
      <c r="BC19" s="84">
        <f>'CC70 - Valores'!AS3</f>
        <v>42.994399999999956</v>
      </c>
      <c r="BD19" s="84">
        <f>'CC70 - Valores'!AT3</f>
        <v>42.994399999999956</v>
      </c>
      <c r="BE19" s="84">
        <f>'CC70 - Valores'!AU3</f>
        <v>42.994399999999956</v>
      </c>
      <c r="BF19" s="84">
        <f>'CC70 - Valores'!AV3</f>
        <v>42.994399999999956</v>
      </c>
      <c r="BG19" s="84">
        <f>'CC70 - Valores'!AW3</f>
        <v>42.994399999999956</v>
      </c>
      <c r="BH19" s="84">
        <f>'CC70 - Valores'!AX3</f>
        <v>42.994399999999956</v>
      </c>
      <c r="BI19" s="84">
        <f>'CC70 - Valores'!AY3</f>
        <v>42.994399999999956</v>
      </c>
      <c r="BJ19" s="84">
        <f>'CC70 - Valores'!AZ3</f>
        <v>42.994399999999956</v>
      </c>
      <c r="BK19" s="84">
        <f>'CC70 - Valores'!BA3</f>
        <v>42.994399999999956</v>
      </c>
    </row>
    <row r="20" spans="1:63" x14ac:dyDescent="0.3">
      <c r="A20" s="386"/>
      <c r="B20" t="s">
        <v>376</v>
      </c>
      <c r="C20" s="82">
        <f t="shared" ref="C20:J20" si="3">C4</f>
        <v>0.36691896396083606</v>
      </c>
      <c r="D20" s="82">
        <f t="shared" si="3"/>
        <v>0.5611552393564424</v>
      </c>
      <c r="E20" s="82">
        <f t="shared" si="3"/>
        <v>0.34169964323792335</v>
      </c>
      <c r="F20" s="82">
        <f t="shared" si="3"/>
        <v>0.31917283330931284</v>
      </c>
      <c r="G20" s="82">
        <f t="shared" si="3"/>
        <v>0.41921763002600387</v>
      </c>
      <c r="H20" s="82">
        <f t="shared" si="3"/>
        <v>0.4170203705675154</v>
      </c>
      <c r="I20" s="82">
        <f t="shared" si="3"/>
        <v>0.3908602399082457</v>
      </c>
      <c r="J20" s="82">
        <f t="shared" si="3"/>
        <v>0.44070854027265705</v>
      </c>
      <c r="K20" s="82">
        <f t="shared" ref="K20:O33" si="4">K4</f>
        <v>0.46853670684331106</v>
      </c>
      <c r="L20" s="82">
        <f t="shared" si="4"/>
        <v>0.53989551514459444</v>
      </c>
      <c r="M20" s="82">
        <f t="shared" si="4"/>
        <v>0.62179741233002173</v>
      </c>
      <c r="N20" s="82">
        <f t="shared" si="4"/>
        <v>0.55578266460858028</v>
      </c>
      <c r="O20" s="82">
        <f t="shared" si="4"/>
        <v>0.66214372409628941</v>
      </c>
      <c r="P20" s="82">
        <f t="shared" ref="P20" si="5">P4</f>
        <v>0.70830000000000126</v>
      </c>
      <c r="Q20" s="84">
        <f>'CC70 - Valores'!G4</f>
        <v>0.70830000000000126</v>
      </c>
      <c r="R20" s="84">
        <f>'CC70 - Valores'!H4</f>
        <v>0.72280000000000122</v>
      </c>
      <c r="S20" s="84">
        <f>'CC70 - Valores'!I4</f>
        <v>0.73730000000000118</v>
      </c>
      <c r="T20" s="84">
        <f>'CC70 - Valores'!J4</f>
        <v>0.75180000000000113</v>
      </c>
      <c r="U20" s="84">
        <f>'CC70 - Valores'!K4</f>
        <v>0.76630000000000109</v>
      </c>
      <c r="V20" s="84">
        <f>'CC70 - Valores'!L4</f>
        <v>0.78080000000000105</v>
      </c>
      <c r="W20" s="84">
        <f>'CC70 - Valores'!M4</f>
        <v>0.79530000000000101</v>
      </c>
      <c r="X20" s="84">
        <f>'CC70 - Valores'!N4</f>
        <v>0.80980000000000096</v>
      </c>
      <c r="Y20" s="84">
        <f>'CC70 - Valores'!O4</f>
        <v>0.82430000000000092</v>
      </c>
      <c r="Z20" s="84">
        <f>'CC70 - Valores'!P4</f>
        <v>0.83880000000000088</v>
      </c>
      <c r="AA20" s="84">
        <f>'CC70 - Valores'!Q4</f>
        <v>0.85330000000000084</v>
      </c>
      <c r="AB20" s="84">
        <f>'CC70 - Valores'!R4</f>
        <v>0.86780000000000079</v>
      </c>
      <c r="AC20" s="84">
        <f>'CC70 - Valores'!S4</f>
        <v>0.88230000000000075</v>
      </c>
      <c r="AD20" s="84">
        <f>'CC70 - Valores'!T4</f>
        <v>0.89680000000000071</v>
      </c>
      <c r="AE20" s="84">
        <f>'CC70 - Valores'!U4</f>
        <v>0.91130000000000067</v>
      </c>
      <c r="AF20" s="84">
        <f>'CC70 - Valores'!V4</f>
        <v>0.92580000000000062</v>
      </c>
      <c r="AG20" s="84">
        <f>'CC70 - Valores'!W4</f>
        <v>0.94030000000000058</v>
      </c>
      <c r="AH20" s="84">
        <f>'CC70 - Valores'!X4</f>
        <v>0.95480000000000054</v>
      </c>
      <c r="AI20" s="84">
        <f>'CC70 - Valores'!Y4</f>
        <v>0.96930000000000049</v>
      </c>
      <c r="AJ20" s="84">
        <f>'CC70 - Valores'!Z4</f>
        <v>0.98380000000000045</v>
      </c>
      <c r="AK20" s="84">
        <f>'CC70 - Valores'!AA4</f>
        <v>0.99830000000000041</v>
      </c>
      <c r="AL20" s="84">
        <f>'CC70 - Valores'!AB4</f>
        <v>0.99830000000000041</v>
      </c>
      <c r="AM20" s="84">
        <f>'CC70 - Valores'!AC4</f>
        <v>0.99830000000000041</v>
      </c>
      <c r="AN20" s="84">
        <f>'CC70 - Valores'!AD4</f>
        <v>0.99830000000000041</v>
      </c>
      <c r="AO20" s="84">
        <f>'CC70 - Valores'!AE4</f>
        <v>0.99830000000000041</v>
      </c>
      <c r="AP20" s="84">
        <f>'CC70 - Valores'!AF4</f>
        <v>0.99830000000000041</v>
      </c>
      <c r="AQ20" s="84">
        <f>'CC70 - Valores'!AG4</f>
        <v>0.99830000000000041</v>
      </c>
      <c r="AR20" s="84">
        <f>'CC70 - Valores'!AH4</f>
        <v>0.99830000000000041</v>
      </c>
      <c r="AS20" s="84">
        <f>'CC70 - Valores'!AI4</f>
        <v>0.99830000000000041</v>
      </c>
      <c r="AT20" s="84">
        <f>'CC70 - Valores'!AJ4</f>
        <v>0.99830000000000041</v>
      </c>
      <c r="AU20" s="84">
        <f>'CC70 - Valores'!AK4</f>
        <v>0.99830000000000041</v>
      </c>
      <c r="AV20" s="84">
        <f>'CC70 - Valores'!AL4</f>
        <v>0.99830000000000041</v>
      </c>
      <c r="AW20" s="84">
        <f>'CC70 - Valores'!AM4</f>
        <v>0.99830000000000041</v>
      </c>
      <c r="AX20" s="84">
        <f>'CC70 - Valores'!AN4</f>
        <v>0.99830000000000041</v>
      </c>
      <c r="AY20" s="84">
        <f>'CC70 - Valores'!AO4</f>
        <v>0.99830000000000041</v>
      </c>
      <c r="AZ20" s="84">
        <f>'CC70 - Valores'!AP4</f>
        <v>0.99830000000000041</v>
      </c>
      <c r="BA20" s="84">
        <f>'CC70 - Valores'!AQ4</f>
        <v>0.99830000000000041</v>
      </c>
      <c r="BB20" s="84">
        <f>'CC70 - Valores'!AR4</f>
        <v>0.99830000000000041</v>
      </c>
      <c r="BC20" s="84">
        <f>'CC70 - Valores'!AS4</f>
        <v>0.99830000000000041</v>
      </c>
      <c r="BD20" s="84">
        <f>'CC70 - Valores'!AT4</f>
        <v>0.99830000000000041</v>
      </c>
      <c r="BE20" s="84">
        <f>'CC70 - Valores'!AU4</f>
        <v>0.99830000000000041</v>
      </c>
      <c r="BF20" s="84">
        <f>'CC70 - Valores'!AV4</f>
        <v>0.99830000000000041</v>
      </c>
      <c r="BG20" s="84">
        <f>'CC70 - Valores'!AW4</f>
        <v>0.99830000000000041</v>
      </c>
      <c r="BH20" s="84">
        <f>'CC70 - Valores'!AX4</f>
        <v>0.99830000000000041</v>
      </c>
      <c r="BI20" s="84">
        <f>'CC70 - Valores'!AY4</f>
        <v>0.99830000000000041</v>
      </c>
      <c r="BJ20" s="84">
        <f>'CC70 - Valores'!AZ4</f>
        <v>0.99830000000000041</v>
      </c>
      <c r="BK20" s="84">
        <f>'CC70 - Valores'!BA4</f>
        <v>0.99830000000000041</v>
      </c>
    </row>
    <row r="21" spans="1:63" x14ac:dyDescent="0.3">
      <c r="A21" s="386"/>
      <c r="B21" t="s">
        <v>377</v>
      </c>
      <c r="C21" s="82">
        <f t="shared" ref="C21:J21" si="6">C5</f>
        <v>0.21628913068977651</v>
      </c>
      <c r="D21" s="82">
        <f t="shared" si="6"/>
        <v>0.24229513864174809</v>
      </c>
      <c r="E21" s="82">
        <f t="shared" si="6"/>
        <v>9.3253716173294365E-2</v>
      </c>
      <c r="F21" s="82">
        <f t="shared" si="6"/>
        <v>0.12590260762328201</v>
      </c>
      <c r="G21" s="82">
        <f t="shared" si="6"/>
        <v>0.11907110447256432</v>
      </c>
      <c r="H21" s="82">
        <f t="shared" si="6"/>
        <v>0.12031253548958594</v>
      </c>
      <c r="I21" s="82">
        <f t="shared" si="6"/>
        <v>0.13072442420996253</v>
      </c>
      <c r="J21" s="82">
        <f t="shared" si="6"/>
        <v>0.20300590445517983</v>
      </c>
      <c r="K21" s="82">
        <f t="shared" si="4"/>
        <v>0.15865806289938603</v>
      </c>
      <c r="L21" s="82">
        <f t="shared" si="4"/>
        <v>0.22584403695175742</v>
      </c>
      <c r="M21" s="82">
        <f t="shared" si="4"/>
        <v>0.19621687911107807</v>
      </c>
      <c r="N21" s="82">
        <f t="shared" si="4"/>
        <v>0.16678538719853467</v>
      </c>
      <c r="O21" s="82">
        <f t="shared" si="4"/>
        <v>0.26640852754761069</v>
      </c>
      <c r="P21" s="82">
        <f t="shared" ref="P21" si="7">P5</f>
        <v>0.25030000000000108</v>
      </c>
      <c r="Q21" s="84">
        <f>'CC70 - Valores'!G5</f>
        <v>0.25030000000000108</v>
      </c>
      <c r="R21" s="84">
        <f>'CC70 - Valores'!H5</f>
        <v>0.25348510638297977</v>
      </c>
      <c r="S21" s="84">
        <f>'CC70 - Valores'!I5</f>
        <v>0.25667021276595847</v>
      </c>
      <c r="T21" s="84">
        <f>'CC70 - Valores'!J5</f>
        <v>0.25985531914893717</v>
      </c>
      <c r="U21" s="84">
        <f>'CC70 - Valores'!K5</f>
        <v>0.26304042553191587</v>
      </c>
      <c r="V21" s="84">
        <f>'CC70 - Valores'!L5</f>
        <v>0.26622553191489456</v>
      </c>
      <c r="W21" s="84">
        <f>'CC70 - Valores'!M5</f>
        <v>0.26941063829787326</v>
      </c>
      <c r="X21" s="84">
        <f>'CC70 - Valores'!N5</f>
        <v>0.27259574468085201</v>
      </c>
      <c r="Y21" s="84">
        <f>'CC70 - Valores'!O5</f>
        <v>0.27578085106383066</v>
      </c>
      <c r="Z21" s="84">
        <f>'CC70 - Valores'!P5</f>
        <v>0.27896595744680941</v>
      </c>
      <c r="AA21" s="84">
        <f>'CC70 - Valores'!Q5</f>
        <v>0.28215106382978811</v>
      </c>
      <c r="AB21" s="84">
        <f>'CC70 - Valores'!R5</f>
        <v>0.2853361702127668</v>
      </c>
      <c r="AC21" s="84">
        <f>'CC70 - Valores'!S5</f>
        <v>0.2885212765957455</v>
      </c>
      <c r="AD21" s="84">
        <f>'CC70 - Valores'!T5</f>
        <v>0.2917063829787242</v>
      </c>
      <c r="AE21" s="84">
        <f>'CC70 - Valores'!U5</f>
        <v>0.2948914893617029</v>
      </c>
      <c r="AF21" s="84">
        <f>'CC70 - Valores'!V5</f>
        <v>0.29807659574468159</v>
      </c>
      <c r="AG21" s="84">
        <f>'CC70 - Valores'!W5</f>
        <v>0.30126170212766029</v>
      </c>
      <c r="AH21" s="84">
        <f>'CC70 - Valores'!X5</f>
        <v>0.30444680851063899</v>
      </c>
      <c r="AI21" s="84">
        <f>'CC70 - Valores'!Y5</f>
        <v>0.30763191489361769</v>
      </c>
      <c r="AJ21" s="84">
        <f>'CC70 - Valores'!Z5</f>
        <v>0.31081702127659638</v>
      </c>
      <c r="AK21" s="84">
        <f>'CC70 - Valores'!AA5</f>
        <v>0.31400212765957508</v>
      </c>
      <c r="AL21" s="84">
        <f>'CC70 - Valores'!AB5</f>
        <v>0.31718723404255378</v>
      </c>
      <c r="AM21" s="84">
        <f>'CC70 - Valores'!AC5</f>
        <v>0.32037234042553253</v>
      </c>
      <c r="AN21" s="84">
        <f>'CC70 - Valores'!AD5</f>
        <v>0.32355744680851117</v>
      </c>
      <c r="AO21" s="84">
        <f>'CC70 - Valores'!AE5</f>
        <v>0.32674255319148993</v>
      </c>
      <c r="AP21" s="84">
        <f>'CC70 - Valores'!AF5</f>
        <v>0.32992765957446857</v>
      </c>
      <c r="AQ21" s="84">
        <f>'CC70 - Valores'!AG5</f>
        <v>0.33311276595744732</v>
      </c>
      <c r="AR21" s="84">
        <f>'CC70 - Valores'!AH5</f>
        <v>0.33629787234042602</v>
      </c>
      <c r="AS21" s="84">
        <f>'CC70 - Valores'!AI5</f>
        <v>0.33948297872340472</v>
      </c>
      <c r="AT21" s="84">
        <f>'CC70 - Valores'!AJ5</f>
        <v>0.34266808510638341</v>
      </c>
      <c r="AU21" s="84">
        <f>'CC70 - Valores'!AK5</f>
        <v>0.34585319148936211</v>
      </c>
      <c r="AV21" s="84">
        <f>'CC70 - Valores'!AL5</f>
        <v>0.34903829787234081</v>
      </c>
      <c r="AW21" s="84">
        <f>'CC70 - Valores'!AM5</f>
        <v>0.35222340425531951</v>
      </c>
      <c r="AX21" s="84">
        <f>'CC70 - Valores'!AN5</f>
        <v>0.3554085106382982</v>
      </c>
      <c r="AY21" s="84">
        <f>'CC70 - Valores'!AO5</f>
        <v>0.3585936170212769</v>
      </c>
      <c r="AZ21" s="84">
        <f>'CC70 - Valores'!AP5</f>
        <v>0.3617787234042556</v>
      </c>
      <c r="BA21" s="84">
        <f>'CC70 - Valores'!AQ5</f>
        <v>0.3649638297872343</v>
      </c>
      <c r="BB21" s="84">
        <f>'CC70 - Valores'!AR5</f>
        <v>0.36814893617021299</v>
      </c>
      <c r="BC21" s="84">
        <f>'CC70 - Valores'!AS5</f>
        <v>0.37133404255319169</v>
      </c>
      <c r="BD21" s="84">
        <f>'CC70 - Valores'!AT5</f>
        <v>0.37451914893617039</v>
      </c>
      <c r="BE21" s="84">
        <f>'CC70 - Valores'!AU5</f>
        <v>0.37770425531914908</v>
      </c>
      <c r="BF21" s="84">
        <f>'CC70 - Valores'!AV5</f>
        <v>0.38088936170212784</v>
      </c>
      <c r="BG21" s="84">
        <f>'CC70 - Valores'!AW5</f>
        <v>0.38407446808510648</v>
      </c>
      <c r="BH21" s="84">
        <f>'CC70 - Valores'!AX5</f>
        <v>0.38725957446808523</v>
      </c>
      <c r="BI21" s="84">
        <f>'CC70 - Valores'!AY5</f>
        <v>0.39044468085106393</v>
      </c>
      <c r="BJ21" s="84">
        <f>'CC70 - Valores'!AZ5</f>
        <v>0.39362978723404263</v>
      </c>
      <c r="BK21" s="84">
        <f>'CC70 - Valores'!BA5</f>
        <v>0.39681489361702132</v>
      </c>
    </row>
    <row r="22" spans="1:63" x14ac:dyDescent="0.3">
      <c r="A22" s="386"/>
      <c r="B22" t="s">
        <v>378</v>
      </c>
      <c r="C22" s="82">
        <f t="shared" ref="C22:J22" si="8">C6</f>
        <v>78.063575490049388</v>
      </c>
      <c r="D22" s="82">
        <f t="shared" si="8"/>
        <v>94.0584003238679</v>
      </c>
      <c r="E22" s="82">
        <f t="shared" si="8"/>
        <v>77.477944959522887</v>
      </c>
      <c r="F22" s="82">
        <f t="shared" si="8"/>
        <v>70.827627490946512</v>
      </c>
      <c r="G22" s="82">
        <f t="shared" si="8"/>
        <v>85.159827436733678</v>
      </c>
      <c r="H22" s="82">
        <f t="shared" si="8"/>
        <v>98.484690496608707</v>
      </c>
      <c r="I22" s="82">
        <f t="shared" si="8"/>
        <v>82.758706681571937</v>
      </c>
      <c r="J22" s="82">
        <f t="shared" si="8"/>
        <v>73.53564262163502</v>
      </c>
      <c r="K22" s="82">
        <f t="shared" si="4"/>
        <v>67.989654963102979</v>
      </c>
      <c r="L22" s="82">
        <f t="shared" si="4"/>
        <v>73.460684302118153</v>
      </c>
      <c r="M22" s="82">
        <f t="shared" si="4"/>
        <v>74.345460716546896</v>
      </c>
      <c r="N22" s="82">
        <f t="shared" si="4"/>
        <v>77.713414431150085</v>
      </c>
      <c r="O22" s="82">
        <f t="shared" si="4"/>
        <v>59.810931153196861</v>
      </c>
      <c r="P22" s="82">
        <f t="shared" ref="P22" si="9">P6</f>
        <v>68.154000000000451</v>
      </c>
      <c r="Q22" s="84">
        <f>'CC70 - Valores'!G6</f>
        <v>68.154000000000451</v>
      </c>
      <c r="R22" s="84">
        <f>'CC70 - Valores'!H6</f>
        <v>68.406042553191938</v>
      </c>
      <c r="S22" s="84">
        <f>'CC70 - Valores'!I6</f>
        <v>68.65808510638341</v>
      </c>
      <c r="T22" s="84">
        <f>'CC70 - Valores'!J6</f>
        <v>68.910127659574897</v>
      </c>
      <c r="U22" s="84">
        <f>'CC70 - Valores'!K6</f>
        <v>69.16217021276637</v>
      </c>
      <c r="V22" s="84">
        <f>'CC70 - Valores'!L6</f>
        <v>69.414212765957856</v>
      </c>
      <c r="W22" s="84">
        <f>'CC70 - Valores'!M6</f>
        <v>69.666255319149329</v>
      </c>
      <c r="X22" s="84">
        <f>'CC70 - Valores'!N6</f>
        <v>69.918297872340816</v>
      </c>
      <c r="Y22" s="84">
        <f>'CC70 - Valores'!O6</f>
        <v>70.170340425532288</v>
      </c>
      <c r="Z22" s="84">
        <f>'CC70 - Valores'!P6</f>
        <v>70.422382978723775</v>
      </c>
      <c r="AA22" s="84">
        <f>'CC70 - Valores'!Q6</f>
        <v>70.674425531915247</v>
      </c>
      <c r="AB22" s="84">
        <f>'CC70 - Valores'!R6</f>
        <v>70.926468085106734</v>
      </c>
      <c r="AC22" s="84">
        <f>'CC70 - Valores'!S6</f>
        <v>71.178510638298206</v>
      </c>
      <c r="AD22" s="84">
        <f>'CC70 - Valores'!T6</f>
        <v>71.430553191489693</v>
      </c>
      <c r="AE22" s="84">
        <f>'CC70 - Valores'!U6</f>
        <v>71.682595744681166</v>
      </c>
      <c r="AF22" s="84">
        <f>'CC70 - Valores'!V6</f>
        <v>71.934638297872652</v>
      </c>
      <c r="AG22" s="84">
        <f>'CC70 - Valores'!W6</f>
        <v>72.186680851064125</v>
      </c>
      <c r="AH22" s="84">
        <f>'CC70 - Valores'!X6</f>
        <v>72.438723404255612</v>
      </c>
      <c r="AI22" s="84">
        <f>'CC70 - Valores'!Y6</f>
        <v>72.690765957447084</v>
      </c>
      <c r="AJ22" s="84">
        <f>'CC70 - Valores'!Z6</f>
        <v>72.942808510638571</v>
      </c>
      <c r="AK22" s="84">
        <f>'CC70 - Valores'!AA6</f>
        <v>73.194851063830043</v>
      </c>
      <c r="AL22" s="84">
        <f>'CC70 - Valores'!AB6</f>
        <v>73.44689361702153</v>
      </c>
      <c r="AM22" s="84">
        <f>'CC70 - Valores'!AC6</f>
        <v>73.698936170213003</v>
      </c>
      <c r="AN22" s="84">
        <f>'CC70 - Valores'!AD6</f>
        <v>73.950978723404489</v>
      </c>
      <c r="AO22" s="84">
        <f>'CC70 - Valores'!AE6</f>
        <v>74.203021276595962</v>
      </c>
      <c r="AP22" s="84">
        <f>'CC70 - Valores'!AF6</f>
        <v>74.455063829787449</v>
      </c>
      <c r="AQ22" s="84">
        <f>'CC70 - Valores'!AG6</f>
        <v>74.707106382978921</v>
      </c>
      <c r="AR22" s="84">
        <f>'CC70 - Valores'!AH6</f>
        <v>74.959148936170408</v>
      </c>
      <c r="AS22" s="84">
        <f>'CC70 - Valores'!AI6</f>
        <v>75.21119148936188</v>
      </c>
      <c r="AT22" s="84">
        <f>'CC70 - Valores'!AJ6</f>
        <v>75.463234042553367</v>
      </c>
      <c r="AU22" s="84">
        <f>'CC70 - Valores'!AK6</f>
        <v>75.715276595744839</v>
      </c>
      <c r="AV22" s="84">
        <f>'CC70 - Valores'!AL6</f>
        <v>75.967319148936326</v>
      </c>
      <c r="AW22" s="84">
        <f>'CC70 - Valores'!AM6</f>
        <v>76.219361702127799</v>
      </c>
      <c r="AX22" s="84">
        <f>'CC70 - Valores'!AN6</f>
        <v>76.471404255319285</v>
      </c>
      <c r="AY22" s="84">
        <f>'CC70 - Valores'!AO6</f>
        <v>76.723446808510758</v>
      </c>
      <c r="AZ22" s="84">
        <f>'CC70 - Valores'!AP6</f>
        <v>76.975489361702245</v>
      </c>
      <c r="BA22" s="84">
        <f>'CC70 - Valores'!AQ6</f>
        <v>77.227531914893717</v>
      </c>
      <c r="BB22" s="84">
        <f>'CC70 - Valores'!AR6</f>
        <v>77.479574468085204</v>
      </c>
      <c r="BC22" s="84">
        <f>'CC70 - Valores'!AS6</f>
        <v>77.731617021276676</v>
      </c>
      <c r="BD22" s="84">
        <f>'CC70 - Valores'!AT6</f>
        <v>77.983659574468163</v>
      </c>
      <c r="BE22" s="84">
        <f>'CC70 - Valores'!AU6</f>
        <v>78.235702127659636</v>
      </c>
      <c r="BF22" s="84">
        <f>'CC70 - Valores'!AV6</f>
        <v>78.487744680851122</v>
      </c>
      <c r="BG22" s="84">
        <f>'CC70 - Valores'!AW6</f>
        <v>78.739787234042609</v>
      </c>
      <c r="BH22" s="84">
        <f>'CC70 - Valores'!AX6</f>
        <v>78.991829787234082</v>
      </c>
      <c r="BI22" s="84">
        <f>'CC70 - Valores'!AY6</f>
        <v>79.243872340425554</v>
      </c>
      <c r="BJ22" s="84">
        <f>'CC70 - Valores'!AZ6</f>
        <v>79.495914893617041</v>
      </c>
      <c r="BK22" s="84">
        <f>'CC70 - Valores'!BA6</f>
        <v>79.747957446808527</v>
      </c>
    </row>
    <row r="23" spans="1:63" x14ac:dyDescent="0.3">
      <c r="A23" s="386"/>
      <c r="B23" t="s">
        <v>379</v>
      </c>
      <c r="C23" s="82">
        <f t="shared" ref="C23:J23" si="10">C7</f>
        <v>2.234824433513646</v>
      </c>
      <c r="D23" s="82">
        <f t="shared" si="10"/>
        <v>1.6671662766708666</v>
      </c>
      <c r="E23" s="82">
        <f t="shared" si="10"/>
        <v>2.7324016605696904</v>
      </c>
      <c r="F23" s="82">
        <f t="shared" si="10"/>
        <v>2.3702330807084238</v>
      </c>
      <c r="G23" s="82">
        <f t="shared" si="10"/>
        <v>3.4336375016471208</v>
      </c>
      <c r="H23" s="82">
        <f t="shared" si="10"/>
        <v>3.7832567646121245</v>
      </c>
      <c r="I23" s="82">
        <f t="shared" si="10"/>
        <v>3.1693472715979225</v>
      </c>
      <c r="J23" s="82">
        <f t="shared" si="10"/>
        <v>3.5362070788060898</v>
      </c>
      <c r="K23" s="82">
        <f t="shared" si="4"/>
        <v>3.3286540144375976</v>
      </c>
      <c r="L23" s="82">
        <f t="shared" si="4"/>
        <v>4.1881683374567302</v>
      </c>
      <c r="M23" s="82">
        <f t="shared" si="4"/>
        <v>3.5239779883680322</v>
      </c>
      <c r="N23" s="82">
        <f t="shared" si="4"/>
        <v>4.2089326354119247</v>
      </c>
      <c r="O23" s="82">
        <f t="shared" si="4"/>
        <v>4.1731183803542979</v>
      </c>
      <c r="P23" s="82">
        <f t="shared" ref="P23" si="11">P7</f>
        <v>4.547800000000052</v>
      </c>
      <c r="Q23" s="84">
        <f>'CC70 - Valores'!G7</f>
        <v>4.547800000000052</v>
      </c>
      <c r="R23" s="84">
        <f>'CC70 - Valores'!H7</f>
        <v>4.5934425531915402</v>
      </c>
      <c r="S23" s="84">
        <f>'CC70 - Valores'!I7</f>
        <v>4.6390851063830283</v>
      </c>
      <c r="T23" s="84">
        <f>'CC70 - Valores'!J7</f>
        <v>4.6847276595745164</v>
      </c>
      <c r="U23" s="84">
        <f>'CC70 - Valores'!K7</f>
        <v>4.7303702127660046</v>
      </c>
      <c r="V23" s="84">
        <f>'CC70 - Valores'!L7</f>
        <v>4.7760127659574936</v>
      </c>
      <c r="W23" s="84">
        <f>'CC70 - Valores'!M7</f>
        <v>4.8216553191489817</v>
      </c>
      <c r="X23" s="84">
        <f>'CC70 - Valores'!N7</f>
        <v>4.8672978723404698</v>
      </c>
      <c r="Y23" s="84">
        <f>'CC70 - Valores'!O7</f>
        <v>4.912940425531958</v>
      </c>
      <c r="Z23" s="84">
        <f>'CC70 - Valores'!P7</f>
        <v>4.9585829787234461</v>
      </c>
      <c r="AA23" s="84">
        <f>'CC70 - Valores'!Q7</f>
        <v>5.0042255319149342</v>
      </c>
      <c r="AB23" s="84">
        <f>'CC70 - Valores'!R7</f>
        <v>5.0498680851064233</v>
      </c>
      <c r="AC23" s="84">
        <f>'CC70 - Valores'!S7</f>
        <v>5.0955106382979114</v>
      </c>
      <c r="AD23" s="84">
        <f>'CC70 - Valores'!T7</f>
        <v>5.1411531914893995</v>
      </c>
      <c r="AE23" s="84">
        <f>'CC70 - Valores'!U7</f>
        <v>5.1867957446808877</v>
      </c>
      <c r="AF23" s="84">
        <f>'CC70 - Valores'!V7</f>
        <v>5.2324382978723758</v>
      </c>
      <c r="AG23" s="84">
        <f>'CC70 - Valores'!W7</f>
        <v>5.2780808510638639</v>
      </c>
      <c r="AH23" s="84">
        <f>'CC70 - Valores'!X7</f>
        <v>5.3237234042553521</v>
      </c>
      <c r="AI23" s="84">
        <f>'CC70 - Valores'!Y7</f>
        <v>5.3693659574468402</v>
      </c>
      <c r="AJ23" s="84">
        <f>'CC70 - Valores'!Z7</f>
        <v>5.4150085106383283</v>
      </c>
      <c r="AK23" s="84">
        <f>'CC70 - Valores'!AA7</f>
        <v>5.4606510638298165</v>
      </c>
      <c r="AL23" s="84">
        <f>'CC70 - Valores'!AB7</f>
        <v>5.5062936170213055</v>
      </c>
      <c r="AM23" s="84">
        <f>'CC70 - Valores'!AC7</f>
        <v>5.5519361702127936</v>
      </c>
      <c r="AN23" s="84">
        <f>'CC70 - Valores'!AD7</f>
        <v>5.5975787234042818</v>
      </c>
      <c r="AO23" s="84">
        <f>'CC70 - Valores'!AE7</f>
        <v>5.6432212765957699</v>
      </c>
      <c r="AP23" s="84">
        <f>'CC70 - Valores'!AF7</f>
        <v>5.688863829787258</v>
      </c>
      <c r="AQ23" s="84">
        <f>'CC70 - Valores'!AG7</f>
        <v>5.7345063829787462</v>
      </c>
      <c r="AR23" s="84">
        <f>'CC70 - Valores'!AH7</f>
        <v>5.7801489361702352</v>
      </c>
      <c r="AS23" s="84">
        <f>'CC70 - Valores'!AI7</f>
        <v>5.8257914893617233</v>
      </c>
      <c r="AT23" s="84">
        <f>'CC70 - Valores'!AJ7</f>
        <v>5.8714340425532114</v>
      </c>
      <c r="AU23" s="84">
        <f>'CC70 - Valores'!AK7</f>
        <v>5.9170765957446996</v>
      </c>
      <c r="AV23" s="84">
        <f>'CC70 - Valores'!AL7</f>
        <v>5.9627191489361877</v>
      </c>
      <c r="AW23" s="84">
        <f>'CC70 - Valores'!AM7</f>
        <v>6.0083617021276758</v>
      </c>
      <c r="AX23" s="84">
        <f>'CC70 - Valores'!AN7</f>
        <v>6.054004255319164</v>
      </c>
      <c r="AY23" s="84">
        <f>'CC70 - Valores'!AO7</f>
        <v>6.0996468085106521</v>
      </c>
      <c r="AZ23" s="84">
        <f>'CC70 - Valores'!AP7</f>
        <v>6.1452893617021402</v>
      </c>
      <c r="BA23" s="84">
        <f>'CC70 - Valores'!AQ7</f>
        <v>6.1909319148936284</v>
      </c>
      <c r="BB23" s="84">
        <f>'CC70 - Valores'!AR7</f>
        <v>6.2365744680851174</v>
      </c>
      <c r="BC23" s="84">
        <f>'CC70 - Valores'!AS7</f>
        <v>6.2822170212766055</v>
      </c>
      <c r="BD23" s="84">
        <f>'CC70 - Valores'!AT7</f>
        <v>6.3278595744680937</v>
      </c>
      <c r="BE23" s="84">
        <f>'CC70 - Valores'!AU7</f>
        <v>6.3735021276595818</v>
      </c>
      <c r="BF23" s="84">
        <f>'CC70 - Valores'!AV7</f>
        <v>6.4191446808510699</v>
      </c>
      <c r="BG23" s="84">
        <f>'CC70 - Valores'!AW7</f>
        <v>6.4647872340425581</v>
      </c>
      <c r="BH23" s="84">
        <f>'CC70 - Valores'!AX7</f>
        <v>6.5104297872340462</v>
      </c>
      <c r="BI23" s="84">
        <f>'CC70 - Valores'!AY7</f>
        <v>6.5560723404255352</v>
      </c>
      <c r="BJ23" s="84">
        <f>'CC70 - Valores'!AZ7</f>
        <v>6.6017148936170233</v>
      </c>
      <c r="BK23" s="84">
        <f>'CC70 - Valores'!BA7</f>
        <v>6.6473574468085115</v>
      </c>
    </row>
    <row r="24" spans="1:63" x14ac:dyDescent="0.3">
      <c r="A24" s="386"/>
      <c r="B24" t="s">
        <v>380</v>
      </c>
      <c r="C24" s="82">
        <f t="shared" ref="C24:J24" si="12">C8</f>
        <v>14.73093301361226</v>
      </c>
      <c r="D24" s="82">
        <f t="shared" si="12"/>
        <v>10.349596103646171</v>
      </c>
      <c r="E24" s="82">
        <f t="shared" si="12"/>
        <v>13.340103133277603</v>
      </c>
      <c r="F24" s="82">
        <f t="shared" si="12"/>
        <v>10.587242326340178</v>
      </c>
      <c r="G24" s="82">
        <f t="shared" si="12"/>
        <v>12.7513593200275</v>
      </c>
      <c r="H24" s="82">
        <f t="shared" si="12"/>
        <v>14.381813923531821</v>
      </c>
      <c r="I24" s="82">
        <f t="shared" si="12"/>
        <v>11.84081580054503</v>
      </c>
      <c r="J24" s="82">
        <f t="shared" si="12"/>
        <v>12.585838212469072</v>
      </c>
      <c r="K24" s="82">
        <f t="shared" si="4"/>
        <v>12.438520820496334</v>
      </c>
      <c r="L24" s="82">
        <f t="shared" si="4"/>
        <v>11.328309474983575</v>
      </c>
      <c r="M24" s="82">
        <f t="shared" si="4"/>
        <v>12.979917121648652</v>
      </c>
      <c r="N24" s="82">
        <f t="shared" si="4"/>
        <v>15.85832858013886</v>
      </c>
      <c r="O24" s="82">
        <f t="shared" si="4"/>
        <v>16.242640757806406</v>
      </c>
      <c r="P24" s="82">
        <f t="shared" ref="P24" si="13">P8</f>
        <v>14.440600000000018</v>
      </c>
      <c r="Q24" s="84">
        <f>'CC70 - Valores'!G8</f>
        <v>14.440600000000018</v>
      </c>
      <c r="R24" s="84">
        <f>'CC70 - Valores'!H8</f>
        <v>14.5452680851064</v>
      </c>
      <c r="S24" s="84">
        <f>'CC70 - Valores'!I8</f>
        <v>14.649936170212783</v>
      </c>
      <c r="T24" s="84">
        <f>'CC70 - Valores'!J8</f>
        <v>14.754604255319165</v>
      </c>
      <c r="U24" s="84">
        <f>'CC70 - Valores'!K8</f>
        <v>14.859272340425548</v>
      </c>
      <c r="V24" s="84">
        <f>'CC70 - Valores'!L8</f>
        <v>14.963940425531931</v>
      </c>
      <c r="W24" s="84">
        <f>'CC70 - Valores'!M8</f>
        <v>15.068608510638313</v>
      </c>
      <c r="X24" s="84">
        <f>'CC70 - Valores'!N8</f>
        <v>15.173276595744696</v>
      </c>
      <c r="Y24" s="84">
        <f>'CC70 - Valores'!O8</f>
        <v>15.277944680851078</v>
      </c>
      <c r="Z24" s="84">
        <f>'CC70 - Valores'!P8</f>
        <v>15.382612765957461</v>
      </c>
      <c r="AA24" s="84">
        <f>'CC70 - Valores'!Q8</f>
        <v>15.487280851063844</v>
      </c>
      <c r="AB24" s="84">
        <f>'CC70 - Valores'!R8</f>
        <v>15.591948936170226</v>
      </c>
      <c r="AC24" s="84">
        <f>'CC70 - Valores'!S8</f>
        <v>15.696617021276609</v>
      </c>
      <c r="AD24" s="84">
        <f>'CC70 - Valores'!T8</f>
        <v>15.801285106382991</v>
      </c>
      <c r="AE24" s="84">
        <f>'CC70 - Valores'!U8</f>
        <v>15.905953191489374</v>
      </c>
      <c r="AF24" s="84">
        <f>'CC70 - Valores'!V8</f>
        <v>16.010621276595757</v>
      </c>
      <c r="AG24" s="84">
        <f>'CC70 - Valores'!W8</f>
        <v>16.115289361702139</v>
      </c>
      <c r="AH24" s="84">
        <f>'CC70 - Valores'!X8</f>
        <v>16.219957446808522</v>
      </c>
      <c r="AI24" s="84">
        <f>'CC70 - Valores'!Y8</f>
        <v>16.324625531914904</v>
      </c>
      <c r="AJ24" s="84">
        <f>'CC70 - Valores'!Z8</f>
        <v>16.429293617021287</v>
      </c>
      <c r="AK24" s="84">
        <f>'CC70 - Valores'!AA8</f>
        <v>16.533961702127669</v>
      </c>
      <c r="AL24" s="84">
        <f>'CC70 - Valores'!AB8</f>
        <v>16.638629787234052</v>
      </c>
      <c r="AM24" s="84">
        <f>'CC70 - Valores'!AC8</f>
        <v>16.743297872340435</v>
      </c>
      <c r="AN24" s="84">
        <f>'CC70 - Valores'!AD8</f>
        <v>16.847965957446817</v>
      </c>
      <c r="AO24" s="84">
        <f>'CC70 - Valores'!AE8</f>
        <v>16.9526340425532</v>
      </c>
      <c r="AP24" s="84">
        <f>'CC70 - Valores'!AF8</f>
        <v>17.057302127659582</v>
      </c>
      <c r="AQ24" s="84">
        <f>'CC70 - Valores'!AG8</f>
        <v>17.161970212765965</v>
      </c>
      <c r="AR24" s="84">
        <f>'CC70 - Valores'!AH8</f>
        <v>17.266638297872348</v>
      </c>
      <c r="AS24" s="84">
        <f>'CC70 - Valores'!AI8</f>
        <v>17.37130638297873</v>
      </c>
      <c r="AT24" s="84">
        <f>'CC70 - Valores'!AJ8</f>
        <v>17.475974468085113</v>
      </c>
      <c r="AU24" s="84">
        <f>'CC70 - Valores'!AK8</f>
        <v>17.580642553191495</v>
      </c>
      <c r="AV24" s="84">
        <f>'CC70 - Valores'!AL8</f>
        <v>17.685310638297878</v>
      </c>
      <c r="AW24" s="84">
        <f>'CC70 - Valores'!AM8</f>
        <v>17.789978723404261</v>
      </c>
      <c r="AX24" s="84">
        <f>'CC70 - Valores'!AN8</f>
        <v>17.894646808510643</v>
      </c>
      <c r="AY24" s="84">
        <f>'CC70 - Valores'!AO8</f>
        <v>17.999314893617026</v>
      </c>
      <c r="AZ24" s="84">
        <f>'CC70 - Valores'!AP8</f>
        <v>18.103982978723408</v>
      </c>
      <c r="BA24" s="84">
        <f>'CC70 - Valores'!AQ8</f>
        <v>18.208651063829791</v>
      </c>
      <c r="BB24" s="84">
        <f>'CC70 - Valores'!AR8</f>
        <v>18.313319148936174</v>
      </c>
      <c r="BC24" s="84">
        <f>'CC70 - Valores'!AS8</f>
        <v>18.417987234042556</v>
      </c>
      <c r="BD24" s="84">
        <f>'CC70 - Valores'!AT8</f>
        <v>18.522655319148939</v>
      </c>
      <c r="BE24" s="84">
        <f>'CC70 - Valores'!AU8</f>
        <v>18.627323404255321</v>
      </c>
      <c r="BF24" s="84">
        <f>'CC70 - Valores'!AV8</f>
        <v>18.731991489361704</v>
      </c>
      <c r="BG24" s="84">
        <f>'CC70 - Valores'!AW8</f>
        <v>18.836659574468086</v>
      </c>
      <c r="BH24" s="84">
        <f>'CC70 - Valores'!AX8</f>
        <v>18.941327659574469</v>
      </c>
      <c r="BI24" s="84">
        <f>'CC70 - Valores'!AY8</f>
        <v>19.045995744680852</v>
      </c>
      <c r="BJ24" s="84">
        <f>'CC70 - Valores'!AZ8</f>
        <v>19.150663829787234</v>
      </c>
      <c r="BK24" s="84">
        <f>'CC70 - Valores'!BA8</f>
        <v>19.255331914893617</v>
      </c>
    </row>
    <row r="25" spans="1:63" x14ac:dyDescent="0.3">
      <c r="A25" s="386"/>
      <c r="B25" t="s">
        <v>381</v>
      </c>
      <c r="C25" s="82">
        <f t="shared" ref="C25:J25" si="14">C9</f>
        <v>0</v>
      </c>
      <c r="D25" s="82">
        <f t="shared" si="14"/>
        <v>0</v>
      </c>
      <c r="E25" s="82">
        <f t="shared" si="14"/>
        <v>0</v>
      </c>
      <c r="F25" s="82">
        <f t="shared" si="14"/>
        <v>0</v>
      </c>
      <c r="G25" s="82">
        <f t="shared" si="14"/>
        <v>1.2324546517328507</v>
      </c>
      <c r="H25" s="82">
        <f t="shared" si="14"/>
        <v>1.4536522473658471</v>
      </c>
      <c r="I25" s="82">
        <f t="shared" si="14"/>
        <v>1.5901065449010654</v>
      </c>
      <c r="J25" s="82">
        <f t="shared" si="14"/>
        <v>1.249277327718497</v>
      </c>
      <c r="K25" s="82">
        <f t="shared" si="4"/>
        <v>1.1024466153713151</v>
      </c>
      <c r="L25" s="82">
        <f t="shared" si="4"/>
        <v>1.4624352331606219</v>
      </c>
      <c r="M25" s="82">
        <f t="shared" si="4"/>
        <v>1.3839040747891473</v>
      </c>
      <c r="N25" s="82">
        <f t="shared" si="4"/>
        <v>1.0675280480672091</v>
      </c>
      <c r="O25" s="82">
        <f t="shared" si="4"/>
        <v>1.3319627503096654</v>
      </c>
      <c r="P25" s="82">
        <f t="shared" ref="P25" si="15">P9</f>
        <v>1.2250000000000014</v>
      </c>
      <c r="Q25" s="84">
        <f>'CC70 - Valores'!G9</f>
        <v>1.2250000000000014</v>
      </c>
      <c r="R25" s="84">
        <f>'CC70 - Valores'!H9</f>
        <v>1.2266595744680866</v>
      </c>
      <c r="S25" s="84">
        <f>'CC70 - Valores'!I9</f>
        <v>1.2283191489361716</v>
      </c>
      <c r="T25" s="84">
        <f>'CC70 - Valores'!J9</f>
        <v>1.2299787234042567</v>
      </c>
      <c r="U25" s="84">
        <f>'CC70 - Valores'!K9</f>
        <v>1.2316382978723417</v>
      </c>
      <c r="V25" s="84">
        <f>'CC70 - Valores'!L9</f>
        <v>1.2332978723404269</v>
      </c>
      <c r="W25" s="84">
        <f>'CC70 - Valores'!M9</f>
        <v>1.2349574468085118</v>
      </c>
      <c r="X25" s="84">
        <f>'CC70 - Valores'!N9</f>
        <v>1.236617021276597</v>
      </c>
      <c r="Y25" s="84">
        <f>'CC70 - Valores'!O9</f>
        <v>1.238276595744682</v>
      </c>
      <c r="Z25" s="84">
        <f>'CC70 - Valores'!P9</f>
        <v>1.2399361702127671</v>
      </c>
      <c r="AA25" s="84">
        <f>'CC70 - Valores'!Q9</f>
        <v>1.2415957446808521</v>
      </c>
      <c r="AB25" s="84">
        <f>'CC70 - Valores'!R9</f>
        <v>1.2432553191489373</v>
      </c>
      <c r="AC25" s="84">
        <f>'CC70 - Valores'!S9</f>
        <v>1.2449148936170222</v>
      </c>
      <c r="AD25" s="84">
        <f>'CC70 - Valores'!T9</f>
        <v>1.2465744680851074</v>
      </c>
      <c r="AE25" s="84">
        <f>'CC70 - Valores'!U9</f>
        <v>1.2482340425531924</v>
      </c>
      <c r="AF25" s="84">
        <f>'CC70 - Valores'!V9</f>
        <v>1.2498936170212775</v>
      </c>
      <c r="AG25" s="84">
        <f>'CC70 - Valores'!W9</f>
        <v>1.2515531914893627</v>
      </c>
      <c r="AH25" s="84">
        <f>'CC70 - Valores'!X9</f>
        <v>1.2532127659574477</v>
      </c>
      <c r="AI25" s="84">
        <f>'CC70 - Valores'!Y9</f>
        <v>1.2548723404255329</v>
      </c>
      <c r="AJ25" s="84">
        <f>'CC70 - Valores'!Z9</f>
        <v>1.2565319148936178</v>
      </c>
      <c r="AK25" s="84">
        <f>'CC70 - Valores'!AA9</f>
        <v>1.258191489361703</v>
      </c>
      <c r="AL25" s="84">
        <f>'CC70 - Valores'!AB9</f>
        <v>1.259851063829788</v>
      </c>
      <c r="AM25" s="84">
        <f>'CC70 - Valores'!AC9</f>
        <v>1.2615106382978731</v>
      </c>
      <c r="AN25" s="84">
        <f>'CC70 - Valores'!AD9</f>
        <v>1.2631702127659581</v>
      </c>
      <c r="AO25" s="84">
        <f>'CC70 - Valores'!AE9</f>
        <v>1.2648297872340433</v>
      </c>
      <c r="AP25" s="84">
        <f>'CC70 - Valores'!AF9</f>
        <v>1.2664893617021282</v>
      </c>
      <c r="AQ25" s="84">
        <f>'CC70 - Valores'!AG9</f>
        <v>1.2681489361702134</v>
      </c>
      <c r="AR25" s="84">
        <f>'CC70 - Valores'!AH9</f>
        <v>1.2698085106382984</v>
      </c>
      <c r="AS25" s="84">
        <f>'CC70 - Valores'!AI9</f>
        <v>1.2714680851063835</v>
      </c>
      <c r="AT25" s="84">
        <f>'CC70 - Valores'!AJ9</f>
        <v>1.2731276595744685</v>
      </c>
      <c r="AU25" s="84">
        <f>'CC70 - Valores'!AK9</f>
        <v>1.2747872340425537</v>
      </c>
      <c r="AV25" s="84">
        <f>'CC70 - Valores'!AL9</f>
        <v>1.2764468085106389</v>
      </c>
      <c r="AW25" s="84">
        <f>'CC70 - Valores'!AM9</f>
        <v>1.2781063829787238</v>
      </c>
      <c r="AX25" s="84">
        <f>'CC70 - Valores'!AN9</f>
        <v>1.279765957446809</v>
      </c>
      <c r="AY25" s="84">
        <f>'CC70 - Valores'!AO9</f>
        <v>1.2814255319148939</v>
      </c>
      <c r="AZ25" s="84">
        <f>'CC70 - Valores'!AP9</f>
        <v>1.2830851063829791</v>
      </c>
      <c r="BA25" s="84">
        <f>'CC70 - Valores'!AQ9</f>
        <v>1.2847446808510641</v>
      </c>
      <c r="BB25" s="84">
        <f>'CC70 - Valores'!AR9</f>
        <v>1.2864042553191493</v>
      </c>
      <c r="BC25" s="84">
        <f>'CC70 - Valores'!AS9</f>
        <v>1.2880638297872342</v>
      </c>
      <c r="BD25" s="84">
        <f>'CC70 - Valores'!AT9</f>
        <v>1.2897234042553194</v>
      </c>
      <c r="BE25" s="84">
        <f>'CC70 - Valores'!AU9</f>
        <v>1.2913829787234044</v>
      </c>
      <c r="BF25" s="84">
        <f>'CC70 - Valores'!AV9</f>
        <v>1.2930425531914895</v>
      </c>
      <c r="BG25" s="84">
        <f>'CC70 - Valores'!AW9</f>
        <v>1.2947021276595745</v>
      </c>
      <c r="BH25" s="84">
        <f>'CC70 - Valores'!AX9</f>
        <v>1.2963617021276597</v>
      </c>
      <c r="BI25" s="84">
        <f>'CC70 - Valores'!AY9</f>
        <v>1.2980212765957446</v>
      </c>
      <c r="BJ25" s="84">
        <f>'CC70 - Valores'!AZ9</f>
        <v>1.2996808510638298</v>
      </c>
      <c r="BK25" s="84">
        <f>'CC70 - Valores'!BA9</f>
        <v>1.3013404255319148</v>
      </c>
    </row>
    <row r="26" spans="1:63" x14ac:dyDescent="0.3">
      <c r="A26" s="386"/>
      <c r="B26" t="s">
        <v>382</v>
      </c>
      <c r="C26" s="82">
        <f t="shared" ref="C26:J26" si="16">C10</f>
        <v>0</v>
      </c>
      <c r="D26" s="82">
        <f t="shared" si="16"/>
        <v>0</v>
      </c>
      <c r="E26" s="82">
        <f t="shared" si="16"/>
        <v>0</v>
      </c>
      <c r="F26" s="82">
        <f t="shared" si="16"/>
        <v>0</v>
      </c>
      <c r="G26" s="82">
        <f t="shared" si="16"/>
        <v>0</v>
      </c>
      <c r="H26" s="82">
        <f t="shared" si="16"/>
        <v>6.047940658034979</v>
      </c>
      <c r="I26" s="82">
        <f t="shared" si="16"/>
        <v>6.093985677686832</v>
      </c>
      <c r="J26" s="82">
        <f t="shared" si="16"/>
        <v>8.9120786323933672</v>
      </c>
      <c r="K26" s="82">
        <f t="shared" si="4"/>
        <v>7.2669508271541199</v>
      </c>
      <c r="L26" s="82">
        <f t="shared" si="4"/>
        <v>6.6780970695565829</v>
      </c>
      <c r="M26" s="82">
        <f t="shared" si="4"/>
        <v>6.8088875134981564</v>
      </c>
      <c r="N26" s="82">
        <f t="shared" si="4"/>
        <v>6.5500556145042585</v>
      </c>
      <c r="O26" s="82">
        <f t="shared" si="4"/>
        <v>6.0555524976594723</v>
      </c>
      <c r="P26" s="82">
        <f t="shared" ref="P26" si="17">P10</f>
        <v>6.6410999999999945</v>
      </c>
      <c r="Q26" s="84">
        <f>'CC70 - Valores'!G10</f>
        <v>6.6410999999999945</v>
      </c>
      <c r="R26" s="84">
        <f>'CC70 - Valores'!H10</f>
        <v>6.6341821874999942</v>
      </c>
      <c r="S26" s="84">
        <f>'CC70 - Valores'!I10</f>
        <v>6.6272715810546812</v>
      </c>
      <c r="T26" s="84">
        <f>'CC70 - Valores'!J10</f>
        <v>6.6203681731577486</v>
      </c>
      <c r="U26" s="84">
        <f>'CC70 - Valores'!K10</f>
        <v>6.6134719563107094</v>
      </c>
      <c r="V26" s="84">
        <f>'CC70 - Valores'!L10</f>
        <v>6.6065829230228852</v>
      </c>
      <c r="W26" s="84">
        <f>'CC70 - Valores'!M10</f>
        <v>6.599701065811403</v>
      </c>
      <c r="X26" s="84">
        <f>'CC70 - Valores'!N10</f>
        <v>6.5928263772011828</v>
      </c>
      <c r="Y26" s="84">
        <f>'CC70 - Valores'!O10</f>
        <v>6.5859588497249311</v>
      </c>
      <c r="Z26" s="84">
        <f>'CC70 - Valores'!P10</f>
        <v>6.5790984759231339</v>
      </c>
      <c r="AA26" s="84">
        <f>'CC70 - Valores'!Q10</f>
        <v>6.5722452483440472</v>
      </c>
      <c r="AB26" s="84">
        <f>'CC70 - Valores'!R10</f>
        <v>6.5653991595436887</v>
      </c>
      <c r="AC26" s="84">
        <f>'CC70 - Valores'!S10</f>
        <v>6.5585602020858307</v>
      </c>
      <c r="AD26" s="84">
        <f>'CC70 - Valores'!T10</f>
        <v>6.5517283685419914</v>
      </c>
      <c r="AE26" s="84">
        <f>'CC70 - Valores'!U10</f>
        <v>6.5449036514914267</v>
      </c>
      <c r="AF26" s="84">
        <f>'CC70 - Valores'!V10</f>
        <v>6.5380860435211225</v>
      </c>
      <c r="AG26" s="84">
        <f>'CC70 - Valores'!W10</f>
        <v>6.5312755372257874</v>
      </c>
      <c r="AH26" s="84">
        <f>'CC70 - Valores'!X10</f>
        <v>6.5244721252078435</v>
      </c>
      <c r="AI26" s="84">
        <f>'CC70 - Valores'!Y10</f>
        <v>6.5176758000774182</v>
      </c>
      <c r="AJ26" s="84">
        <f>'CC70 - Valores'!Z10</f>
        <v>6.5108865544523375</v>
      </c>
      <c r="AK26" s="84">
        <f>'CC70 - Valores'!AA10</f>
        <v>6.5041043809581156</v>
      </c>
      <c r="AL26" s="84">
        <f>'CC70 - Valores'!AB10</f>
        <v>6.497329272227951</v>
      </c>
      <c r="AM26" s="84">
        <f>'CC70 - Valores'!AC10</f>
        <v>6.4905612209027135</v>
      </c>
      <c r="AN26" s="84">
        <f>'CC70 - Valores'!AD10</f>
        <v>6.4838002196309397</v>
      </c>
      <c r="AO26" s="84">
        <f>'CC70 - Valores'!AE10</f>
        <v>6.477046261068824</v>
      </c>
      <c r="AP26" s="84">
        <f>'CC70 - Valores'!AF10</f>
        <v>6.4702993378802107</v>
      </c>
      <c r="AQ26" s="84">
        <f>'CC70 - Valores'!AG10</f>
        <v>6.4635594427365852</v>
      </c>
      <c r="AR26" s="84">
        <f>'CC70 - Valores'!AH10</f>
        <v>6.4568265683170676</v>
      </c>
      <c r="AS26" s="84">
        <f>'CC70 - Valores'!AI10</f>
        <v>6.4501007073084038</v>
      </c>
      <c r="AT26" s="84">
        <f>'CC70 - Valores'!AJ10</f>
        <v>6.4433818524049569</v>
      </c>
      <c r="AU26" s="84">
        <f>'CC70 - Valores'!AK10</f>
        <v>6.4366699963087015</v>
      </c>
      <c r="AV26" s="84">
        <f>'CC70 - Valores'!AL10</f>
        <v>6.4299651317292126</v>
      </c>
      <c r="AW26" s="84">
        <f>'CC70 - Valores'!AM10</f>
        <v>6.4232672513836606</v>
      </c>
      <c r="AX26" s="84">
        <f>'CC70 - Valores'!AN10</f>
        <v>6.4165763479968021</v>
      </c>
      <c r="AY26" s="84">
        <f>'CC70 - Valores'!AO10</f>
        <v>6.4098924143009715</v>
      </c>
      <c r="AZ26" s="84">
        <f>'CC70 - Valores'!AP10</f>
        <v>6.4032154430360739</v>
      </c>
      <c r="BA26" s="84">
        <f>'CC70 - Valores'!AQ10</f>
        <v>6.3965454269495776</v>
      </c>
      <c r="BB26" s="84">
        <f>'CC70 - Valores'!AR10</f>
        <v>6.3898823587965046</v>
      </c>
      <c r="BC26" s="84">
        <f>'CC70 - Valores'!AS10</f>
        <v>6.3832262313394246</v>
      </c>
      <c r="BD26" s="84">
        <f>'CC70 - Valores'!AT10</f>
        <v>6.3765770373484454</v>
      </c>
      <c r="BE26" s="84">
        <f>'CC70 - Valores'!AU10</f>
        <v>6.3699347696012074</v>
      </c>
      <c r="BF26" s="84">
        <f>'CC70 - Valores'!AV10</f>
        <v>6.3632994208828721</v>
      </c>
      <c r="BG26" s="84">
        <f>'CC70 - Valores'!AW10</f>
        <v>6.3566709839861186</v>
      </c>
      <c r="BH26" s="84">
        <f>'CC70 - Valores'!AX10</f>
        <v>6.3500494517111328</v>
      </c>
      <c r="BI26" s="84">
        <f>'CC70 - Valores'!AY10</f>
        <v>6.3434348168656003</v>
      </c>
      <c r="BJ26" s="84">
        <f>'CC70 - Valores'!AZ10</f>
        <v>6.3368270722646987</v>
      </c>
      <c r="BK26" s="84">
        <f>'CC70 - Valores'!BA10</f>
        <v>6.3302262107310892</v>
      </c>
    </row>
    <row r="27" spans="1:63" x14ac:dyDescent="0.3">
      <c r="A27" s="386"/>
      <c r="B27" t="s">
        <v>383</v>
      </c>
      <c r="C27" s="82">
        <f t="shared" ref="C27:J27" si="18">C11</f>
        <v>0.56324422784393136</v>
      </c>
      <c r="D27" s="82">
        <f t="shared" si="18"/>
        <v>0.47573853669445859</v>
      </c>
      <c r="E27" s="82">
        <f t="shared" si="18"/>
        <v>0.44091837615444374</v>
      </c>
      <c r="F27" s="82">
        <f t="shared" si="18"/>
        <v>0.47152204764954853</v>
      </c>
      <c r="G27" s="82">
        <f t="shared" si="18"/>
        <v>1.0091035634743875</v>
      </c>
      <c r="H27" s="82">
        <f t="shared" si="18"/>
        <v>0.92935231023102294</v>
      </c>
      <c r="I27" s="82">
        <f t="shared" si="18"/>
        <v>1.2240164464413019</v>
      </c>
      <c r="J27" s="82">
        <f t="shared" si="18"/>
        <v>0.89776575095986288</v>
      </c>
      <c r="K27" s="82">
        <f t="shared" si="4"/>
        <v>1.5238912143461654</v>
      </c>
      <c r="L27" s="82">
        <f t="shared" si="4"/>
        <v>1.3219387271175187</v>
      </c>
      <c r="M27" s="82">
        <f t="shared" si="4"/>
        <v>1.7401309130170726</v>
      </c>
      <c r="N27" s="82">
        <f t="shared" si="4"/>
        <v>1.4155396702730552</v>
      </c>
      <c r="O27" s="82">
        <f t="shared" si="4"/>
        <v>1.5271258192396591</v>
      </c>
      <c r="P27" s="82">
        <f t="shared" ref="P27" si="19">P11</f>
        <v>1.8811000000000035</v>
      </c>
      <c r="Q27" s="84">
        <f>'CC70 - Valores'!G11</f>
        <v>1.8811000000000035</v>
      </c>
      <c r="R27" s="84">
        <f>'CC70 - Valores'!H11</f>
        <v>1.8852086955959004</v>
      </c>
      <c r="S27" s="84">
        <f>'CC70 - Valores'!I11</f>
        <v>1.8893173911917971</v>
      </c>
      <c r="T27" s="84">
        <f>'CC70 - Valores'!J11</f>
        <v>1.893426086787694</v>
      </c>
      <c r="U27" s="84">
        <f>'CC70 - Valores'!K11</f>
        <v>1.8975347823835909</v>
      </c>
      <c r="V27" s="84">
        <f>'CC70 - Valores'!L11</f>
        <v>1.9016434779794875</v>
      </c>
      <c r="W27" s="84">
        <f>'CC70 - Valores'!M11</f>
        <v>1.9057521735753844</v>
      </c>
      <c r="X27" s="84">
        <f>'CC70 - Valores'!N11</f>
        <v>1.9098608691712813</v>
      </c>
      <c r="Y27" s="84">
        <f>'CC70 - Valores'!O11</f>
        <v>1.9139695647671779</v>
      </c>
      <c r="Z27" s="84">
        <f>'CC70 - Valores'!P11</f>
        <v>1.9180782603630748</v>
      </c>
      <c r="AA27" s="84">
        <f>'CC70 - Valores'!Q11</f>
        <v>1.9221869559589717</v>
      </c>
      <c r="AB27" s="84">
        <f>'CC70 - Valores'!R11</f>
        <v>1.9262956515548684</v>
      </c>
      <c r="AC27" s="84">
        <f>'CC70 - Valores'!S11</f>
        <v>1.9304043471507653</v>
      </c>
      <c r="AD27" s="84">
        <f>'CC70 - Valores'!T11</f>
        <v>1.9345130427466621</v>
      </c>
      <c r="AE27" s="84">
        <f>'CC70 - Valores'!U11</f>
        <v>1.9386217383425588</v>
      </c>
      <c r="AF27" s="84">
        <f>'CC70 - Valores'!V11</f>
        <v>1.9427304339384557</v>
      </c>
      <c r="AG27" s="84">
        <f>'CC70 - Valores'!W11</f>
        <v>1.9468391295343526</v>
      </c>
      <c r="AH27" s="84">
        <f>'CC70 - Valores'!X11</f>
        <v>1.9509478251302492</v>
      </c>
      <c r="AI27" s="84">
        <f>'CC70 - Valores'!Y11</f>
        <v>1.9550565207261461</v>
      </c>
      <c r="AJ27" s="84">
        <f>'CC70 - Valores'!Z11</f>
        <v>1.959165216322043</v>
      </c>
      <c r="AK27" s="84">
        <f>'CC70 - Valores'!AA11</f>
        <v>1.9632739119179397</v>
      </c>
      <c r="AL27" s="84">
        <f>'CC70 - Valores'!AB11</f>
        <v>1.9673826075138365</v>
      </c>
      <c r="AM27" s="84">
        <f>'CC70 - Valores'!AC11</f>
        <v>1.9714913031097332</v>
      </c>
      <c r="AN27" s="84">
        <f>'CC70 - Valores'!AD11</f>
        <v>1.9755999987056301</v>
      </c>
      <c r="AO27" s="84">
        <f>'CC70 - Valores'!AE11</f>
        <v>1.979708694301527</v>
      </c>
      <c r="AP27" s="84">
        <f>'CC70 - Valores'!AF11</f>
        <v>1.9838173898974238</v>
      </c>
      <c r="AQ27" s="84">
        <f>'CC70 - Valores'!AG11</f>
        <v>1.9879260854933205</v>
      </c>
      <c r="AR27" s="84">
        <f>'CC70 - Valores'!AH11</f>
        <v>1.9920347810892174</v>
      </c>
      <c r="AS27" s="84">
        <f>'CC70 - Valores'!AI11</f>
        <v>1.996143476685114</v>
      </c>
      <c r="AT27" s="84">
        <f>'CC70 - Valores'!AJ11</f>
        <v>2.0002521722810109</v>
      </c>
      <c r="AU27" s="84">
        <f>'CC70 - Valores'!AK11</f>
        <v>2.0043608678769078</v>
      </c>
      <c r="AV27" s="84">
        <f>'CC70 - Valores'!AL11</f>
        <v>2.0084695634728047</v>
      </c>
      <c r="AW27" s="84">
        <f>'CC70 - Valores'!AM11</f>
        <v>2.0125782590687016</v>
      </c>
      <c r="AX27" s="84">
        <f>'CC70 - Valores'!AN11</f>
        <v>2.016686954664598</v>
      </c>
      <c r="AY27" s="84">
        <f>'CC70 - Valores'!AO11</f>
        <v>2.0207956502604949</v>
      </c>
      <c r="AZ27" s="84">
        <f>'CC70 - Valores'!AP11</f>
        <v>2.0249043458563918</v>
      </c>
      <c r="BA27" s="84">
        <f>'CC70 - Valores'!AQ11</f>
        <v>2.0290130414522887</v>
      </c>
      <c r="BB27" s="84">
        <f>'CC70 - Valores'!AR11</f>
        <v>2.0331217370481856</v>
      </c>
      <c r="BC27" s="84">
        <f>'CC70 - Valores'!AS11</f>
        <v>2.0372304326440824</v>
      </c>
      <c r="BD27" s="84">
        <f>'CC70 - Valores'!AT11</f>
        <v>2.0413391282399789</v>
      </c>
      <c r="BE27" s="84">
        <f>'CC70 - Valores'!AU11</f>
        <v>2.0454478238358758</v>
      </c>
      <c r="BF27" s="84">
        <f>'CC70 - Valores'!AV11</f>
        <v>2.0495565194317726</v>
      </c>
      <c r="BG27" s="84">
        <f>'CC70 - Valores'!AW11</f>
        <v>2.0536652150276695</v>
      </c>
      <c r="BH27" s="84">
        <f>'CC70 - Valores'!AX11</f>
        <v>2.0577739106235664</v>
      </c>
      <c r="BI27" s="84">
        <f>'CC70 - Valores'!AY11</f>
        <v>2.0618826062194628</v>
      </c>
      <c r="BJ27" s="84">
        <f>'CC70 - Valores'!AZ11</f>
        <v>2.0659913018153597</v>
      </c>
      <c r="BK27" s="84">
        <f>'CC70 - Valores'!BA11</f>
        <v>2.0700999974112566</v>
      </c>
    </row>
    <row r="28" spans="1:63" x14ac:dyDescent="0.3">
      <c r="A28" s="386"/>
      <c r="B28" t="s">
        <v>384</v>
      </c>
      <c r="C28" s="82">
        <f t="shared" ref="C28:J28" si="20">C12</f>
        <v>0.75451915088664168</v>
      </c>
      <c r="D28" s="82">
        <f t="shared" si="20"/>
        <v>0.86984045875205818</v>
      </c>
      <c r="E28" s="82">
        <f t="shared" si="20"/>
        <v>0.62762476138532863</v>
      </c>
      <c r="F28" s="82">
        <f t="shared" si="20"/>
        <v>0.78062719387311064</v>
      </c>
      <c r="G28" s="82">
        <f t="shared" si="20"/>
        <v>0.97859439595774</v>
      </c>
      <c r="H28" s="82">
        <f t="shared" si="20"/>
        <v>1.1661005267562643</v>
      </c>
      <c r="I28" s="82">
        <f t="shared" si="20"/>
        <v>1.505259203606311</v>
      </c>
      <c r="J28" s="82">
        <f t="shared" si="20"/>
        <v>1.2425064833242869</v>
      </c>
      <c r="K28" s="82">
        <f t="shared" si="4"/>
        <v>1.4456936494957755</v>
      </c>
      <c r="L28" s="82">
        <f t="shared" si="4"/>
        <v>1.5515429187441045</v>
      </c>
      <c r="M28" s="82">
        <f t="shared" si="4"/>
        <v>1.4557525951557093</v>
      </c>
      <c r="N28" s="82">
        <f t="shared" si="4"/>
        <v>1.4921974083264409</v>
      </c>
      <c r="O28" s="82">
        <f t="shared" si="4"/>
        <v>1.5130165472497585</v>
      </c>
      <c r="P28" s="82">
        <f t="shared" ref="P28" si="21">P12</f>
        <v>1.8078000000000145</v>
      </c>
      <c r="Q28" s="84">
        <f>'CC70 - Valores'!G12</f>
        <v>1.8078000000000145</v>
      </c>
      <c r="R28" s="84">
        <f>'CC70 - Valores'!H12</f>
        <v>1.8161446808510779</v>
      </c>
      <c r="S28" s="84">
        <f>'CC70 - Valores'!I12</f>
        <v>1.8244893617021416</v>
      </c>
      <c r="T28" s="84">
        <f>'CC70 - Valores'!J12</f>
        <v>1.832834042553205</v>
      </c>
      <c r="U28" s="84">
        <f>'CC70 - Valores'!K12</f>
        <v>1.8411787234042687</v>
      </c>
      <c r="V28" s="84">
        <f>'CC70 - Valores'!L12</f>
        <v>1.8495234042553321</v>
      </c>
      <c r="W28" s="84">
        <f>'CC70 - Valores'!M12</f>
        <v>1.8578680851063956</v>
      </c>
      <c r="X28" s="84">
        <f>'CC70 - Valores'!N12</f>
        <v>1.8662127659574592</v>
      </c>
      <c r="Y28" s="84">
        <f>'CC70 - Valores'!O12</f>
        <v>1.8745574468085227</v>
      </c>
      <c r="Z28" s="84">
        <f>'CC70 - Valores'!P12</f>
        <v>1.8829021276595863</v>
      </c>
      <c r="AA28" s="84">
        <f>'CC70 - Valores'!Q12</f>
        <v>1.8912468085106497</v>
      </c>
      <c r="AB28" s="84">
        <f>'CC70 - Valores'!R12</f>
        <v>1.8995914893617132</v>
      </c>
      <c r="AC28" s="84">
        <f>'CC70 - Valores'!S12</f>
        <v>1.9079361702127768</v>
      </c>
      <c r="AD28" s="84">
        <f>'CC70 - Valores'!T12</f>
        <v>1.9162808510638403</v>
      </c>
      <c r="AE28" s="84">
        <f>'CC70 - Valores'!U12</f>
        <v>1.9246255319149039</v>
      </c>
      <c r="AF28" s="84">
        <f>'CC70 - Valores'!V12</f>
        <v>1.9329702127659674</v>
      </c>
      <c r="AG28" s="84">
        <f>'CC70 - Valores'!W12</f>
        <v>1.9413148936170308</v>
      </c>
      <c r="AH28" s="84">
        <f>'CC70 - Valores'!X12</f>
        <v>1.9496595744680945</v>
      </c>
      <c r="AI28" s="84">
        <f>'CC70 - Valores'!Y12</f>
        <v>1.9580042553191579</v>
      </c>
      <c r="AJ28" s="84">
        <f>'CC70 - Valores'!Z12</f>
        <v>1.9663489361702216</v>
      </c>
      <c r="AK28" s="84">
        <f>'CC70 - Valores'!AA12</f>
        <v>1.974693617021285</v>
      </c>
      <c r="AL28" s="84">
        <f>'CC70 - Valores'!AB12</f>
        <v>1.9830382978723484</v>
      </c>
      <c r="AM28" s="84">
        <f>'CC70 - Valores'!AC12</f>
        <v>1.9913829787234121</v>
      </c>
      <c r="AN28" s="84">
        <f>'CC70 - Valores'!AD12</f>
        <v>1.9997276595744755</v>
      </c>
      <c r="AO28" s="84">
        <f>'CC70 - Valores'!AE12</f>
        <v>2.0080723404255392</v>
      </c>
      <c r="AP28" s="84">
        <f>'CC70 - Valores'!AF12</f>
        <v>2.0164170212766024</v>
      </c>
      <c r="AQ28" s="84">
        <f>'CC70 - Valores'!AG12</f>
        <v>2.024761702127666</v>
      </c>
      <c r="AR28" s="84">
        <f>'CC70 - Valores'!AH12</f>
        <v>2.0331063829787297</v>
      </c>
      <c r="AS28" s="84">
        <f>'CC70 - Valores'!AI12</f>
        <v>2.0414510638297934</v>
      </c>
      <c r="AT28" s="84">
        <f>'CC70 - Valores'!AJ12</f>
        <v>2.0497957446808566</v>
      </c>
      <c r="AU28" s="84">
        <f>'CC70 - Valores'!AK12</f>
        <v>2.0581404255319202</v>
      </c>
      <c r="AV28" s="84">
        <f>'CC70 - Valores'!AL12</f>
        <v>2.0664851063829839</v>
      </c>
      <c r="AW28" s="84">
        <f>'CC70 - Valores'!AM12</f>
        <v>2.0748297872340471</v>
      </c>
      <c r="AX28" s="84">
        <f>'CC70 - Valores'!AN12</f>
        <v>2.0831744680851108</v>
      </c>
      <c r="AY28" s="84">
        <f>'CC70 - Valores'!AO12</f>
        <v>2.0915191489361744</v>
      </c>
      <c r="AZ28" s="84">
        <f>'CC70 - Valores'!AP12</f>
        <v>2.0998638297872381</v>
      </c>
      <c r="BA28" s="84">
        <f>'CC70 - Valores'!AQ12</f>
        <v>2.1082085106383013</v>
      </c>
      <c r="BB28" s="84">
        <f>'CC70 - Valores'!AR12</f>
        <v>2.1165531914893649</v>
      </c>
      <c r="BC28" s="84">
        <f>'CC70 - Valores'!AS12</f>
        <v>2.1248978723404286</v>
      </c>
      <c r="BD28" s="84">
        <f>'CC70 - Valores'!AT12</f>
        <v>2.1332425531914918</v>
      </c>
      <c r="BE28" s="84">
        <f>'CC70 - Valores'!AU12</f>
        <v>2.1415872340425555</v>
      </c>
      <c r="BF28" s="84">
        <f>'CC70 - Valores'!AV12</f>
        <v>2.1499319148936191</v>
      </c>
      <c r="BG28" s="84">
        <f>'CC70 - Valores'!AW12</f>
        <v>2.1582765957446823</v>
      </c>
      <c r="BH28" s="84">
        <f>'CC70 - Valores'!AX12</f>
        <v>2.166621276595746</v>
      </c>
      <c r="BI28" s="84">
        <f>'CC70 - Valores'!AY12</f>
        <v>2.1749659574468097</v>
      </c>
      <c r="BJ28" s="84">
        <f>'CC70 - Valores'!AZ12</f>
        <v>2.1833106382978729</v>
      </c>
      <c r="BK28" s="84">
        <f>'CC70 - Valores'!BA12</f>
        <v>2.1916553191489365</v>
      </c>
    </row>
    <row r="29" spans="1:63" x14ac:dyDescent="0.3">
      <c r="A29" s="386"/>
      <c r="B29" t="s">
        <v>385</v>
      </c>
      <c r="C29" s="82">
        <f t="shared" ref="C29:J29" si="22">C13</f>
        <v>7.2170067804382718</v>
      </c>
      <c r="D29" s="82">
        <f t="shared" si="22"/>
        <v>6.3185309765997699</v>
      </c>
      <c r="E29" s="82">
        <f t="shared" si="22"/>
        <v>7.1299036786350793</v>
      </c>
      <c r="F29" s="82">
        <f t="shared" si="22"/>
        <v>5.9774600170919303</v>
      </c>
      <c r="G29" s="82">
        <f t="shared" si="22"/>
        <v>10.241910038862596</v>
      </c>
      <c r="H29" s="82">
        <f t="shared" si="22"/>
        <v>9.9296321969458283</v>
      </c>
      <c r="I29" s="82">
        <f t="shared" si="22"/>
        <v>10.765855704697987</v>
      </c>
      <c r="J29" s="82">
        <f t="shared" si="22"/>
        <v>10.293925805136567</v>
      </c>
      <c r="K29" s="82">
        <f t="shared" si="4"/>
        <v>9.9292230892816153</v>
      </c>
      <c r="L29" s="82">
        <f t="shared" si="4"/>
        <v>10.374113475177305</v>
      </c>
      <c r="M29" s="82">
        <f t="shared" si="4"/>
        <v>11.860907539403675</v>
      </c>
      <c r="N29" s="82">
        <f t="shared" si="4"/>
        <v>9.3249917952084029</v>
      </c>
      <c r="O29" s="82">
        <f t="shared" si="4"/>
        <v>11.165104791856413</v>
      </c>
      <c r="P29" s="82">
        <f t="shared" ref="P29" si="23">P13</f>
        <v>12.049399999999878</v>
      </c>
      <c r="Q29" s="84">
        <f>'CC70 - Valores'!G13</f>
        <v>12.049399999999878</v>
      </c>
      <c r="R29" s="84">
        <f>'CC70 - Valores'!H13</f>
        <v>12.095157446808392</v>
      </c>
      <c r="S29" s="84">
        <f>'CC70 - Valores'!I13</f>
        <v>12.140914893616904</v>
      </c>
      <c r="T29" s="84">
        <f>'CC70 - Valores'!J13</f>
        <v>12.186672340425417</v>
      </c>
      <c r="U29" s="84">
        <f>'CC70 - Valores'!K13</f>
        <v>12.232429787233931</v>
      </c>
      <c r="V29" s="84">
        <f>'CC70 - Valores'!L13</f>
        <v>12.278187234042443</v>
      </c>
      <c r="W29" s="84">
        <f>'CC70 - Valores'!M13</f>
        <v>12.323944680850957</v>
      </c>
      <c r="X29" s="84">
        <f>'CC70 - Valores'!N13</f>
        <v>12.369702127659471</v>
      </c>
      <c r="Y29" s="84">
        <f>'CC70 - Valores'!O13</f>
        <v>12.415459574467983</v>
      </c>
      <c r="Z29" s="84">
        <f>'CC70 - Valores'!P13</f>
        <v>12.461217021276497</v>
      </c>
      <c r="AA29" s="84">
        <f>'CC70 - Valores'!Q13</f>
        <v>12.50697446808501</v>
      </c>
      <c r="AB29" s="84">
        <f>'CC70 - Valores'!R13</f>
        <v>12.552731914893524</v>
      </c>
      <c r="AC29" s="84">
        <f>'CC70 - Valores'!S13</f>
        <v>12.598489361702036</v>
      </c>
      <c r="AD29" s="84">
        <f>'CC70 - Valores'!T13</f>
        <v>12.64424680851055</v>
      </c>
      <c r="AE29" s="84">
        <f>'CC70 - Valores'!U13</f>
        <v>12.690004255319064</v>
      </c>
      <c r="AF29" s="84">
        <f>'CC70 - Valores'!V13</f>
        <v>12.735761702127576</v>
      </c>
      <c r="AG29" s="84">
        <f>'CC70 - Valores'!W13</f>
        <v>12.78151914893609</v>
      </c>
      <c r="AH29" s="84">
        <f>'CC70 - Valores'!X13</f>
        <v>12.827276595744603</v>
      </c>
      <c r="AI29" s="84">
        <f>'CC70 - Valores'!Y13</f>
        <v>12.873034042553115</v>
      </c>
      <c r="AJ29" s="84">
        <f>'CC70 - Valores'!Z13</f>
        <v>12.918791489361629</v>
      </c>
      <c r="AK29" s="84">
        <f>'CC70 - Valores'!AA13</f>
        <v>12.964548936170143</v>
      </c>
      <c r="AL29" s="84">
        <f>'CC70 - Valores'!AB13</f>
        <v>13.010306382978655</v>
      </c>
      <c r="AM29" s="84">
        <f>'CC70 - Valores'!AC13</f>
        <v>13.056063829787169</v>
      </c>
      <c r="AN29" s="84">
        <f>'CC70 - Valores'!AD13</f>
        <v>13.101821276595683</v>
      </c>
      <c r="AO29" s="84">
        <f>'CC70 - Valores'!AE13</f>
        <v>13.147578723404195</v>
      </c>
      <c r="AP29" s="84">
        <f>'CC70 - Valores'!AF13</f>
        <v>13.193336170212708</v>
      </c>
      <c r="AQ29" s="84">
        <f>'CC70 - Valores'!AG13</f>
        <v>13.239093617021222</v>
      </c>
      <c r="AR29" s="84">
        <f>'CC70 - Valores'!AH13</f>
        <v>13.284851063829734</v>
      </c>
      <c r="AS29" s="84">
        <f>'CC70 - Valores'!AI13</f>
        <v>13.330608510638248</v>
      </c>
      <c r="AT29" s="84">
        <f>'CC70 - Valores'!AJ13</f>
        <v>13.376365957446762</v>
      </c>
      <c r="AU29" s="84">
        <f>'CC70 - Valores'!AK13</f>
        <v>13.422123404255274</v>
      </c>
      <c r="AV29" s="84">
        <f>'CC70 - Valores'!AL13</f>
        <v>13.467880851063788</v>
      </c>
      <c r="AW29" s="84">
        <f>'CC70 - Valores'!AM13</f>
        <v>13.513638297872301</v>
      </c>
      <c r="AX29" s="84">
        <f>'CC70 - Valores'!AN13</f>
        <v>13.559395744680813</v>
      </c>
      <c r="AY29" s="84">
        <f>'CC70 - Valores'!AO13</f>
        <v>13.605153191489327</v>
      </c>
      <c r="AZ29" s="84">
        <f>'CC70 - Valores'!AP13</f>
        <v>13.650910638297841</v>
      </c>
      <c r="BA29" s="84">
        <f>'CC70 - Valores'!AQ13</f>
        <v>13.696668085106353</v>
      </c>
      <c r="BB29" s="84">
        <f>'CC70 - Valores'!AR13</f>
        <v>13.742425531914867</v>
      </c>
      <c r="BC29" s="84">
        <f>'CC70 - Valores'!AS13</f>
        <v>13.788182978723381</v>
      </c>
      <c r="BD29" s="84">
        <f>'CC70 - Valores'!AT13</f>
        <v>13.833940425531893</v>
      </c>
      <c r="BE29" s="84">
        <f>'CC70 - Valores'!AU13</f>
        <v>13.879697872340406</v>
      </c>
      <c r="BF29" s="84">
        <f>'CC70 - Valores'!AV13</f>
        <v>13.92545531914892</v>
      </c>
      <c r="BG29" s="84">
        <f>'CC70 - Valores'!AW13</f>
        <v>13.971212765957434</v>
      </c>
      <c r="BH29" s="84">
        <f>'CC70 - Valores'!AX13</f>
        <v>14.016970212765946</v>
      </c>
      <c r="BI29" s="84">
        <f>'CC70 - Valores'!AY13</f>
        <v>14.06272765957446</v>
      </c>
      <c r="BJ29" s="84">
        <f>'CC70 - Valores'!AZ13</f>
        <v>14.108485106382973</v>
      </c>
      <c r="BK29" s="84">
        <f>'CC70 - Valores'!BA13</f>
        <v>14.154242553191485</v>
      </c>
    </row>
    <row r="30" spans="1:63" x14ac:dyDescent="0.3">
      <c r="A30" s="386"/>
      <c r="B30" t="s">
        <v>386</v>
      </c>
      <c r="C30" s="82">
        <f t="shared" ref="C30:J30" si="24">C14</f>
        <v>4.7410408126434112</v>
      </c>
      <c r="D30" s="82">
        <f t="shared" si="24"/>
        <v>4.8532368074667938</v>
      </c>
      <c r="E30" s="82">
        <f t="shared" si="24"/>
        <v>5.8565152380632375</v>
      </c>
      <c r="F30" s="82">
        <f t="shared" si="24"/>
        <v>4.6757077331285606</v>
      </c>
      <c r="G30" s="82">
        <f t="shared" si="24"/>
        <v>6.4872116979046277</v>
      </c>
      <c r="H30" s="82">
        <f t="shared" si="24"/>
        <v>7.34537978395816</v>
      </c>
      <c r="I30" s="82">
        <f t="shared" si="24"/>
        <v>5.8173798949099709</v>
      </c>
      <c r="J30" s="82">
        <f t="shared" si="24"/>
        <v>7.1572330766544541</v>
      </c>
      <c r="K30" s="82">
        <f t="shared" si="4"/>
        <v>5.8907862560616735</v>
      </c>
      <c r="L30" s="82">
        <f t="shared" si="4"/>
        <v>5.0618074550282515</v>
      </c>
      <c r="M30" s="82">
        <f t="shared" si="4"/>
        <v>5.5734874726479289</v>
      </c>
      <c r="N30" s="82">
        <f t="shared" si="4"/>
        <v>6.6674589016658894</v>
      </c>
      <c r="O30" s="82">
        <f t="shared" si="4"/>
        <v>9.8120761579853699</v>
      </c>
      <c r="P30" s="82">
        <f t="shared" ref="P30" si="25">P14</f>
        <v>7.6707999999999856</v>
      </c>
      <c r="Q30" s="84">
        <f>'CC70 - Valores'!G14</f>
        <v>7.6707999999999856</v>
      </c>
      <c r="R30" s="84">
        <f>'CC70 - Valores'!H14</f>
        <v>7.71547642951331</v>
      </c>
      <c r="S30" s="84">
        <f>'CC70 - Valores'!I14</f>
        <v>7.7601528590266353</v>
      </c>
      <c r="T30" s="84">
        <f>'CC70 - Valores'!J14</f>
        <v>7.8048292885399597</v>
      </c>
      <c r="U30" s="84">
        <f>'CC70 - Valores'!K14</f>
        <v>7.849505718053285</v>
      </c>
      <c r="V30" s="84">
        <f>'CC70 - Valores'!L14</f>
        <v>7.8941821475666094</v>
      </c>
      <c r="W30" s="84">
        <f>'CC70 - Valores'!M14</f>
        <v>7.9388585770799338</v>
      </c>
      <c r="X30" s="84">
        <f>'CC70 - Valores'!N14</f>
        <v>7.9835350065932591</v>
      </c>
      <c r="Y30" s="84">
        <f>'CC70 - Valores'!O14</f>
        <v>8.0282114361065844</v>
      </c>
      <c r="Z30" s="84">
        <f>'CC70 - Valores'!P14</f>
        <v>8.0728878656199079</v>
      </c>
      <c r="AA30" s="84">
        <f>'CC70 - Valores'!Q14</f>
        <v>8.1175642951332332</v>
      </c>
      <c r="AB30" s="84">
        <f>'CC70 - Valores'!R14</f>
        <v>8.1622407246465585</v>
      </c>
      <c r="AC30" s="84">
        <f>'CC70 - Valores'!S14</f>
        <v>8.206917154159882</v>
      </c>
      <c r="AD30" s="84">
        <f>'CC70 - Valores'!T14</f>
        <v>8.2515935836732073</v>
      </c>
      <c r="AE30" s="84">
        <f>'CC70 - Valores'!U14</f>
        <v>8.2962700131865326</v>
      </c>
      <c r="AF30" s="84">
        <f>'CC70 - Valores'!V14</f>
        <v>8.3409464426998579</v>
      </c>
      <c r="AG30" s="84">
        <f>'CC70 - Valores'!W14</f>
        <v>8.3856228722131814</v>
      </c>
      <c r="AH30" s="84">
        <f>'CC70 - Valores'!X14</f>
        <v>8.4302993017265067</v>
      </c>
      <c r="AI30" s="84">
        <f>'CC70 - Valores'!Y14</f>
        <v>8.4749757312398319</v>
      </c>
      <c r="AJ30" s="84">
        <f>'CC70 - Valores'!Z14</f>
        <v>8.5196521607531555</v>
      </c>
      <c r="AK30" s="84">
        <f>'CC70 - Valores'!AA14</f>
        <v>8.5643285902664807</v>
      </c>
      <c r="AL30" s="84">
        <f>'CC70 - Valores'!AB14</f>
        <v>8.609005019779806</v>
      </c>
      <c r="AM30" s="84">
        <f>'CC70 - Valores'!AC14</f>
        <v>8.6536814492931313</v>
      </c>
      <c r="AN30" s="84">
        <f>'CC70 - Valores'!AD14</f>
        <v>8.6983578788064548</v>
      </c>
      <c r="AO30" s="84">
        <f>'CC70 - Valores'!AE14</f>
        <v>8.7430343083197801</v>
      </c>
      <c r="AP30" s="84">
        <f>'CC70 - Valores'!AF14</f>
        <v>8.7877107378331054</v>
      </c>
      <c r="AQ30" s="84">
        <f>'CC70 - Valores'!AG14</f>
        <v>8.8323871673464289</v>
      </c>
      <c r="AR30" s="84">
        <f>'CC70 - Valores'!AH14</f>
        <v>8.8770635968597542</v>
      </c>
      <c r="AS30" s="84">
        <f>'CC70 - Valores'!AI14</f>
        <v>8.9217400263730795</v>
      </c>
      <c r="AT30" s="84">
        <f>'CC70 - Valores'!AJ14</f>
        <v>8.966416455886403</v>
      </c>
      <c r="AU30" s="84">
        <f>'CC70 - Valores'!AK14</f>
        <v>9.0110928853997283</v>
      </c>
      <c r="AV30" s="84">
        <f>'CC70 - Valores'!AL14</f>
        <v>9.0557693149130536</v>
      </c>
      <c r="AW30" s="84">
        <f>'CC70 - Valores'!AM14</f>
        <v>9.1004457444263771</v>
      </c>
      <c r="AX30" s="84">
        <f>'CC70 - Valores'!AN14</f>
        <v>9.1451221739397024</v>
      </c>
      <c r="AY30" s="84">
        <f>'CC70 - Valores'!AO14</f>
        <v>9.1897986034530277</v>
      </c>
      <c r="AZ30" s="84">
        <f>'CC70 - Valores'!AP14</f>
        <v>9.234475032966353</v>
      </c>
      <c r="BA30" s="84">
        <f>'CC70 - Valores'!AQ14</f>
        <v>9.2791514624796765</v>
      </c>
      <c r="BB30" s="84">
        <f>'CC70 - Valores'!AR14</f>
        <v>9.3238278919930018</v>
      </c>
      <c r="BC30" s="84">
        <f>'CC70 - Valores'!AS14</f>
        <v>9.3685043215063271</v>
      </c>
      <c r="BD30" s="84">
        <f>'CC70 - Valores'!AT14</f>
        <v>9.4131807510196506</v>
      </c>
      <c r="BE30" s="84">
        <f>'CC70 - Valores'!AU14</f>
        <v>9.4578571805329759</v>
      </c>
      <c r="BF30" s="84">
        <f>'CC70 - Valores'!AV14</f>
        <v>9.5025336100463011</v>
      </c>
      <c r="BG30" s="84">
        <f>'CC70 - Valores'!AW14</f>
        <v>9.5472100395596264</v>
      </c>
      <c r="BH30" s="84">
        <f>'CC70 - Valores'!AX14</f>
        <v>9.59188646907295</v>
      </c>
      <c r="BI30" s="84">
        <f>'CC70 - Valores'!AY14</f>
        <v>9.6365628985862752</v>
      </c>
      <c r="BJ30" s="84">
        <f>'CC70 - Valores'!AZ14</f>
        <v>9.6812393280996005</v>
      </c>
      <c r="BK30" s="84">
        <f>'CC70 - Valores'!BA14</f>
        <v>9.725915757612924</v>
      </c>
    </row>
    <row r="31" spans="1:63" x14ac:dyDescent="0.3">
      <c r="A31" s="386"/>
      <c r="B31" t="s">
        <v>387</v>
      </c>
      <c r="C31" s="82">
        <f t="shared" ref="C31:J31" si="26">C15</f>
        <v>20.08933933933934</v>
      </c>
      <c r="D31" s="82">
        <f t="shared" si="26"/>
        <v>22.881238155401139</v>
      </c>
      <c r="E31" s="82">
        <f t="shared" si="26"/>
        <v>20.460188495287618</v>
      </c>
      <c r="F31" s="82">
        <f t="shared" si="26"/>
        <v>9.9026415094339626</v>
      </c>
      <c r="G31" s="82">
        <f t="shared" si="26"/>
        <v>19.127611168562563</v>
      </c>
      <c r="H31" s="82">
        <f t="shared" si="26"/>
        <v>17.659816024746032</v>
      </c>
      <c r="I31" s="82">
        <f t="shared" si="26"/>
        <v>9.779784178307743</v>
      </c>
      <c r="J31" s="82">
        <f t="shared" si="26"/>
        <v>11.232907118992863</v>
      </c>
      <c r="K31" s="82">
        <f t="shared" si="4"/>
        <v>11.381865046571704</v>
      </c>
      <c r="L31" s="82">
        <f t="shared" si="4"/>
        <v>12.922222196437646</v>
      </c>
      <c r="M31" s="82">
        <f t="shared" si="4"/>
        <v>14.344512787640847</v>
      </c>
      <c r="N31" s="82">
        <f t="shared" si="4"/>
        <v>14.623969180071411</v>
      </c>
      <c r="O31" s="82">
        <f t="shared" si="4"/>
        <v>13.371425940489321</v>
      </c>
      <c r="P31" s="82">
        <f t="shared" ref="P31" si="27">P15</f>
        <v>10.571800000000167</v>
      </c>
      <c r="Q31" s="84">
        <f>'CC70 - Valores'!G15</f>
        <v>10.571800000000167</v>
      </c>
      <c r="R31" s="84">
        <f>'CC70 - Valores'!H15</f>
        <v>10.647694803546035</v>
      </c>
      <c r="S31" s="84">
        <f>'CC70 - Valores'!I15</f>
        <v>10.723589607091904</v>
      </c>
      <c r="T31" s="84">
        <f>'CC70 - Valores'!J15</f>
        <v>10.799484410637772</v>
      </c>
      <c r="U31" s="84">
        <f>'CC70 - Valores'!K15</f>
        <v>10.87537921418364</v>
      </c>
      <c r="V31" s="84">
        <f>'CC70 - Valores'!L15</f>
        <v>10.95127401772951</v>
      </c>
      <c r="W31" s="84">
        <f>'CC70 - Valores'!M15</f>
        <v>11.027168821275378</v>
      </c>
      <c r="X31" s="84">
        <f>'CC70 - Valores'!N15</f>
        <v>11.103063624821246</v>
      </c>
      <c r="Y31" s="84">
        <f>'CC70 - Valores'!O15</f>
        <v>11.178958428367116</v>
      </c>
      <c r="Z31" s="84">
        <f>'CC70 - Valores'!P15</f>
        <v>11.254853231912984</v>
      </c>
      <c r="AA31" s="84">
        <f>'CC70 - Valores'!Q15</f>
        <v>11.330748035458852</v>
      </c>
      <c r="AB31" s="84">
        <f>'CC70 - Valores'!R15</f>
        <v>11.406642839004721</v>
      </c>
      <c r="AC31" s="84">
        <f>'CC70 - Valores'!S15</f>
        <v>11.482537642550589</v>
      </c>
      <c r="AD31" s="84">
        <f>'CC70 - Valores'!T15</f>
        <v>11.558432446096457</v>
      </c>
      <c r="AE31" s="84">
        <f>'CC70 - Valores'!U15</f>
        <v>11.634327249642327</v>
      </c>
      <c r="AF31" s="84">
        <f>'CC70 - Valores'!V15</f>
        <v>11.710222053188195</v>
      </c>
      <c r="AG31" s="84">
        <f>'CC70 - Valores'!W15</f>
        <v>11.786116856734065</v>
      </c>
      <c r="AH31" s="84">
        <f>'CC70 - Valores'!X15</f>
        <v>11.862011660279933</v>
      </c>
      <c r="AI31" s="84">
        <f>'CC70 - Valores'!Y15</f>
        <v>11.937906463825801</v>
      </c>
      <c r="AJ31" s="84">
        <f>'CC70 - Valores'!Z15</f>
        <v>12.013801267371669</v>
      </c>
      <c r="AK31" s="84">
        <f>'CC70 - Valores'!AA15</f>
        <v>12.089696070917539</v>
      </c>
      <c r="AL31" s="84">
        <f>'CC70 - Valores'!AB15</f>
        <v>12.165590874463406</v>
      </c>
      <c r="AM31" s="84">
        <f>'CC70 - Valores'!AC15</f>
        <v>12.241485678009274</v>
      </c>
      <c r="AN31" s="84">
        <f>'CC70 - Valores'!AD15</f>
        <v>12.317380481555144</v>
      </c>
      <c r="AO31" s="84">
        <f>'CC70 - Valores'!AE15</f>
        <v>12.393275285101012</v>
      </c>
      <c r="AP31" s="84">
        <f>'CC70 - Valores'!AF15</f>
        <v>12.46917008864688</v>
      </c>
      <c r="AQ31" s="84">
        <f>'CC70 - Valores'!AG15</f>
        <v>12.54506489219275</v>
      </c>
      <c r="AR31" s="84">
        <f>'CC70 - Valores'!AH15</f>
        <v>12.620959695738618</v>
      </c>
      <c r="AS31" s="84">
        <f>'CC70 - Valores'!AI15</f>
        <v>12.696854499284488</v>
      </c>
      <c r="AT31" s="84">
        <f>'CC70 - Valores'!AJ15</f>
        <v>12.772749302830356</v>
      </c>
      <c r="AU31" s="84">
        <f>'CC70 - Valores'!AK15</f>
        <v>12.848644106376224</v>
      </c>
      <c r="AV31" s="84">
        <f>'CC70 - Valores'!AL15</f>
        <v>12.924538909922092</v>
      </c>
      <c r="AW31" s="84">
        <f>'CC70 - Valores'!AM15</f>
        <v>13.000433713467961</v>
      </c>
      <c r="AX31" s="84">
        <f>'CC70 - Valores'!AN15</f>
        <v>13.076328517013829</v>
      </c>
      <c r="AY31" s="84">
        <f>'CC70 - Valores'!AO15</f>
        <v>13.152223320559699</v>
      </c>
      <c r="AZ31" s="84">
        <f>'CC70 - Valores'!AP15</f>
        <v>13.228118124105567</v>
      </c>
      <c r="BA31" s="84">
        <f>'CC70 - Valores'!AQ15</f>
        <v>13.304012927651435</v>
      </c>
      <c r="BB31" s="84">
        <f>'CC70 - Valores'!AR15</f>
        <v>13.379907731197305</v>
      </c>
      <c r="BC31" s="84">
        <f>'CC70 - Valores'!AS15</f>
        <v>13.455802534743173</v>
      </c>
      <c r="BD31" s="84">
        <f>'CC70 - Valores'!AT15</f>
        <v>13.531697338289042</v>
      </c>
      <c r="BE31" s="84">
        <f>'CC70 - Valores'!AU15</f>
        <v>13.60759214183491</v>
      </c>
      <c r="BF31" s="84">
        <f>'CC70 - Valores'!AV15</f>
        <v>13.683486945380778</v>
      </c>
      <c r="BG31" s="84">
        <f>'CC70 - Valores'!AW15</f>
        <v>13.759381748926646</v>
      </c>
      <c r="BH31" s="84">
        <f>'CC70 - Valores'!AX15</f>
        <v>13.835276552472514</v>
      </c>
      <c r="BI31" s="84">
        <f>'CC70 - Valores'!AY15</f>
        <v>13.911171356018384</v>
      </c>
      <c r="BJ31" s="84">
        <f>'CC70 - Valores'!AZ15</f>
        <v>13.987066159564252</v>
      </c>
      <c r="BK31" s="84">
        <f>'CC70 - Valores'!BA15</f>
        <v>14.062960963110122</v>
      </c>
    </row>
    <row r="32" spans="1:63" x14ac:dyDescent="0.3">
      <c r="A32" s="386"/>
      <c r="B32" t="s">
        <v>388</v>
      </c>
      <c r="C32" s="82">
        <f t="shared" ref="C32:J32" si="28">C16</f>
        <v>0</v>
      </c>
      <c r="D32" s="82">
        <f t="shared" si="28"/>
        <v>0</v>
      </c>
      <c r="E32" s="82">
        <f t="shared" si="28"/>
        <v>0</v>
      </c>
      <c r="F32" s="82">
        <f t="shared" si="28"/>
        <v>0</v>
      </c>
      <c r="G32" s="82">
        <f t="shared" si="28"/>
        <v>71.313941598573763</v>
      </c>
      <c r="H32" s="82">
        <f t="shared" si="28"/>
        <v>77.600192829050854</v>
      </c>
      <c r="I32" s="82">
        <f t="shared" si="28"/>
        <v>63.930904968869726</v>
      </c>
      <c r="J32" s="82">
        <f t="shared" si="28"/>
        <v>68.002762025316457</v>
      </c>
      <c r="K32" s="82">
        <f t="shared" si="4"/>
        <v>72.656153620689651</v>
      </c>
      <c r="L32" s="82">
        <f t="shared" si="4"/>
        <v>60.822164783012298</v>
      </c>
      <c r="M32" s="82">
        <f t="shared" si="4"/>
        <v>79.535751217038523</v>
      </c>
      <c r="N32" s="82">
        <f t="shared" si="4"/>
        <v>63.011435803532962</v>
      </c>
      <c r="O32" s="82">
        <f t="shared" si="4"/>
        <v>47.752700636522462</v>
      </c>
      <c r="P32" s="82">
        <f t="shared" ref="P32" si="29">P16</f>
        <v>57.706900000000132</v>
      </c>
      <c r="Q32" s="84">
        <f>'CC70 - Valores'!G16</f>
        <v>57.706900000000132</v>
      </c>
      <c r="R32" s="84">
        <f>'CC70 - Valores'!H16</f>
        <v>58.116813546207588</v>
      </c>
      <c r="S32" s="84">
        <f>'CC70 - Valores'!I16</f>
        <v>58.526727092415044</v>
      </c>
      <c r="T32" s="84">
        <f>'CC70 - Valores'!J16</f>
        <v>58.936640638622492</v>
      </c>
      <c r="U32" s="84">
        <f>'CC70 - Valores'!K16</f>
        <v>59.346554184829948</v>
      </c>
      <c r="V32" s="84">
        <f>'CC70 - Valores'!L16</f>
        <v>59.756467731037404</v>
      </c>
      <c r="W32" s="84">
        <f>'CC70 - Valores'!M16</f>
        <v>60.166381277244859</v>
      </c>
      <c r="X32" s="84">
        <f>'CC70 - Valores'!N16</f>
        <v>60.576294823452308</v>
      </c>
      <c r="Y32" s="84">
        <f>'CC70 - Valores'!O16</f>
        <v>60.986208369659764</v>
      </c>
      <c r="Z32" s="84">
        <f>'CC70 - Valores'!P16</f>
        <v>61.396121915867219</v>
      </c>
      <c r="AA32" s="84">
        <f>'CC70 - Valores'!Q16</f>
        <v>61.806035462074675</v>
      </c>
      <c r="AB32" s="84">
        <f>'CC70 - Valores'!R16</f>
        <v>62.215949008282124</v>
      </c>
      <c r="AC32" s="84">
        <f>'CC70 - Valores'!S16</f>
        <v>62.625862554489579</v>
      </c>
      <c r="AD32" s="84">
        <f>'CC70 - Valores'!T16</f>
        <v>63.035776100697035</v>
      </c>
      <c r="AE32" s="84">
        <f>'CC70 - Valores'!U16</f>
        <v>63.445689646904491</v>
      </c>
      <c r="AF32" s="84">
        <f>'CC70 - Valores'!V16</f>
        <v>63.855603193111946</v>
      </c>
      <c r="AG32" s="84">
        <f>'CC70 - Valores'!W16</f>
        <v>64.265516739319395</v>
      </c>
      <c r="AH32" s="84">
        <f>'CC70 - Valores'!X16</f>
        <v>64.675430285526858</v>
      </c>
      <c r="AI32" s="84">
        <f>'CC70 - Valores'!Y16</f>
        <v>65.085343831734306</v>
      </c>
      <c r="AJ32" s="84">
        <f>'CC70 - Valores'!Z16</f>
        <v>65.495257377941755</v>
      </c>
      <c r="AK32" s="84">
        <f>'CC70 - Valores'!AA16</f>
        <v>65.905170924149218</v>
      </c>
      <c r="AL32" s="84">
        <f>'CC70 - Valores'!AB16</f>
        <v>66.315084470356666</v>
      </c>
      <c r="AM32" s="84">
        <f>'CC70 - Valores'!AC16</f>
        <v>66.724998016564115</v>
      </c>
      <c r="AN32" s="84">
        <f>'CC70 - Valores'!AD16</f>
        <v>67.134911562771578</v>
      </c>
      <c r="AO32" s="84">
        <f>'CC70 - Valores'!AE16</f>
        <v>67.544825108979026</v>
      </c>
      <c r="AP32" s="84">
        <f>'CC70 - Valores'!AF16</f>
        <v>67.954738655186489</v>
      </c>
      <c r="AQ32" s="84">
        <f>'CC70 - Valores'!AG16</f>
        <v>68.364652201393938</v>
      </c>
      <c r="AR32" s="84">
        <f>'CC70 - Valores'!AH16</f>
        <v>68.774565747601386</v>
      </c>
      <c r="AS32" s="84">
        <f>'CC70 - Valores'!AI16</f>
        <v>69.184479293808849</v>
      </c>
      <c r="AT32" s="84">
        <f>'CC70 - Valores'!AJ16</f>
        <v>69.594392840016297</v>
      </c>
      <c r="AU32" s="84">
        <f>'CC70 - Valores'!AK16</f>
        <v>70.00430638622376</v>
      </c>
      <c r="AV32" s="84">
        <f>'CC70 - Valores'!AL16</f>
        <v>70.414219932431209</v>
      </c>
      <c r="AW32" s="84">
        <f>'CC70 - Valores'!AM16</f>
        <v>70.824133478638657</v>
      </c>
      <c r="AX32" s="84">
        <f>'CC70 - Valores'!AN16</f>
        <v>71.23404702484612</v>
      </c>
      <c r="AY32" s="84">
        <f>'CC70 - Valores'!AO16</f>
        <v>71.643960571053569</v>
      </c>
      <c r="AZ32" s="84">
        <f>'CC70 - Valores'!AP16</f>
        <v>72.053874117261017</v>
      </c>
      <c r="BA32" s="84">
        <f>'CC70 - Valores'!AQ16</f>
        <v>72.46378766346848</v>
      </c>
      <c r="BB32" s="84">
        <f>'CC70 - Valores'!AR16</f>
        <v>72.873701209675929</v>
      </c>
      <c r="BC32" s="84">
        <f>'CC70 - Valores'!AS16</f>
        <v>73.283614755883377</v>
      </c>
      <c r="BD32" s="84">
        <f>'CC70 - Valores'!AT16</f>
        <v>73.69352830209084</v>
      </c>
      <c r="BE32" s="84">
        <f>'CC70 - Valores'!AU16</f>
        <v>74.103441848298289</v>
      </c>
      <c r="BF32" s="84">
        <f>'CC70 - Valores'!AV16</f>
        <v>74.513355394505751</v>
      </c>
      <c r="BG32" s="84">
        <f>'CC70 - Valores'!AW16</f>
        <v>74.9232689407132</v>
      </c>
      <c r="BH32" s="84">
        <f>'CC70 - Valores'!AX16</f>
        <v>75.333182486920663</v>
      </c>
      <c r="BI32" s="84">
        <f>'CC70 - Valores'!AY16</f>
        <v>75.743096033128111</v>
      </c>
      <c r="BJ32" s="84">
        <f>'CC70 - Valores'!AZ16</f>
        <v>76.15300957933556</v>
      </c>
      <c r="BK32" s="84">
        <f>'CC70 - Valores'!BA16</f>
        <v>76.562923125543023</v>
      </c>
    </row>
    <row r="33" spans="1:63" x14ac:dyDescent="0.3">
      <c r="A33" s="386"/>
      <c r="B33" t="s">
        <v>389</v>
      </c>
      <c r="C33" s="82">
        <f t="shared" ref="C33:J33" si="30">C17</f>
        <v>4.3399451081938354</v>
      </c>
      <c r="D33" s="82">
        <f t="shared" si="30"/>
        <v>4.4791927432968537</v>
      </c>
      <c r="E33" s="82">
        <f t="shared" si="30"/>
        <v>4.2178381873535038</v>
      </c>
      <c r="F33" s="82">
        <f t="shared" si="30"/>
        <v>3.8209693273180934</v>
      </c>
      <c r="G33" s="82">
        <f t="shared" si="30"/>
        <v>3.8966781123636114</v>
      </c>
      <c r="H33" s="82">
        <f t="shared" si="30"/>
        <v>4.4060733051287997</v>
      </c>
      <c r="I33" s="82">
        <f t="shared" si="30"/>
        <v>4.190502848217065</v>
      </c>
      <c r="J33" s="82">
        <f t="shared" si="30"/>
        <v>2.9785367215861491</v>
      </c>
      <c r="K33" s="82">
        <f t="shared" si="4"/>
        <v>4.5259874353834082</v>
      </c>
      <c r="L33" s="82">
        <f t="shared" si="4"/>
        <v>4.2743933486996308</v>
      </c>
      <c r="M33" s="82">
        <f t="shared" si="4"/>
        <v>4.2716667305897547</v>
      </c>
      <c r="N33" s="82">
        <f t="shared" si="4"/>
        <v>4.4205054058263613</v>
      </c>
      <c r="O33" s="82">
        <f t="shared" si="4"/>
        <v>4.5880063438264829</v>
      </c>
      <c r="P33" s="82">
        <f t="shared" ref="P33" si="31">P17</f>
        <v>4.2968999999999973</v>
      </c>
      <c r="Q33" s="84">
        <f>'CC70 - Valores'!G17</f>
        <v>4.2968999999999973</v>
      </c>
      <c r="R33" s="84">
        <f>'CC70 - Valores'!H17</f>
        <v>4.3469733255846386</v>
      </c>
      <c r="S33" s="84">
        <f>'CC70 - Valores'!I17</f>
        <v>4.3970466511692798</v>
      </c>
      <c r="T33" s="84">
        <f>'CC70 - Valores'!J17</f>
        <v>4.4471199767539211</v>
      </c>
      <c r="U33" s="84">
        <f>'CC70 - Valores'!K17</f>
        <v>4.4971933023385624</v>
      </c>
      <c r="V33" s="84">
        <f>'CC70 - Valores'!L17</f>
        <v>4.5472666279232037</v>
      </c>
      <c r="W33" s="84">
        <f>'CC70 - Valores'!M17</f>
        <v>4.597339953507845</v>
      </c>
      <c r="X33" s="84">
        <f>'CC70 - Valores'!N17</f>
        <v>4.6474132790924862</v>
      </c>
      <c r="Y33" s="84">
        <f>'CC70 - Valores'!O17</f>
        <v>4.6974866046771275</v>
      </c>
      <c r="Z33" s="84">
        <f>'CC70 - Valores'!P17</f>
        <v>4.7475599302617688</v>
      </c>
      <c r="AA33" s="84">
        <f>'CC70 - Valores'!Q17</f>
        <v>4.7976332558464101</v>
      </c>
      <c r="AB33" s="84">
        <f>'CC70 - Valores'!R17</f>
        <v>4.8477065814310514</v>
      </c>
      <c r="AC33" s="84">
        <f>'CC70 - Valores'!S17</f>
        <v>4.8977799070156927</v>
      </c>
      <c r="AD33" s="84">
        <f>'CC70 - Valores'!T17</f>
        <v>4.9478532326003339</v>
      </c>
      <c r="AE33" s="84">
        <f>'CC70 - Valores'!U17</f>
        <v>4.9979265581849761</v>
      </c>
      <c r="AF33" s="84">
        <f>'CC70 - Valores'!V17</f>
        <v>5.0479998837696174</v>
      </c>
      <c r="AG33" s="84">
        <f>'CC70 - Valores'!W17</f>
        <v>5.0980732093542587</v>
      </c>
      <c r="AH33" s="84">
        <f>'CC70 - Valores'!X17</f>
        <v>5.1481465349389</v>
      </c>
      <c r="AI33" s="84">
        <f>'CC70 - Valores'!Y17</f>
        <v>5.1982198605235412</v>
      </c>
      <c r="AJ33" s="84">
        <f>'CC70 - Valores'!Z17</f>
        <v>5.2482931861081825</v>
      </c>
      <c r="AK33" s="84">
        <f>'CC70 - Valores'!AA17</f>
        <v>5.2983665116928238</v>
      </c>
      <c r="AL33" s="84">
        <f>'CC70 - Valores'!AB17</f>
        <v>5.3484398372774651</v>
      </c>
      <c r="AM33" s="84">
        <f>'CC70 - Valores'!AC17</f>
        <v>5.3985131628621064</v>
      </c>
      <c r="AN33" s="84">
        <f>'CC70 - Valores'!AD17</f>
        <v>5.4485864884467476</v>
      </c>
      <c r="AO33" s="84">
        <f>'CC70 - Valores'!AE17</f>
        <v>5.4986598140313889</v>
      </c>
      <c r="AP33" s="84">
        <f>'CC70 - Valores'!AF17</f>
        <v>5.5487331396160302</v>
      </c>
      <c r="AQ33" s="84">
        <f>'CC70 - Valores'!AG17</f>
        <v>5.5988064652006715</v>
      </c>
      <c r="AR33" s="84">
        <f>'CC70 - Valores'!AH17</f>
        <v>5.6488797907853128</v>
      </c>
      <c r="AS33" s="84">
        <f>'CC70 - Valores'!AI17</f>
        <v>5.6989531163699541</v>
      </c>
      <c r="AT33" s="84">
        <f>'CC70 - Valores'!AJ17</f>
        <v>5.7490264419545953</v>
      </c>
      <c r="AU33" s="84">
        <f>'CC70 - Valores'!AK17</f>
        <v>5.7990997675392366</v>
      </c>
      <c r="AV33" s="84">
        <f>'CC70 - Valores'!AL17</f>
        <v>5.8491730931238779</v>
      </c>
      <c r="AW33" s="84">
        <f>'CC70 - Valores'!AM17</f>
        <v>5.8992464187085192</v>
      </c>
      <c r="AX33" s="84">
        <f>'CC70 - Valores'!AN17</f>
        <v>5.9493197442931613</v>
      </c>
      <c r="AY33" s="84">
        <f>'CC70 - Valores'!AO17</f>
        <v>5.9993930698778017</v>
      </c>
      <c r="AZ33" s="84">
        <f>'CC70 - Valores'!AP17</f>
        <v>6.0494663954624439</v>
      </c>
      <c r="BA33" s="84">
        <f>'CC70 - Valores'!AQ17</f>
        <v>6.0995397210470843</v>
      </c>
      <c r="BB33" s="84">
        <f>'CC70 - Valores'!AR17</f>
        <v>6.1496130466317265</v>
      </c>
      <c r="BC33" s="84">
        <f>'CC70 - Valores'!AS17</f>
        <v>6.1996863722163678</v>
      </c>
      <c r="BD33" s="84">
        <f>'CC70 - Valores'!AT17</f>
        <v>6.249759697801009</v>
      </c>
      <c r="BE33" s="84">
        <f>'CC70 - Valores'!AU17</f>
        <v>6.2998330233856503</v>
      </c>
      <c r="BF33" s="84">
        <f>'CC70 - Valores'!AV17</f>
        <v>6.3499063489702916</v>
      </c>
      <c r="BG33" s="84">
        <f>'CC70 - Valores'!AW17</f>
        <v>6.3999796745549329</v>
      </c>
      <c r="BH33" s="84">
        <f>'CC70 - Valores'!AX17</f>
        <v>6.4500530001395742</v>
      </c>
      <c r="BI33" s="84">
        <f>'CC70 - Valores'!AY17</f>
        <v>6.5001263257242154</v>
      </c>
      <c r="BJ33" s="84">
        <f>'CC70 - Valores'!AZ17</f>
        <v>6.5501996513088567</v>
      </c>
      <c r="BK33" s="84">
        <f>'CC70 - Valores'!BA17</f>
        <v>6.600272976893498</v>
      </c>
    </row>
    <row r="34" spans="1:63" x14ac:dyDescent="0.3">
      <c r="A34" s="357"/>
      <c r="C34" s="278"/>
      <c r="D34" s="278"/>
      <c r="E34" s="278"/>
      <c r="F34" s="278"/>
      <c r="G34" s="278"/>
      <c r="H34" s="279"/>
      <c r="I34" s="279"/>
      <c r="J34" s="279"/>
      <c r="K34" s="84"/>
      <c r="L34" s="84"/>
      <c r="M34" s="84"/>
      <c r="N34" s="84"/>
      <c r="O34" s="84"/>
      <c r="P34" s="84"/>
      <c r="Q34" s="84"/>
      <c r="R34" s="84"/>
      <c r="S34" s="84"/>
    </row>
    <row r="35" spans="1:63" x14ac:dyDescent="0.3">
      <c r="A35" s="357"/>
      <c r="C35" s="278"/>
      <c r="D35" s="278"/>
      <c r="E35" s="278"/>
      <c r="F35" s="278"/>
      <c r="G35" s="278"/>
      <c r="H35" s="279"/>
      <c r="I35" s="279"/>
      <c r="J35" s="279"/>
      <c r="K35" s="84"/>
      <c r="L35" s="84"/>
      <c r="M35" s="84"/>
      <c r="N35" s="84"/>
      <c r="O35" s="84"/>
      <c r="P35" s="84"/>
      <c r="Q35" s="84"/>
      <c r="R35" s="84"/>
      <c r="S35" s="84"/>
    </row>
    <row r="36" spans="1:63" x14ac:dyDescent="0.3">
      <c r="A36" s="357"/>
      <c r="C36" s="278"/>
      <c r="D36" s="278"/>
      <c r="E36" s="278"/>
      <c r="F36" s="278"/>
      <c r="G36" s="278"/>
      <c r="H36" s="279"/>
      <c r="I36" s="279"/>
      <c r="J36" s="279"/>
      <c r="K36" s="84"/>
      <c r="L36" s="84"/>
      <c r="M36" s="84"/>
      <c r="N36" s="84"/>
      <c r="O36" s="84"/>
      <c r="P36" s="84"/>
      <c r="Q36" s="84"/>
      <c r="R36" s="84"/>
      <c r="S36" s="84"/>
    </row>
    <row r="37" spans="1:63" x14ac:dyDescent="0.3">
      <c r="C37" s="278"/>
      <c r="D37" s="278"/>
      <c r="E37" s="278"/>
      <c r="F37" s="278"/>
      <c r="G37" s="278"/>
      <c r="H37" s="279"/>
      <c r="I37" s="279"/>
      <c r="J37" s="279"/>
    </row>
    <row r="38" spans="1:63" s="85" customFormat="1" ht="19.8" x14ac:dyDescent="0.4">
      <c r="B38" s="85" t="s">
        <v>392</v>
      </c>
      <c r="C38" s="280"/>
      <c r="D38" s="280"/>
      <c r="E38" s="280"/>
      <c r="F38" s="280"/>
      <c r="G38" s="280"/>
      <c r="H38" s="281"/>
      <c r="I38" s="281"/>
      <c r="J38" s="281"/>
      <c r="K38" s="86"/>
      <c r="L38" s="86"/>
      <c r="M38" s="86"/>
      <c r="N38" s="86"/>
      <c r="O38" s="86"/>
      <c r="P38" s="86"/>
      <c r="Q38" s="86"/>
      <c r="R38" s="86"/>
      <c r="S38" s="86"/>
    </row>
    <row r="39" spans="1:63" s="80" customFormat="1" ht="15.6" x14ac:dyDescent="0.3">
      <c r="C39" s="103"/>
      <c r="D39" s="103"/>
      <c r="E39" s="103"/>
      <c r="F39" s="103"/>
      <c r="G39" s="103"/>
      <c r="H39" s="359"/>
      <c r="I39" s="359"/>
      <c r="J39" s="359"/>
      <c r="K39" s="81">
        <v>2018</v>
      </c>
      <c r="L39" s="81">
        <v>2019</v>
      </c>
      <c r="M39" s="81">
        <v>2020</v>
      </c>
      <c r="N39" s="81">
        <v>2021</v>
      </c>
      <c r="O39" s="81">
        <v>2022</v>
      </c>
      <c r="P39" s="81">
        <v>2023</v>
      </c>
      <c r="Q39" s="81">
        <v>2024</v>
      </c>
      <c r="R39" s="81">
        <v>2025</v>
      </c>
      <c r="S39" s="81">
        <v>2026</v>
      </c>
      <c r="T39" s="80">
        <v>2027</v>
      </c>
      <c r="U39" s="80">
        <v>2028</v>
      </c>
      <c r="V39" s="80">
        <v>2029</v>
      </c>
      <c r="W39" s="80">
        <v>2030</v>
      </c>
      <c r="X39" s="80">
        <v>2031</v>
      </c>
      <c r="Y39" s="80">
        <v>2032</v>
      </c>
      <c r="Z39" s="80">
        <v>2033</v>
      </c>
      <c r="AA39" s="80">
        <v>2034</v>
      </c>
      <c r="AB39" s="80">
        <v>2035</v>
      </c>
      <c r="AC39" s="80">
        <v>2036</v>
      </c>
      <c r="AD39" s="80">
        <v>2037</v>
      </c>
      <c r="AE39" s="80">
        <v>2038</v>
      </c>
      <c r="AF39" s="80">
        <v>2039</v>
      </c>
      <c r="AG39" s="80">
        <v>2040</v>
      </c>
      <c r="AH39" s="80">
        <v>2041</v>
      </c>
      <c r="AI39" s="80">
        <v>2042</v>
      </c>
      <c r="AJ39" s="80">
        <v>2043</v>
      </c>
      <c r="AK39" s="80">
        <v>2044</v>
      </c>
      <c r="AL39" s="80">
        <v>2045</v>
      </c>
      <c r="AM39" s="80">
        <v>2046</v>
      </c>
      <c r="AN39" s="80">
        <v>2047</v>
      </c>
      <c r="AO39" s="80">
        <v>2048</v>
      </c>
      <c r="AP39" s="80">
        <v>2049</v>
      </c>
      <c r="AQ39" s="80">
        <v>2050</v>
      </c>
      <c r="AR39" s="80">
        <v>2051</v>
      </c>
      <c r="AS39" s="80">
        <v>2052</v>
      </c>
      <c r="AT39" s="80">
        <v>2053</v>
      </c>
      <c r="AU39" s="80">
        <v>2054</v>
      </c>
      <c r="AV39" s="80">
        <v>2055</v>
      </c>
      <c r="AW39" s="80">
        <v>2056</v>
      </c>
      <c r="AX39" s="80">
        <v>2057</v>
      </c>
      <c r="AY39" s="80">
        <v>2058</v>
      </c>
      <c r="AZ39" s="80">
        <v>2059</v>
      </c>
      <c r="BA39" s="80">
        <v>2060</v>
      </c>
      <c r="BB39" s="80">
        <v>2061</v>
      </c>
      <c r="BC39" s="80">
        <v>2062</v>
      </c>
      <c r="BD39" s="80">
        <v>2063</v>
      </c>
      <c r="BE39" s="80">
        <v>2064</v>
      </c>
      <c r="BF39" s="80">
        <v>2065</v>
      </c>
      <c r="BG39" s="80">
        <v>2066</v>
      </c>
      <c r="BH39" s="80">
        <v>2067</v>
      </c>
      <c r="BI39" s="80">
        <v>2068</v>
      </c>
      <c r="BJ39" s="80">
        <v>2069</v>
      </c>
      <c r="BK39" s="80">
        <v>2070</v>
      </c>
    </row>
    <row r="40" spans="1:63" x14ac:dyDescent="0.3">
      <c r="A40" s="386" t="s">
        <v>672</v>
      </c>
      <c r="B40" t="s">
        <v>393</v>
      </c>
      <c r="C40" s="276"/>
      <c r="D40" s="276"/>
      <c r="E40" s="276"/>
      <c r="F40" s="276"/>
      <c r="G40" s="276"/>
      <c r="H40" s="128"/>
      <c r="I40" s="359"/>
      <c r="J40" s="359"/>
      <c r="K40" s="82">
        <f>Tendencial!O208</f>
        <v>6.4340652089819983E-2</v>
      </c>
      <c r="L40" s="82">
        <f>Tendencial!P208</f>
        <v>0.16104310482325079</v>
      </c>
      <c r="M40" s="82">
        <f>Tendencial!Q208</f>
        <v>4.5879808318369797E-2</v>
      </c>
      <c r="N40" s="82">
        <f>Tendencial!R208</f>
        <v>0.12615682334746037</v>
      </c>
      <c r="O40" s="82">
        <f>Tendencial!S208</f>
        <v>0.12099380420706041</v>
      </c>
      <c r="P40" s="82">
        <f>Tendencial!T208</f>
        <v>0.60024386329620949</v>
      </c>
      <c r="Q40" s="82">
        <f>Tendencial!U208</f>
        <v>0.94331515642818431</v>
      </c>
      <c r="R40" s="82">
        <f>Tendencial!V208</f>
        <v>0.89466247686261813</v>
      </c>
      <c r="S40" s="82">
        <f>Tendencial!W208</f>
        <v>0.92982978720220988</v>
      </c>
      <c r="T40" s="82">
        <f>Tendencial!X208</f>
        <v>0.96517292200065441</v>
      </c>
      <c r="U40" s="82">
        <f>Tendencial!Y208</f>
        <v>1.0006927603802431</v>
      </c>
      <c r="V40" s="82">
        <f>Tendencial!Z208</f>
        <v>1.0363901858588855</v>
      </c>
      <c r="W40" s="82">
        <f>Tendencial!AA208</f>
        <v>1.0722660863720739</v>
      </c>
      <c r="X40" s="82">
        <f>Tendencial!AB208</f>
        <v>1.1083213542949819</v>
      </c>
      <c r="Y40" s="82">
        <f>Tendencial!AC208</f>
        <v>1.1445568864646578</v>
      </c>
      <c r="Z40" s="82">
        <f>Tendencial!AD208</f>
        <v>1.180973584202337</v>
      </c>
      <c r="AA40" s="82">
        <f>Tendencial!AE208</f>
        <v>1.2175723533358571</v>
      </c>
      <c r="AB40" s="82">
        <f>Tendencial!AF208</f>
        <v>1.2543541042221991</v>
      </c>
      <c r="AC40" s="82">
        <f>Tendencial!AG208</f>
        <v>1.2913175820317244</v>
      </c>
      <c r="AD40" s="82">
        <f>Tendencial!AH208</f>
        <v>1.3284674818866185</v>
      </c>
      <c r="AE40" s="82">
        <f>Tendencial!AI208</f>
        <v>1.3658029093196413</v>
      </c>
      <c r="AF40" s="82">
        <f>Tendencial!AJ208</f>
        <v>1.4033249140177562</v>
      </c>
      <c r="AG40" s="82">
        <f>Tendencial!AK208</f>
        <v>1.4410342597674113</v>
      </c>
      <c r="AH40" s="82">
        <f>Tendencial!AL208</f>
        <v>1.4789321915084903</v>
      </c>
      <c r="AI40" s="82">
        <f>Tendencial!AM208</f>
        <v>1.5170198519327434</v>
      </c>
      <c r="AJ40" s="82">
        <f>Tendencial!AN208</f>
        <v>1.5552975607649326</v>
      </c>
      <c r="AK40" s="82">
        <f>Tendencial!AO208</f>
        <v>1.5937669238867516</v>
      </c>
      <c r="AL40" s="82">
        <f>Tendencial!AP208</f>
        <v>1.632428420530097</v>
      </c>
      <c r="AM40" s="82">
        <f>Tendencial!AQ208</f>
        <v>1.6712835680431439</v>
      </c>
      <c r="AN40" s="82">
        <f>Tendencial!AR208</f>
        <v>1.7103327265164223</v>
      </c>
      <c r="AO40" s="82">
        <f>Tendencial!AS208</f>
        <v>1.7495770881011588</v>
      </c>
      <c r="AP40" s="82">
        <f>Tendencial!AT208</f>
        <v>1.7890177069844659</v>
      </c>
      <c r="AQ40" s="82">
        <f>Tendencial!AU208</f>
        <v>1.8286555354701814</v>
      </c>
      <c r="AR40" s="82">
        <f>Tendencial!AV208</f>
        <v>1.8684917383692801</v>
      </c>
      <c r="AS40" s="82">
        <f>Tendencial!AW208</f>
        <v>1.9085269762993518</v>
      </c>
      <c r="AT40" s="82">
        <f>Tendencial!AX208</f>
        <v>1.9487623796289233</v>
      </c>
      <c r="AU40" s="82">
        <f>Tendencial!AY208</f>
        <v>1.9891989985087379</v>
      </c>
      <c r="AV40" s="82">
        <f>Tendencial!AZ208</f>
        <v>2.0298378080290282</v>
      </c>
      <c r="AW40" s="82">
        <f>Tendencial!BA208</f>
        <v>2.0706798459603748</v>
      </c>
      <c r="AX40" s="82">
        <f>Tendencial!BB208</f>
        <v>2.1117260381911214</v>
      </c>
      <c r="AY40" s="82">
        <f>Tendencial!BC208</f>
        <v>2.1529774675466262</v>
      </c>
      <c r="AZ40" s="82">
        <f>Tendencial!BD208</f>
        <v>2.194435160384308</v>
      </c>
      <c r="BA40" s="82">
        <f>Tendencial!BE208</f>
        <v>2.2361001411616828</v>
      </c>
      <c r="BB40" s="82">
        <f>Tendencial!BF208</f>
        <v>2.2779734396799727</v>
      </c>
      <c r="BC40" s="82">
        <f>Tendencial!BG208</f>
        <v>2.3200561013273413</v>
      </c>
      <c r="BD40" s="82">
        <f>Tendencial!BH208</f>
        <v>2.3623491744660283</v>
      </c>
      <c r="BE40" s="82">
        <f>Tendencial!BI208</f>
        <v>2.4048537114863242</v>
      </c>
      <c r="BF40" s="82">
        <f>Tendencial!BJ208</f>
        <v>2.4475707652596261</v>
      </c>
      <c r="BG40" s="82">
        <f>Tendencial!BK208</f>
        <v>2.4905013979208226</v>
      </c>
      <c r="BH40" s="82">
        <f>Tendencial!BL208</f>
        <v>2.5336466751743307</v>
      </c>
      <c r="BI40" s="82">
        <f>Tendencial!BM208</f>
        <v>2.5770076732237905</v>
      </c>
      <c r="BJ40" s="82">
        <f>Tendencial!BN208</f>
        <v>2.6205854694426085</v>
      </c>
      <c r="BK40" s="82">
        <f>Tendencial!BO208</f>
        <v>2.66438114662943</v>
      </c>
    </row>
    <row r="41" spans="1:63" x14ac:dyDescent="0.3">
      <c r="A41" s="386"/>
      <c r="B41" t="s">
        <v>394</v>
      </c>
      <c r="C41" s="276"/>
      <c r="D41" s="276"/>
      <c r="E41" s="276"/>
      <c r="F41" s="276"/>
      <c r="G41" s="276"/>
      <c r="H41" s="128"/>
      <c r="I41" s="359"/>
      <c r="J41" s="359"/>
      <c r="K41" s="82">
        <f>Tendencial!O209</f>
        <v>8.0857443540089502E-2</v>
      </c>
      <c r="L41" s="82">
        <f>Tendencial!P209</f>
        <v>8.2512694285325872E-2</v>
      </c>
      <c r="M41" s="82">
        <f>Tendencial!Q209</f>
        <v>8.4007297411843401E-2</v>
      </c>
      <c r="N41" s="82">
        <f>Tendencial!R209</f>
        <v>8.7444753199804687E-2</v>
      </c>
      <c r="O41" s="82">
        <f>Tendencial!S209</f>
        <v>0.12355608765109521</v>
      </c>
      <c r="P41" s="82">
        <f>Tendencial!T209</f>
        <v>0.15579980255671827</v>
      </c>
      <c r="Q41" s="82">
        <f>Tendencial!U209</f>
        <v>0.14218490795545466</v>
      </c>
      <c r="R41" s="82">
        <f>Tendencial!V209</f>
        <v>0.14958752058750924</v>
      </c>
      <c r="S41" s="82">
        <f>Tendencial!W209</f>
        <v>0.17922294453858431</v>
      </c>
      <c r="T41" s="82">
        <f>Tendencial!X209</f>
        <v>0.19659323592763758</v>
      </c>
      <c r="U41" s="82">
        <f>Tendencial!Y209</f>
        <v>0.21509581710510223</v>
      </c>
      <c r="V41" s="82">
        <f>Tendencial!Z209</f>
        <v>0.23302453887100957</v>
      </c>
      <c r="W41" s="82">
        <f>Tendencial!AA209</f>
        <v>0.25337982524649993</v>
      </c>
      <c r="X41" s="82">
        <f>Tendencial!AB209</f>
        <v>0.25563592256956069</v>
      </c>
      <c r="Y41" s="82">
        <f>Tendencial!AC209</f>
        <v>0.27386883109288174</v>
      </c>
      <c r="Z41" s="82">
        <f>Tendencial!AD209</f>
        <v>0.2947926843070478</v>
      </c>
      <c r="AA41" s="82">
        <f>Tendencial!AE209</f>
        <v>0.31320770280339055</v>
      </c>
      <c r="AB41" s="82">
        <f>Tendencial!AF209</f>
        <v>0.33186379413274825</v>
      </c>
      <c r="AC41" s="82">
        <f>Tendencial!AG209</f>
        <v>0.3468458278452527</v>
      </c>
      <c r="AD41" s="82">
        <f>Tendencial!AH209</f>
        <v>0.35047500194811132</v>
      </c>
      <c r="AE41" s="82">
        <f>Tendencial!AI209</f>
        <v>0.35446264279124173</v>
      </c>
      <c r="AF41" s="82">
        <f>Tendencial!AJ209</f>
        <v>0.35694415324268935</v>
      </c>
      <c r="AG41" s="82">
        <f>Tendencial!AK209</f>
        <v>0.35960112209219297</v>
      </c>
      <c r="AH41" s="82">
        <f>Tendencial!AL209</f>
        <v>0.36235139194361121</v>
      </c>
      <c r="AI41" s="82">
        <f>Tendencial!AM209</f>
        <v>0.36509957365923684</v>
      </c>
      <c r="AJ41" s="82">
        <f>Tendencial!AN209</f>
        <v>0.36828718357681273</v>
      </c>
      <c r="AK41" s="82">
        <f>Tendencial!AO209</f>
        <v>0.37089157118262317</v>
      </c>
      <c r="AL41" s="82">
        <f>Tendencial!AP209</f>
        <v>0.37369090739106664</v>
      </c>
      <c r="AM41" s="82">
        <f>Tendencial!AQ209</f>
        <v>0.37571280817125502</v>
      </c>
      <c r="AN41" s="82">
        <f>Tendencial!AR209</f>
        <v>0.37817063897273012</v>
      </c>
      <c r="AO41" s="82">
        <f>Tendencial!AS209</f>
        <v>0.3806089121808387</v>
      </c>
      <c r="AP41" s="82">
        <f>Tendencial!AT209</f>
        <v>0.38288557059954981</v>
      </c>
      <c r="AQ41" s="82">
        <f>Tendencial!AU209</f>
        <v>0.38505322124213215</v>
      </c>
      <c r="AR41" s="82">
        <f>Tendencial!AV209</f>
        <v>0.38678645342533163</v>
      </c>
      <c r="AS41" s="82">
        <f>Tendencial!AW209</f>
        <v>0.38864797409512442</v>
      </c>
      <c r="AT41" s="82">
        <f>Tendencial!AX209</f>
        <v>0.39039512264452902</v>
      </c>
      <c r="AU41" s="82">
        <f>Tendencial!AY209</f>
        <v>0.39196790623576988</v>
      </c>
      <c r="AV41" s="82">
        <f>Tendencial!AZ209</f>
        <v>0.39341247202563445</v>
      </c>
      <c r="AW41" s="82">
        <f>Tendencial!BA209</f>
        <v>0.39466690546658251</v>
      </c>
      <c r="AX41" s="82">
        <f>Tendencial!BB209</f>
        <v>0.39589076783876137</v>
      </c>
      <c r="AY41" s="82">
        <f>Tendencial!BC209</f>
        <v>0.39696544101733017</v>
      </c>
      <c r="AZ41" s="82">
        <f>Tendencial!BD209</f>
        <v>0.39788973188419979</v>
      </c>
      <c r="BA41" s="82">
        <f>Tendencial!BE209</f>
        <v>0.39867575774208497</v>
      </c>
      <c r="BB41" s="82">
        <f>Tendencial!BF209</f>
        <v>0.39933477246046589</v>
      </c>
      <c r="BC41" s="82">
        <f>Tendencial!BG209</f>
        <v>0.39985399929077037</v>
      </c>
      <c r="BD41" s="82">
        <f>Tendencial!BH209</f>
        <v>0.40022620847127927</v>
      </c>
      <c r="BE41" s="82">
        <f>Tendencial!BI209</f>
        <v>0.40044781017269832</v>
      </c>
      <c r="BF41" s="82">
        <f>Tendencial!BJ209</f>
        <v>0.40052498221597194</v>
      </c>
      <c r="BG41" s="82">
        <f>Tendencial!BK209</f>
        <v>0.40045623506617817</v>
      </c>
      <c r="BH41" s="82">
        <f>Tendencial!BL209</f>
        <v>0.40024365004294155</v>
      </c>
      <c r="BI41" s="82">
        <f>Tendencial!BM209</f>
        <v>0.39987848962392225</v>
      </c>
      <c r="BJ41" s="82">
        <f>Tendencial!BN209</f>
        <v>0.39936027693211612</v>
      </c>
      <c r="BK41" s="82">
        <f>Tendencial!BO209</f>
        <v>0.39868885684040373</v>
      </c>
    </row>
    <row r="42" spans="1:63" x14ac:dyDescent="0.3">
      <c r="A42" s="386"/>
      <c r="B42" t="s">
        <v>395</v>
      </c>
      <c r="C42" s="277"/>
      <c r="D42" s="277"/>
      <c r="E42" s="277"/>
      <c r="F42" s="277"/>
      <c r="G42" s="277"/>
      <c r="H42" s="356"/>
      <c r="I42" s="356"/>
      <c r="J42" s="356"/>
      <c r="K42" s="82">
        <f>Tendencial!O210</f>
        <v>1.3036462955000005E-2</v>
      </c>
      <c r="L42" s="82">
        <f>Tendencial!P210</f>
        <v>1.1455800454000013E-2</v>
      </c>
      <c r="M42" s="82">
        <f>Tendencial!Q210</f>
        <v>1.1833009661200012E-2</v>
      </c>
      <c r="N42" s="82">
        <f>Tendencial!R210</f>
        <v>1.0036416577336411E-2</v>
      </c>
      <c r="O42" s="82">
        <f>Tendencial!S210</f>
        <v>1.4577936494230691E-2</v>
      </c>
      <c r="P42" s="82">
        <f>Tendencial!T210</f>
        <v>1.6152717498448512E-2</v>
      </c>
      <c r="Q42" s="82">
        <f>Tendencial!U210</f>
        <v>1.7839416652700467E-2</v>
      </c>
      <c r="R42" s="82">
        <f>Tendencial!V210</f>
        <v>1.9877290121424557E-2</v>
      </c>
      <c r="S42" s="82">
        <f>Tendencial!W210</f>
        <v>2.1494449780853103E-2</v>
      </c>
      <c r="T42" s="82">
        <f>Tendencial!X210</f>
        <v>2.332857648821756E-2</v>
      </c>
      <c r="U42" s="82">
        <f>Tendencial!Y210</f>
        <v>2.5143779618186278E-2</v>
      </c>
      <c r="V42" s="82">
        <f>Tendencial!Z210</f>
        <v>2.6979295164410638E-2</v>
      </c>
      <c r="W42" s="82">
        <f>Tendencial!AA210</f>
        <v>2.8765611404909366E-2</v>
      </c>
      <c r="X42" s="82">
        <f>Tendencial!AB210</f>
        <v>3.1008604631582261E-2</v>
      </c>
      <c r="Y42" s="82">
        <f>Tendencial!AC210</f>
        <v>3.2869831050841458E-2</v>
      </c>
      <c r="Z42" s="82">
        <f>Tendencial!AD210</f>
        <v>3.4681016093650908E-2</v>
      </c>
      <c r="AA42" s="82">
        <f>Tendencial!AE210</f>
        <v>3.6557219237237773E-2</v>
      </c>
      <c r="AB42" s="82">
        <f>Tendencial!AF210</f>
        <v>3.8438303934876961E-2</v>
      </c>
      <c r="AC42" s="82">
        <f>Tendencial!AG210</f>
        <v>4.1058409214955842E-2</v>
      </c>
      <c r="AD42" s="82">
        <f>Tendencial!AH210</f>
        <v>4.5027845796247253E-2</v>
      </c>
      <c r="AE42" s="82">
        <f>Tendencial!AI210</f>
        <v>4.9224198686005846E-2</v>
      </c>
      <c r="AF42" s="82">
        <f>Tendencial!AJ210</f>
        <v>5.3656571423277427E-2</v>
      </c>
      <c r="AG42" s="82">
        <f>Tendencial!AK210</f>
        <v>5.8275171502849332E-2</v>
      </c>
      <c r="AH42" s="82">
        <f>Tendencial!AL210</f>
        <v>6.3345881026415654E-2</v>
      </c>
      <c r="AI42" s="82">
        <f>Tendencial!AM210</f>
        <v>6.910421442979392E-2</v>
      </c>
      <c r="AJ42" s="82">
        <f>Tendencial!AN210</f>
        <v>7.4994512433484276E-2</v>
      </c>
      <c r="AK42" s="82">
        <f>Tendencial!AO210</f>
        <v>8.1669085111243905E-2</v>
      </c>
      <c r="AL42" s="82">
        <f>Tendencial!AP210</f>
        <v>8.8690546629275571E-2</v>
      </c>
      <c r="AM42" s="82">
        <f>Tendencial!AQ210</f>
        <v>9.6732299678168238E-2</v>
      </c>
      <c r="AN42" s="82">
        <f>Tendencial!AR210</f>
        <v>0.1051521256753485</v>
      </c>
      <c r="AO42" s="82">
        <f>Tendencial!AS210</f>
        <v>0.11424270591450231</v>
      </c>
      <c r="AP42" s="82">
        <f>Tendencial!AT210</f>
        <v>0.12417021175779312</v>
      </c>
      <c r="AQ42" s="82">
        <f>Tendencial!AU210</f>
        <v>0.13496595239825379</v>
      </c>
      <c r="AR42" s="82">
        <f>Tendencial!AV210</f>
        <v>0.14701567251131228</v>
      </c>
      <c r="AS42" s="82">
        <f>Tendencial!AW210</f>
        <v>0.15985082576521956</v>
      </c>
      <c r="AT42" s="82">
        <f>Tendencial!AX210</f>
        <v>0.17377159263335368</v>
      </c>
      <c r="AU42" s="82">
        <f>Tendencial!AY210</f>
        <v>0.18897394652467636</v>
      </c>
      <c r="AV42" s="82">
        <f>Tendencial!AZ210</f>
        <v>0.20550549629279799</v>
      </c>
      <c r="AW42" s="82">
        <f>Tendencial!BA210</f>
        <v>0.22354652061668945</v>
      </c>
      <c r="AX42" s="82">
        <f>Tendencial!BB210</f>
        <v>0.24299654863467676</v>
      </c>
      <c r="AY42" s="82">
        <f>Tendencial!BC210</f>
        <v>0.26413021241590867</v>
      </c>
      <c r="AZ42" s="82">
        <f>Tendencial!BD210</f>
        <v>0.28709169602497719</v>
      </c>
      <c r="BA42" s="82">
        <f>Tendencial!BE210</f>
        <v>0.3120144586256704</v>
      </c>
      <c r="BB42" s="82">
        <f>Tendencial!BF210</f>
        <v>0.33903925098821946</v>
      </c>
      <c r="BC42" s="82">
        <f>Tendencial!BG210</f>
        <v>0.36835244690484925</v>
      </c>
      <c r="BD42" s="82">
        <f>Tendencial!BH210</f>
        <v>0.40014939663739474</v>
      </c>
      <c r="BE42" s="82">
        <f>Tendencial!BI210</f>
        <v>0.43463744941902904</v>
      </c>
      <c r="BF42" s="82">
        <f>Tendencial!BJ210</f>
        <v>0.47201915350194318</v>
      </c>
      <c r="BG42" s="82">
        <f>Tendencial!BK210</f>
        <v>0.51252902438458814</v>
      </c>
      <c r="BH42" s="82">
        <f>Tendencial!BL210</f>
        <v>0.55641074072978325</v>
      </c>
      <c r="BI42" s="82">
        <f>Tendencial!BM210</f>
        <v>0.6039543020237701</v>
      </c>
      <c r="BJ42" s="82">
        <f>Tendencial!BN210</f>
        <v>0.65545074718296803</v>
      </c>
      <c r="BK42" s="82">
        <f>Tendencial!BO210</f>
        <v>0.71121313096451055</v>
      </c>
    </row>
    <row r="43" spans="1:63" x14ac:dyDescent="0.3">
      <c r="A43" s="386"/>
      <c r="B43" t="s">
        <v>396</v>
      </c>
      <c r="C43" s="277"/>
      <c r="D43" s="277"/>
      <c r="E43" s="277"/>
      <c r="F43" s="277"/>
      <c r="G43" s="277"/>
      <c r="H43" s="356"/>
      <c r="I43" s="356"/>
      <c r="J43" s="356"/>
      <c r="K43" s="82">
        <f>Tendencial!O211</f>
        <v>7.8752339030052596</v>
      </c>
      <c r="L43" s="82">
        <f>Tendencial!P211</f>
        <v>10.058060403835071</v>
      </c>
      <c r="M43" s="82">
        <f>Tendencial!Q211</f>
        <v>11.383800597439361</v>
      </c>
      <c r="N43" s="82">
        <f>Tendencial!R211</f>
        <v>11.689188693991341</v>
      </c>
      <c r="O43" s="82">
        <f>Tendencial!S211</f>
        <v>8.137195131641846</v>
      </c>
      <c r="P43" s="82">
        <f>Tendencial!T211</f>
        <v>9.2253121368809765</v>
      </c>
      <c r="Q43" s="82">
        <f>Tendencial!U211</f>
        <v>9.8127065578420005</v>
      </c>
      <c r="R43" s="82">
        <f>Tendencial!V211</f>
        <v>9.8608479204554342</v>
      </c>
      <c r="S43" s="82">
        <f>Tendencial!W211</f>
        <v>10.47950809310038</v>
      </c>
      <c r="T43" s="82">
        <f>Tendencial!X211</f>
        <v>10.512137859668075</v>
      </c>
      <c r="U43" s="82">
        <f>Tendencial!Y211</f>
        <v>10.544862368798878</v>
      </c>
      <c r="V43" s="82">
        <f>Tendencial!Z211</f>
        <v>10.577681905818547</v>
      </c>
      <c r="W43" s="82">
        <f>Tendencial!AA211</f>
        <v>10.610596756911683</v>
      </c>
      <c r="X43" s="82">
        <f>Tendencial!AB211</f>
        <v>10.643607209124303</v>
      </c>
      <c r="Y43" s="82">
        <f>Tendencial!AC211</f>
        <v>10.676713550366442</v>
      </c>
      <c r="Z43" s="82">
        <f>Tendencial!AD211</f>
        <v>10.709916069414753</v>
      </c>
      <c r="AA43" s="82">
        <f>Tendencial!AE211</f>
        <v>10.743215055915121</v>
      </c>
      <c r="AB43" s="82">
        <f>Tendencial!AF211</f>
        <v>10.776610800385271</v>
      </c>
      <c r="AC43" s="82">
        <f>Tendencial!AG211</f>
        <v>10.808922299328724</v>
      </c>
      <c r="AD43" s="82">
        <f>Tendencial!AH211</f>
        <v>10.841331199936944</v>
      </c>
      <c r="AE43" s="82">
        <f>Tendencial!AI211</f>
        <v>10.873837795298934</v>
      </c>
      <c r="AF43" s="82">
        <f>Tendencial!AJ211</f>
        <v>10.906442379386149</v>
      </c>
      <c r="AG43" s="82">
        <f>Tendencial!AK211</f>
        <v>10.939145247055151</v>
      </c>
      <c r="AH43" s="82">
        <f>Tendencial!AL211</f>
        <v>10.971946694050279</v>
      </c>
      <c r="AI43" s="82">
        <f>Tendencial!AM211</f>
        <v>11.004847017006306</v>
      </c>
      <c r="AJ43" s="82">
        <f>Tendencial!AN211</f>
        <v>11.037846513451136</v>
      </c>
      <c r="AK43" s="82">
        <f>Tendencial!AO211</f>
        <v>11.070945481808483</v>
      </c>
      <c r="AL43" s="82">
        <f>Tendencial!AP211</f>
        <v>11.104144221400574</v>
      </c>
      <c r="AM43" s="82">
        <f>Tendencial!AQ211</f>
        <v>11.13744303245085</v>
      </c>
      <c r="AN43" s="82">
        <f>Tendencial!AR211</f>
        <v>11.170842216086672</v>
      </c>
      <c r="AO43" s="82">
        <f>Tendencial!AS211</f>
        <v>11.204342074342058</v>
      </c>
      <c r="AP43" s="82">
        <f>Tendencial!AT211</f>
        <v>11.237942910160399</v>
      </c>
      <c r="AQ43" s="82">
        <f>Tendencial!AU211</f>
        <v>11.271645027397206</v>
      </c>
      <c r="AR43" s="82">
        <f>Tendencial!AV211</f>
        <v>11.305448730822841</v>
      </c>
      <c r="AS43" s="82">
        <f>Tendencial!AW211</f>
        <v>11.339354326125289</v>
      </c>
      <c r="AT43" s="82">
        <f>Tendencial!AX211</f>
        <v>11.37336211991291</v>
      </c>
      <c r="AU43" s="82">
        <f>Tendencial!AY211</f>
        <v>11.407472419717211</v>
      </c>
      <c r="AV43" s="82">
        <f>Tendencial!AZ211</f>
        <v>11.441685533995624</v>
      </c>
      <c r="AW43" s="82">
        <f>Tendencial!BA211</f>
        <v>11.476001772134298</v>
      </c>
      <c r="AX43" s="82">
        <f>Tendencial!BB211</f>
        <v>11.510421444450891</v>
      </c>
      <c r="AY43" s="82">
        <f>Tendencial!BC211</f>
        <v>11.54494486219737</v>
      </c>
      <c r="AZ43" s="82">
        <f>Tendencial!BD211</f>
        <v>11.579572337562835</v>
      </c>
      <c r="BA43" s="82">
        <f>Tendencial!BE211</f>
        <v>11.614304183676328</v>
      </c>
      <c r="BB43" s="82">
        <f>Tendencial!BF211</f>
        <v>11.64914071460967</v>
      </c>
      <c r="BC43" s="82">
        <f>Tendencial!BG211</f>
        <v>11.684082245380294</v>
      </c>
      <c r="BD43" s="82">
        <f>Tendencial!BH211</f>
        <v>11.719129091954098</v>
      </c>
      <c r="BE43" s="82">
        <f>Tendencial!BI211</f>
        <v>11.754281571248296</v>
      </c>
      <c r="BF43" s="82">
        <f>Tendencial!BJ211</f>
        <v>11.789540001134279</v>
      </c>
      <c r="BG43" s="82">
        <f>Tendencial!BK211</f>
        <v>11.824904700440491</v>
      </c>
      <c r="BH43" s="82">
        <f>Tendencial!BL211</f>
        <v>11.86037598895531</v>
      </c>
      <c r="BI43" s="82">
        <f>Tendencial!BM211</f>
        <v>11.895954187429943</v>
      </c>
      <c r="BJ43" s="82">
        <f>Tendencial!BN211</f>
        <v>11.931639617581308</v>
      </c>
      <c r="BK43" s="82">
        <f>Tendencial!BO211</f>
        <v>11.967432602094958</v>
      </c>
    </row>
    <row r="44" spans="1:63" x14ac:dyDescent="0.3">
      <c r="A44" s="386"/>
      <c r="B44" t="s">
        <v>397</v>
      </c>
      <c r="C44" s="277"/>
      <c r="D44" s="277"/>
      <c r="E44" s="277"/>
      <c r="F44" s="277"/>
      <c r="G44" s="277"/>
      <c r="H44" s="356"/>
      <c r="I44" s="356"/>
      <c r="J44" s="356"/>
      <c r="K44" s="82">
        <f>Tendencial!O212</f>
        <v>1.50595736</v>
      </c>
      <c r="L44" s="82">
        <f>Tendencial!P212</f>
        <v>1.65063659</v>
      </c>
      <c r="M44" s="82">
        <f>Tendencial!Q212</f>
        <v>1.5120563</v>
      </c>
      <c r="N44" s="82">
        <f>Tendencial!R212</f>
        <v>1.9016245300000001</v>
      </c>
      <c r="O44" s="82">
        <f>Tendencial!S212</f>
        <v>1.7977939060497783</v>
      </c>
      <c r="P44" s="82">
        <f>Tendencial!T212</f>
        <v>1.9507085179514867</v>
      </c>
      <c r="Q44" s="82">
        <f>Tendencial!U212</f>
        <v>2.0802735514784509</v>
      </c>
      <c r="R44" s="82">
        <f>Tendencial!V212</f>
        <v>2.0995351202509229</v>
      </c>
      <c r="S44" s="82">
        <f>Tendencial!W212</f>
        <v>2.2361791024902344</v>
      </c>
      <c r="T44" s="82">
        <f>Tendencial!X212</f>
        <v>2.305928298603972</v>
      </c>
      <c r="U44" s="82">
        <f>Tendencial!Y212</f>
        <v>2.3786356908923127</v>
      </c>
      <c r="V44" s="82">
        <f>Tendencial!Z212</f>
        <v>2.4457648572604405</v>
      </c>
      <c r="W44" s="82">
        <f>Tendencial!AA212</f>
        <v>2.5219143518400786</v>
      </c>
      <c r="X44" s="82">
        <f>Tendencial!AB212</f>
        <v>2.5099003294100473</v>
      </c>
      <c r="Y44" s="82">
        <f>Tendencial!AC212</f>
        <v>2.5718998100774377</v>
      </c>
      <c r="Z44" s="82">
        <f>Tendencial!AD212</f>
        <v>2.6436827018156666</v>
      </c>
      <c r="AA44" s="82">
        <f>Tendencial!AE212</f>
        <v>2.7014221377402072</v>
      </c>
      <c r="AB44" s="82">
        <f>Tendencial!AF212</f>
        <v>2.7578649419706278</v>
      </c>
      <c r="AC44" s="82">
        <f>Tendencial!AG212</f>
        <v>2.8079105838027156</v>
      </c>
      <c r="AD44" s="82">
        <f>Tendencial!AH212</f>
        <v>2.8574094385517124</v>
      </c>
      <c r="AE44" s="82">
        <f>Tendencial!AI212</f>
        <v>2.9026311271334886</v>
      </c>
      <c r="AF44" s="82">
        <f>Tendencial!AJ212</f>
        <v>2.9602080578426215</v>
      </c>
      <c r="AG44" s="82">
        <f>Tendencial!AK212</f>
        <v>3.0145820018414309</v>
      </c>
      <c r="AH44" s="82">
        <f>Tendencial!AL212</f>
        <v>3.0674133288958556</v>
      </c>
      <c r="AI44" s="82">
        <f>Tendencial!AM212</f>
        <v>3.1200654233707419</v>
      </c>
      <c r="AJ44" s="82">
        <f>Tendencial!AN212</f>
        <v>3.1674560797836131</v>
      </c>
      <c r="AK44" s="82">
        <f>Tendencial!AO212</f>
        <v>3.2193896976582157</v>
      </c>
      <c r="AL44" s="82">
        <f>Tendencial!AP212</f>
        <v>3.2684527552760363</v>
      </c>
      <c r="AM44" s="82">
        <f>Tendencial!AQ212</f>
        <v>3.3235102211503706</v>
      </c>
      <c r="AN44" s="82">
        <f>Tendencial!AR212</f>
        <v>3.3737158174793271</v>
      </c>
      <c r="AO44" s="82">
        <f>Tendencial!AS212</f>
        <v>3.4231202300786192</v>
      </c>
      <c r="AP44" s="82">
        <f>Tendencial!AT212</f>
        <v>3.4729636839865363</v>
      </c>
      <c r="AQ44" s="82">
        <f>Tendencial!AU212</f>
        <v>3.5227775170100406</v>
      </c>
      <c r="AR44" s="82">
        <f>Tendencial!AV212</f>
        <v>3.5752562495035836</v>
      </c>
      <c r="AS44" s="82">
        <f>Tendencial!AW212</f>
        <v>3.6255313968716467</v>
      </c>
      <c r="AT44" s="82">
        <f>Tendencial!AX212</f>
        <v>3.6756312809680844</v>
      </c>
      <c r="AU44" s="82">
        <f>Tendencial!AY212</f>
        <v>3.7260435192108252</v>
      </c>
      <c r="AV44" s="82">
        <f>Tendencial!AZ212</f>
        <v>3.7763297961016598</v>
      </c>
      <c r="AW44" s="82">
        <f>Tendencial!BA212</f>
        <v>3.8269202153023301</v>
      </c>
      <c r="AX44" s="82">
        <f>Tendencial!BB212</f>
        <v>3.8765069227071347</v>
      </c>
      <c r="AY44" s="82">
        <f>Tendencial!BC212</f>
        <v>3.9259848770224224</v>
      </c>
      <c r="AZ44" s="82">
        <f>Tendencial!BD212</f>
        <v>3.9753193554479522</v>
      </c>
      <c r="BA44" s="82">
        <f>Tendencial!BE212</f>
        <v>4.024376967229502</v>
      </c>
      <c r="BB44" s="82">
        <f>Tendencial!BF212</f>
        <v>4.0730354827326698</v>
      </c>
      <c r="BC44" s="82">
        <f>Tendencial!BG212</f>
        <v>4.1213475073927297</v>
      </c>
      <c r="BD44" s="82">
        <f>Tendencial!BH212</f>
        <v>4.1693241812181547</v>
      </c>
      <c r="BE44" s="82">
        <f>Tendencial!BI212</f>
        <v>4.2169512681318917</v>
      </c>
      <c r="BF44" s="82">
        <f>Tendencial!BJ212</f>
        <v>4.2641464239978086</v>
      </c>
      <c r="BG44" s="82">
        <f>Tendencial!BK212</f>
        <v>4.3108838560996432</v>
      </c>
      <c r="BH44" s="82">
        <f>Tendencial!BL212</f>
        <v>4.3571140429454811</v>
      </c>
      <c r="BI44" s="82">
        <f>Tendencial!BM212</f>
        <v>4.4028618880082586</v>
      </c>
      <c r="BJ44" s="82">
        <f>Tendencial!BN212</f>
        <v>4.4480952306914494</v>
      </c>
      <c r="BK44" s="82">
        <f>Tendencial!BO212</f>
        <v>4.4927812234754487</v>
      </c>
    </row>
    <row r="45" spans="1:63" x14ac:dyDescent="0.3">
      <c r="A45" s="386"/>
      <c r="B45" t="s">
        <v>398</v>
      </c>
      <c r="C45" s="277"/>
      <c r="D45" s="277"/>
      <c r="E45" s="277"/>
      <c r="F45" s="277"/>
      <c r="G45" s="277"/>
      <c r="H45" s="356"/>
      <c r="I45" s="356"/>
      <c r="J45" s="356"/>
      <c r="K45" s="82">
        <f>Tendencial!O213</f>
        <v>2.51192250271012</v>
      </c>
      <c r="L45" s="82">
        <f>Tendencial!P213</f>
        <v>2.1091796952468402</v>
      </c>
      <c r="M45" s="82">
        <f>Tendencial!Q213</f>
        <v>2.2901977546689998</v>
      </c>
      <c r="N45" s="82">
        <f>Tendencial!R213</f>
        <v>2.3209891366443003</v>
      </c>
      <c r="O45" s="82">
        <f>Tendencial!S213</f>
        <v>2.201361538967078</v>
      </c>
      <c r="P45" s="82">
        <f>Tendencial!T213</f>
        <v>1.9434969646397779</v>
      </c>
      <c r="Q45" s="82">
        <f>Tendencial!U213</f>
        <v>2.0559541309389888</v>
      </c>
      <c r="R45" s="82">
        <f>Tendencial!V213</f>
        <v>2.0704082076739772</v>
      </c>
      <c r="S45" s="82">
        <f>Tendencial!W213</f>
        <v>2.1871858339303714</v>
      </c>
      <c r="T45" s="82">
        <f>Tendencial!X213</f>
        <v>2.2446794038376363</v>
      </c>
      <c r="U45" s="82">
        <f>Tendencial!Y213</f>
        <v>2.3043005832001668</v>
      </c>
      <c r="V45" s="82">
        <f>Tendencial!Z213</f>
        <v>2.3588666263335996</v>
      </c>
      <c r="W45" s="82">
        <f>Tendencial!AA213</f>
        <v>2.4205749372389329</v>
      </c>
      <c r="X45" s="82">
        <f>Tendencial!AB213</f>
        <v>2.409706760882155</v>
      </c>
      <c r="Y45" s="82">
        <f>Tendencial!AC213</f>
        <v>2.4595503751110228</v>
      </c>
      <c r="Z45" s="82">
        <f>Tendencial!AD213</f>
        <v>2.5172145081956052</v>
      </c>
      <c r="AA45" s="82">
        <f>Tendencial!AE213</f>
        <v>2.5630012058110361</v>
      </c>
      <c r="AB45" s="82">
        <f>Tendencial!AF213</f>
        <v>2.6075112680626091</v>
      </c>
      <c r="AC45" s="82">
        <f>Tendencial!AG213</f>
        <v>2.6497302752707679</v>
      </c>
      <c r="AD45" s="82">
        <f>Tendencial!AH213</f>
        <v>2.6890156583919826</v>
      </c>
      <c r="AE45" s="82">
        <f>Tendencial!AI213</f>
        <v>2.724979692702743</v>
      </c>
      <c r="AF45" s="82">
        <f>Tendencial!AJ213</f>
        <v>2.77081790757659</v>
      </c>
      <c r="AG45" s="82">
        <f>Tendencial!AK213</f>
        <v>2.8142149849929847</v>
      </c>
      <c r="AH45" s="82">
        <f>Tendencial!AL213</f>
        <v>2.8560928634539606</v>
      </c>
      <c r="AI45" s="82">
        <f>Tendencial!AM213</f>
        <v>2.897269153408903</v>
      </c>
      <c r="AJ45" s="82">
        <f>Tendencial!AN213</f>
        <v>2.9346086190010254</v>
      </c>
      <c r="AK45" s="82">
        <f>Tendencial!AO213</f>
        <v>2.9749467927368562</v>
      </c>
      <c r="AL45" s="82">
        <f>Tendencial!AP213</f>
        <v>3.0130994583278179</v>
      </c>
      <c r="AM45" s="82">
        <f>Tendencial!AQ213</f>
        <v>3.0552391153009228</v>
      </c>
      <c r="AN45" s="82">
        <f>Tendencial!AR213</f>
        <v>3.0937186707976299</v>
      </c>
      <c r="AO45" s="82">
        <f>Tendencial!AS213</f>
        <v>3.1314071436083237</v>
      </c>
      <c r="AP45" s="82">
        <f>Tendencial!AT213</f>
        <v>3.1691605593342</v>
      </c>
      <c r="AQ45" s="82">
        <f>Tendencial!AU213</f>
        <v>3.2066543621309362</v>
      </c>
      <c r="AR45" s="82">
        <f>Tendencial!AV213</f>
        <v>3.2457072248247183</v>
      </c>
      <c r="AS45" s="82">
        <f>Tendencial!AW213</f>
        <v>3.2830240074994572</v>
      </c>
      <c r="AT45" s="82">
        <f>Tendencial!AX213</f>
        <v>3.319978805933681</v>
      </c>
      <c r="AU45" s="82">
        <f>Tendencial!AY213</f>
        <v>3.3568726317751256</v>
      </c>
      <c r="AV45" s="82">
        <f>Tendencial!AZ213</f>
        <v>3.3934091778501516</v>
      </c>
      <c r="AW45" s="82">
        <f>Tendencial!BA213</f>
        <v>3.4298724052307805</v>
      </c>
      <c r="AX45" s="82">
        <f>Tendencial!BB213</f>
        <v>3.4653955747963816</v>
      </c>
      <c r="AY45" s="82">
        <f>Tendencial!BC213</f>
        <v>3.5005676134858161</v>
      </c>
      <c r="AZ45" s="82">
        <f>Tendencial!BD213</f>
        <v>3.535358664912355</v>
      </c>
      <c r="BA45" s="82">
        <f>Tendencial!BE213</f>
        <v>3.5696753893330513</v>
      </c>
      <c r="BB45" s="82">
        <f>Tendencial!BF213</f>
        <v>3.6034337349201278</v>
      </c>
      <c r="BC45" s="82">
        <f>Tendencial!BG213</f>
        <v>3.6366655351109967</v>
      </c>
      <c r="BD45" s="82">
        <f>Tendencial!BH213</f>
        <v>3.669374608250116</v>
      </c>
      <c r="BE45" s="82">
        <f>Tendencial!BI213</f>
        <v>3.7015477058671848</v>
      </c>
      <c r="BF45" s="82">
        <f>Tendencial!BJ213</f>
        <v>3.7331284245319933</v>
      </c>
      <c r="BG45" s="82">
        <f>Tendencial!BK213</f>
        <v>3.7640969205020438</v>
      </c>
      <c r="BH45" s="82">
        <f>Tendencial!BL213</f>
        <v>3.7944187236372748</v>
      </c>
      <c r="BI45" s="82">
        <f>Tendencial!BM213</f>
        <v>3.8241065831969112</v>
      </c>
      <c r="BJ45" s="82">
        <f>Tendencial!BN213</f>
        <v>3.8531375334041598</v>
      </c>
      <c r="BK45" s="82">
        <f>Tendencial!BO213</f>
        <v>3.8814883817004757</v>
      </c>
    </row>
    <row r="46" spans="1:63" x14ac:dyDescent="0.3">
      <c r="A46" s="386"/>
      <c r="B46" t="s">
        <v>399</v>
      </c>
      <c r="C46" s="277"/>
      <c r="D46" s="277"/>
      <c r="E46" s="277"/>
      <c r="F46" s="277"/>
      <c r="G46" s="277"/>
      <c r="H46" s="356"/>
      <c r="I46" s="356"/>
      <c r="J46" s="356"/>
      <c r="K46" s="82">
        <f>Tendencial!O214</f>
        <v>2.5507092710500001E-2</v>
      </c>
      <c r="L46" s="82">
        <f>Tendencial!P214</f>
        <v>3.9510345079400003E-2</v>
      </c>
      <c r="M46" s="82">
        <f>Tendencial!Q214</f>
        <v>2.7237504999999999E-2</v>
      </c>
      <c r="N46" s="82">
        <f>Tendencial!R214</f>
        <v>2.0068082921500002E-2</v>
      </c>
      <c r="O46" s="82">
        <f>Tendencial!S214</f>
        <v>2.9444852451209817E-2</v>
      </c>
      <c r="P46" s="82">
        <f>Tendencial!T214</f>
        <v>2.6945836427731906E-2</v>
      </c>
      <c r="Q46" s="82">
        <f>Tendencial!U214</f>
        <v>2.8556993746044021E-2</v>
      </c>
      <c r="R46" s="82">
        <f>Tendencial!V214</f>
        <v>2.8576749400626423E-2</v>
      </c>
      <c r="S46" s="82">
        <f>Tendencial!W214</f>
        <v>3.0259190470528254E-2</v>
      </c>
      <c r="T46" s="82">
        <f>Tendencial!X214</f>
        <v>3.097887308920777E-2</v>
      </c>
      <c r="U46" s="82">
        <f>Tendencial!Y214</f>
        <v>3.1730829411955666E-2</v>
      </c>
      <c r="V46" s="82">
        <f>Tendencial!Z214</f>
        <v>3.2395384074900592E-2</v>
      </c>
      <c r="W46" s="82">
        <f>Tendencial!AA214</f>
        <v>3.3176402687466064E-2</v>
      </c>
      <c r="X46" s="82">
        <f>Tendencial!AB214</f>
        <v>3.273134903330014E-2</v>
      </c>
      <c r="Y46" s="82">
        <f>Tendencial!AC214</f>
        <v>3.3305264559828587E-2</v>
      </c>
      <c r="Z46" s="82">
        <f>Tendencial!AD214</f>
        <v>3.400486653492054E-2</v>
      </c>
      <c r="AA46" s="82">
        <f>Tendencial!AE214</f>
        <v>3.4505043443046571E-2</v>
      </c>
      <c r="AB46" s="82">
        <f>Tendencial!AF214</f>
        <v>3.498088338432806E-2</v>
      </c>
      <c r="AC46" s="82">
        <f>Tendencial!AG214</f>
        <v>3.5438459516565955E-2</v>
      </c>
      <c r="AD46" s="82">
        <f>Tendencial!AH214</f>
        <v>3.5827841448904142E-2</v>
      </c>
      <c r="AE46" s="82">
        <f>Tendencial!AI214</f>
        <v>3.6162096676814116E-2</v>
      </c>
      <c r="AF46" s="82">
        <f>Tendencial!AJ214</f>
        <v>3.6657145118591541E-2</v>
      </c>
      <c r="AG46" s="82">
        <f>Tendencial!AK214</f>
        <v>3.7112095322188773E-2</v>
      </c>
      <c r="AH46" s="82">
        <f>Tendencial!AL214</f>
        <v>3.7539017364722482E-2</v>
      </c>
      <c r="AI46" s="82">
        <f>Tendencial!AM214</f>
        <v>3.7949397464214454E-2</v>
      </c>
      <c r="AJ46" s="82">
        <f>Tendencial!AN214</f>
        <v>3.829862669230346E-2</v>
      </c>
      <c r="AK46" s="82">
        <f>Tendencial!AO214</f>
        <v>3.8691893675946276E-2</v>
      </c>
      <c r="AL46" s="82">
        <f>Tendencial!AP214</f>
        <v>3.9049535738693332E-2</v>
      </c>
      <c r="AM46" s="82">
        <f>Tendencial!AQ214</f>
        <v>3.946638967035683E-2</v>
      </c>
      <c r="AN46" s="82">
        <f>Tendencial!AR214</f>
        <v>3.9824364792176825E-2</v>
      </c>
      <c r="AO46" s="82">
        <f>Tendencial!AS214</f>
        <v>4.016806300993489E-2</v>
      </c>
      <c r="AP46" s="82">
        <f>Tendencial!AT214</f>
        <v>4.051064309869247E-2</v>
      </c>
      <c r="AQ46" s="82">
        <f>Tendencial!AU214</f>
        <v>4.0847193503309162E-2</v>
      </c>
      <c r="AR46" s="82">
        <f>Tendencial!AV214</f>
        <v>4.1205311499773307E-2</v>
      </c>
      <c r="AS46" s="82">
        <f>Tendencial!AW214</f>
        <v>4.1535349881358589E-2</v>
      </c>
      <c r="AT46" s="82">
        <f>Tendencial!AX214</f>
        <v>4.1858242355610781E-2</v>
      </c>
      <c r="AU46" s="82">
        <f>Tendencial!AY214</f>
        <v>4.21784494624085E-2</v>
      </c>
      <c r="AV46" s="82">
        <f>Tendencial!AZ214</f>
        <v>4.2491653748256995E-2</v>
      </c>
      <c r="AW46" s="82">
        <f>Tendencial!BA214</f>
        <v>4.2802259312112498E-2</v>
      </c>
      <c r="AX46" s="82">
        <f>Tendencial!BB214</f>
        <v>4.3097460206323025E-2</v>
      </c>
      <c r="AY46" s="82">
        <f>Tendencial!BC214</f>
        <v>4.3386196979863359E-2</v>
      </c>
      <c r="AZ46" s="82">
        <f>Tendencial!BD214</f>
        <v>4.3668130717855275E-2</v>
      </c>
      <c r="BA46" s="82">
        <f>Tendencial!BE214</f>
        <v>4.3941988085471805E-2</v>
      </c>
      <c r="BB46" s="82">
        <f>Tendencial!BF214</f>
        <v>4.4206650006536605E-2</v>
      </c>
      <c r="BC46" s="82">
        <f>Tendencial!BG214</f>
        <v>4.4462736972829646E-2</v>
      </c>
      <c r="BD46" s="82">
        <f>Tendencial!BH214</f>
        <v>4.4710446173062163E-2</v>
      </c>
      <c r="BE46" s="82">
        <f>Tendencial!BI214</f>
        <v>4.494971715811804E-2</v>
      </c>
      <c r="BF46" s="82">
        <f>Tendencial!BJ214</f>
        <v>4.5179857463044384E-2</v>
      </c>
      <c r="BG46" s="82">
        <f>Tendencial!BK214</f>
        <v>4.5400715724895339E-2</v>
      </c>
      <c r="BH46" s="82">
        <f>Tendencial!BL214</f>
        <v>4.5611929206162638E-2</v>
      </c>
      <c r="BI46" s="82">
        <f>Tendencial!BM214</f>
        <v>4.5813828734550359E-2</v>
      </c>
      <c r="BJ46" s="82">
        <f>Tendencial!BN214</f>
        <v>4.6006224866047461E-2</v>
      </c>
      <c r="BK46" s="82">
        <f>Tendencial!BO214</f>
        <v>4.6188925633893707E-2</v>
      </c>
    </row>
    <row r="47" spans="1:63" x14ac:dyDescent="0.3">
      <c r="A47" s="386"/>
      <c r="B47" t="s">
        <v>400</v>
      </c>
      <c r="C47" s="277"/>
      <c r="D47" s="277"/>
      <c r="E47" s="277"/>
      <c r="F47" s="277"/>
      <c r="G47" s="277"/>
      <c r="H47" s="356"/>
      <c r="I47" s="356"/>
      <c r="J47" s="356"/>
      <c r="K47" s="82">
        <f>Tendencial!O215</f>
        <v>1.3011316471616012E-2</v>
      </c>
      <c r="L47" s="82">
        <f>Tendencial!P215</f>
        <v>1.480502655650285E-2</v>
      </c>
      <c r="M47" s="82">
        <f>Tendencial!Q215</f>
        <v>1.0287478899201868E-2</v>
      </c>
      <c r="N47" s="82">
        <f>Tendencial!R215</f>
        <v>1.0681776222006889E-2</v>
      </c>
      <c r="O47" s="82">
        <f>Tendencial!S215</f>
        <v>1.4507649369902037E-2</v>
      </c>
      <c r="P47" s="82">
        <f>Tendencial!T215</f>
        <v>2.5043799746410106E-2</v>
      </c>
      <c r="Q47" s="82">
        <f>Tendencial!U215</f>
        <v>2.0786360156828998E-2</v>
      </c>
      <c r="R47" s="82">
        <f>Tendencial!V215</f>
        <v>2.7794900322111404E-2</v>
      </c>
      <c r="S47" s="82">
        <f>Tendencial!W215</f>
        <v>2.20887866712456E-2</v>
      </c>
      <c r="T47" s="82">
        <f>Tendencial!X215</f>
        <v>2.3277789330652304E-2</v>
      </c>
      <c r="U47" s="82">
        <f>Tendencial!Y215</f>
        <v>2.4023392612830097E-2</v>
      </c>
      <c r="V47" s="82">
        <f>Tendencial!Z215</f>
        <v>2.5389071617752598E-2</v>
      </c>
      <c r="W47" s="82">
        <f>Tendencial!AA215</f>
        <v>2.5518173413265843E-2</v>
      </c>
      <c r="X47" s="82">
        <f>Tendencial!AB215</f>
        <v>3.7453766781845282E-2</v>
      </c>
      <c r="Y47" s="82">
        <f>Tendencial!AC215</f>
        <v>3.9518013942295246E-2</v>
      </c>
      <c r="Z47" s="82">
        <f>Tendencial!AD215</f>
        <v>4.0295730018486797E-2</v>
      </c>
      <c r="AA47" s="82">
        <f>Tendencial!AE215</f>
        <v>4.2834787974771568E-2</v>
      </c>
      <c r="AB47" s="82">
        <f>Tendencial!AF215</f>
        <v>4.5526391402746016E-2</v>
      </c>
      <c r="AC47" s="82">
        <f>Tendencial!AG215</f>
        <v>4.3662358121576733E-2</v>
      </c>
      <c r="AD47" s="82">
        <f>Tendencial!AH215</f>
        <v>4.5851767059062964E-2</v>
      </c>
      <c r="AE47" s="82">
        <f>Tendencial!AI215</f>
        <v>4.8078080911448315E-2</v>
      </c>
      <c r="AF47" s="82">
        <f>Tendencial!AJ215</f>
        <v>4.8388724127667412E-2</v>
      </c>
      <c r="AG47" s="82">
        <f>Tendencial!AK215</f>
        <v>4.8452003621858808E-2</v>
      </c>
      <c r="AH47" s="82">
        <f>Tendencial!AL215</f>
        <v>4.8814067255666643E-2</v>
      </c>
      <c r="AI47" s="82">
        <f>Tendencial!AM215</f>
        <v>4.9788717356801071E-2</v>
      </c>
      <c r="AJ47" s="82">
        <f>Tendencial!AN215</f>
        <v>5.0516910292342621E-2</v>
      </c>
      <c r="AK47" s="82">
        <f>Tendencial!AO215</f>
        <v>5.1263972238150435E-2</v>
      </c>
      <c r="AL47" s="82">
        <f>Tendencial!AP215</f>
        <v>5.1869783801487157E-2</v>
      </c>
      <c r="AM47" s="82">
        <f>Tendencial!AQ215</f>
        <v>5.2473555111215819E-2</v>
      </c>
      <c r="AN47" s="82">
        <f>Tendencial!AR215</f>
        <v>5.3087940524013444E-2</v>
      </c>
      <c r="AO47" s="82">
        <f>Tendencial!AS215</f>
        <v>5.3693151714875709E-2</v>
      </c>
      <c r="AP47" s="82">
        <f>Tendencial!AT215</f>
        <v>5.4306999039757275E-2</v>
      </c>
      <c r="AQ47" s="82">
        <f>Tendencial!AU215</f>
        <v>5.4923846255090641E-2</v>
      </c>
      <c r="AR47" s="82">
        <f>Tendencial!AV215</f>
        <v>5.5598968729367565E-2</v>
      </c>
      <c r="AS47" s="82">
        <f>Tendencial!AW215</f>
        <v>5.6204914571708342E-2</v>
      </c>
      <c r="AT47" s="82">
        <f>Tendencial!AX215</f>
        <v>5.6783631113042715E-2</v>
      </c>
      <c r="AU47" s="82">
        <f>Tendencial!AY215</f>
        <v>5.7384680895631035E-2</v>
      </c>
      <c r="AV47" s="82">
        <f>Tendencial!AZ215</f>
        <v>5.7991988038939735E-2</v>
      </c>
      <c r="AW47" s="82">
        <f>Tendencial!BA215</f>
        <v>5.8606376606698707E-2</v>
      </c>
      <c r="AX47" s="82">
        <f>Tendencial!BB215</f>
        <v>5.9192899463103354E-2</v>
      </c>
      <c r="AY47" s="82">
        <f>Tendencial!BC215</f>
        <v>5.9771505604095471E-2</v>
      </c>
      <c r="AZ47" s="82">
        <f>Tendencial!BD215</f>
        <v>6.0344979094462237E-2</v>
      </c>
      <c r="BA47" s="82">
        <f>Tendencial!BE215</f>
        <v>6.0913384144381411E-2</v>
      </c>
      <c r="BB47" s="82">
        <f>Tendencial!BF215</f>
        <v>6.1475854245176653E-2</v>
      </c>
      <c r="BC47" s="82">
        <f>Tendencial!BG215</f>
        <v>6.2031249906502967E-2</v>
      </c>
      <c r="BD47" s="82">
        <f>Tendencial!BH215</f>
        <v>6.257898813074983E-2</v>
      </c>
      <c r="BE47" s="82">
        <f>Tendencial!BI215</f>
        <v>6.3119293999172099E-2</v>
      </c>
      <c r="BF47" s="82">
        <f>Tendencial!BJ215</f>
        <v>6.3650896387846073E-2</v>
      </c>
      <c r="BG47" s="82">
        <f>Tendencial!BK215</f>
        <v>6.4173928025352517E-2</v>
      </c>
      <c r="BH47" s="82">
        <f>Tendencial!BL215</f>
        <v>6.4687868316952862E-2</v>
      </c>
      <c r="BI47" s="82">
        <f>Tendencial!BM215</f>
        <v>6.5193612822851021E-2</v>
      </c>
      <c r="BJ47" s="82">
        <f>Tendencial!BN215</f>
        <v>6.5690373184197376E-2</v>
      </c>
      <c r="BK47" s="82">
        <f>Tendencial!BO215</f>
        <v>6.6177611126452207E-2</v>
      </c>
    </row>
    <row r="48" spans="1:63" x14ac:dyDescent="0.3">
      <c r="A48" s="386"/>
      <c r="B48" t="s">
        <v>401</v>
      </c>
      <c r="C48" s="277"/>
      <c r="D48" s="277"/>
      <c r="E48" s="277"/>
      <c r="F48" s="277"/>
      <c r="G48" s="277"/>
      <c r="H48" s="356"/>
      <c r="I48" s="356"/>
      <c r="J48" s="356"/>
      <c r="K48" s="82">
        <f>Tendencial!O216</f>
        <v>6.205811E-2</v>
      </c>
      <c r="L48" s="82">
        <f>Tendencial!P216</f>
        <v>7.0931419999999995E-2</v>
      </c>
      <c r="M48" s="82">
        <f>Tendencial!Q216</f>
        <v>7.2699089999999994E-2</v>
      </c>
      <c r="N48" s="82">
        <f>Tendencial!R216</f>
        <v>8.1058329999999998E-2</v>
      </c>
      <c r="O48" s="82">
        <f>Tendencial!S216</f>
        <v>6.2233284529595478E-2</v>
      </c>
      <c r="P48" s="82">
        <f>Tendencial!T216</f>
        <v>7.8666180913407602E-2</v>
      </c>
      <c r="Q48" s="82">
        <f>Tendencial!U216</f>
        <v>8.2447103482477149E-2</v>
      </c>
      <c r="R48" s="82">
        <f>Tendencial!V216</f>
        <v>8.3461641943106624E-2</v>
      </c>
      <c r="S48" s="82">
        <f>Tendencial!W216</f>
        <v>8.7239338045921808E-2</v>
      </c>
      <c r="T48" s="82">
        <f>Tendencial!X216</f>
        <v>8.9353888793080982E-2</v>
      </c>
      <c r="U48" s="82">
        <f>Tendencial!Y216</f>
        <v>9.1498807151742134E-2</v>
      </c>
      <c r="V48" s="82">
        <f>Tendencial!Z216</f>
        <v>9.3498846931245355E-2</v>
      </c>
      <c r="W48" s="82">
        <f>Tendencial!AA216</f>
        <v>9.5645645838647653E-2</v>
      </c>
      <c r="X48" s="82">
        <f>Tendencial!AB216</f>
        <v>9.6140113140628827E-2</v>
      </c>
      <c r="Y48" s="82">
        <f>Tendencial!AC216</f>
        <v>9.8007943370025954E-2</v>
      </c>
      <c r="Z48" s="82">
        <f>Tendencial!AD216</f>
        <v>0.10004296485990399</v>
      </c>
      <c r="AA48" s="82">
        <f>Tendencial!AE216</f>
        <v>0.10178615441889768</v>
      </c>
      <c r="AB48" s="82">
        <f>Tendencial!AF216</f>
        <v>0.10348885734912237</v>
      </c>
      <c r="AC48" s="82">
        <f>Tendencial!AG216</f>
        <v>0.10474692624129889</v>
      </c>
      <c r="AD48" s="82">
        <f>Tendencial!AH216</f>
        <v>0.10621378464042737</v>
      </c>
      <c r="AE48" s="82">
        <f>Tendencial!AI216</f>
        <v>0.10756209223396783</v>
      </c>
      <c r="AF48" s="82">
        <f>Tendencial!AJ216</f>
        <v>0.10909549791282033</v>
      </c>
      <c r="AG48" s="82">
        <f>Tendencial!AK216</f>
        <v>0.11051708233495591</v>
      </c>
      <c r="AH48" s="82">
        <f>Tendencial!AL216</f>
        <v>0.11190232309011044</v>
      </c>
      <c r="AI48" s="82">
        <f>Tendencial!AM216</f>
        <v>0.1133043731900403</v>
      </c>
      <c r="AJ48" s="82">
        <f>Tendencial!AN216</f>
        <v>0.11454924155576893</v>
      </c>
      <c r="AK48" s="82">
        <f>Tendencial!AO216</f>
        <v>0.11589078808327129</v>
      </c>
      <c r="AL48" s="82">
        <f>Tendencial!AP216</f>
        <v>0.11714010756474741</v>
      </c>
      <c r="AM48" s="82">
        <f>Tendencial!AQ216</f>
        <v>0.11851663098488162</v>
      </c>
      <c r="AN48" s="82">
        <f>Tendencial!AR216</f>
        <v>0.11976337924107107</v>
      </c>
      <c r="AO48" s="82">
        <f>Tendencial!AS216</f>
        <v>0.12097587621637329</v>
      </c>
      <c r="AP48" s="82">
        <f>Tendencial!AT216</f>
        <v>0.12218424658192423</v>
      </c>
      <c r="AQ48" s="82">
        <f>Tendencial!AU216</f>
        <v>0.12337721559622004</v>
      </c>
      <c r="AR48" s="82">
        <f>Tendencial!AV216</f>
        <v>0.1246191923475139</v>
      </c>
      <c r="AS48" s="82">
        <f>Tendencial!AW216</f>
        <v>0.12579096096584719</v>
      </c>
      <c r="AT48" s="82">
        <f>Tendencial!AX216</f>
        <v>0.1269413890183668</v>
      </c>
      <c r="AU48" s="82">
        <f>Tendencial!AY216</f>
        <v>0.12808421257903205</v>
      </c>
      <c r="AV48" s="82">
        <f>Tendencial!AZ216</f>
        <v>0.12920840041092327</v>
      </c>
      <c r="AW48" s="82">
        <f>Tendencial!BA216</f>
        <v>0.13032319610424581</v>
      </c>
      <c r="AX48" s="82">
        <f>Tendencial!BB216</f>
        <v>0.13139774418256239</v>
      </c>
      <c r="AY48" s="82">
        <f>Tendencial!BC216</f>
        <v>0.13245274084109362</v>
      </c>
      <c r="AZ48" s="82">
        <f>Tendencial!BD216</f>
        <v>0.13348741725861288</v>
      </c>
      <c r="BA48" s="82">
        <f>Tendencial!BE216</f>
        <v>0.1344987781034695</v>
      </c>
      <c r="BB48" s="82">
        <f>Tendencial!BF216</f>
        <v>0.13548409416638191</v>
      </c>
      <c r="BC48" s="82">
        <f>Tendencial!BG216</f>
        <v>0.13644431577280774</v>
      </c>
      <c r="BD48" s="82">
        <f>Tendencial!BH216</f>
        <v>0.13737953507811046</v>
      </c>
      <c r="BE48" s="82">
        <f>Tendencial!BI216</f>
        <v>0.1382893678326465</v>
      </c>
      <c r="BF48" s="82">
        <f>Tendencial!BJ216</f>
        <v>0.13917196862096345</v>
      </c>
      <c r="BG48" s="82">
        <f>Tendencial!BK216</f>
        <v>0.14002676544114856</v>
      </c>
      <c r="BH48" s="82">
        <f>Tendencial!BL216</f>
        <v>0.14085268969332659</v>
      </c>
      <c r="BI48" s="82">
        <f>Tendencial!BM216</f>
        <v>0.14165025362815473</v>
      </c>
      <c r="BJ48" s="82">
        <f>Tendencial!BN216</f>
        <v>0.14241873136567623</v>
      </c>
      <c r="BK48" s="82">
        <f>Tendencial!BO216</f>
        <v>0.14315741953275152</v>
      </c>
    </row>
    <row r="49" spans="1:63" x14ac:dyDescent="0.3">
      <c r="A49" s="386"/>
      <c r="B49" t="s">
        <v>402</v>
      </c>
      <c r="C49" s="277"/>
      <c r="D49" s="277"/>
      <c r="E49" s="277"/>
      <c r="F49" s="277"/>
      <c r="G49" s="277"/>
      <c r="H49" s="356"/>
      <c r="I49" s="356"/>
      <c r="J49" s="356"/>
      <c r="K49" s="82">
        <f>Tendencial!O217</f>
        <v>1.1358975848035</v>
      </c>
      <c r="L49" s="82">
        <f>Tendencial!P217</f>
        <v>1.1918002202970002</v>
      </c>
      <c r="M49" s="82">
        <f>Tendencial!Q217</f>
        <v>1.2854633564094</v>
      </c>
      <c r="N49" s="82">
        <f>Tendencial!R217</f>
        <v>1.5159054211035998</v>
      </c>
      <c r="O49" s="82">
        <f>Tendencial!S217</f>
        <v>1.7484062297790823</v>
      </c>
      <c r="P49" s="82">
        <f>Tendencial!T217</f>
        <v>1.913717130026751</v>
      </c>
      <c r="Q49" s="82">
        <f>Tendencial!U217</f>
        <v>2.0764753521247767</v>
      </c>
      <c r="R49" s="82">
        <f>Tendencial!V217</f>
        <v>2.238145839879992</v>
      </c>
      <c r="S49" s="82">
        <f>Tendencial!W217</f>
        <v>2.4009415337439433</v>
      </c>
      <c r="T49" s="82">
        <f>Tendencial!X217</f>
        <v>2.5630800519417014</v>
      </c>
      <c r="U49" s="82">
        <f>Tendencial!Y217</f>
        <v>2.7252389550295106</v>
      </c>
      <c r="V49" s="82">
        <f>Tendencial!Z217</f>
        <v>2.887340033679914</v>
      </c>
      <c r="W49" s="82">
        <f>Tendencial!AA217</f>
        <v>3.0495157513993352</v>
      </c>
      <c r="X49" s="82">
        <f>Tendencial!AB217</f>
        <v>3.2109066959694452</v>
      </c>
      <c r="Y49" s="82">
        <f>Tendencial!AC217</f>
        <v>3.3729513868329053</v>
      </c>
      <c r="Z49" s="82">
        <f>Tendencial!AD217</f>
        <v>3.535077848299971</v>
      </c>
      <c r="AA49" s="82">
        <f>Tendencial!AE217</f>
        <v>3.6970743105487749</v>
      </c>
      <c r="AB49" s="82">
        <f>Tendencial!AF217</f>
        <v>3.8590551401692093</v>
      </c>
      <c r="AC49" s="82">
        <f>Tendencial!AG217</f>
        <v>3.8760835083455101</v>
      </c>
      <c r="AD49" s="82">
        <f>Tendencial!AH217</f>
        <v>4.0003438895093462</v>
      </c>
      <c r="AE49" s="82">
        <f>Tendencial!AI217</f>
        <v>4.1103638227096893</v>
      </c>
      <c r="AF49" s="82">
        <f>Tendencial!AJ217</f>
        <v>4.214363988599156</v>
      </c>
      <c r="AG49" s="82">
        <f>Tendencial!AK217</f>
        <v>4.3008883546079888</v>
      </c>
      <c r="AH49" s="82">
        <f>Tendencial!AL217</f>
        <v>4.3904479087790156</v>
      </c>
      <c r="AI49" s="82">
        <f>Tendencial!AM217</f>
        <v>4.4964095728773952</v>
      </c>
      <c r="AJ49" s="82">
        <f>Tendencial!AN217</f>
        <v>4.5768145234195989</v>
      </c>
      <c r="AK49" s="82">
        <f>Tendencial!AO217</f>
        <v>4.6753996434509437</v>
      </c>
      <c r="AL49" s="82">
        <f>Tendencial!AP217</f>
        <v>4.7602044910278778</v>
      </c>
      <c r="AM49" s="82">
        <f>Tendencial!AQ217</f>
        <v>4.8684074444262206</v>
      </c>
      <c r="AN49" s="82">
        <f>Tendencial!AR217</f>
        <v>4.959424147584615</v>
      </c>
      <c r="AO49" s="82">
        <f>Tendencial!AS217</f>
        <v>5.0480334698708633</v>
      </c>
      <c r="AP49" s="82">
        <f>Tendencial!AT217</f>
        <v>5.1394536844069316</v>
      </c>
      <c r="AQ49" s="82">
        <f>Tendencial!AU217</f>
        <v>5.2317596415377494</v>
      </c>
      <c r="AR49" s="82">
        <f>Tendencial!AV217</f>
        <v>5.336914706368276</v>
      </c>
      <c r="AS49" s="82">
        <f>Tendencial!AW217</f>
        <v>5.43282345188174</v>
      </c>
      <c r="AT49" s="82">
        <f>Tendencial!AX217</f>
        <v>5.5284839674863564</v>
      </c>
      <c r="AU49" s="82">
        <f>Tendencial!AY217</f>
        <v>5.6271926482537076</v>
      </c>
      <c r="AV49" s="82">
        <f>Tendencial!AZ217</f>
        <v>5.7268919528904307</v>
      </c>
      <c r="AW49" s="82">
        <f>Tendencial!BA217</f>
        <v>5.8293809749376679</v>
      </c>
      <c r="AX49" s="82">
        <f>Tendencial!BB217</f>
        <v>5.9286365342722354</v>
      </c>
      <c r="AY49" s="82">
        <f>Tendencial!BC217</f>
        <v>6.0287933128846571</v>
      </c>
      <c r="AZ49" s="82">
        <f>Tendencial!BD217</f>
        <v>6.1298670293024626</v>
      </c>
      <c r="BA49" s="82">
        <f>Tendencial!BE217</f>
        <v>6.2314031767958591</v>
      </c>
      <c r="BB49" s="82">
        <f>Tendencial!BF217</f>
        <v>6.3329598726716068</v>
      </c>
      <c r="BC49" s="82">
        <f>Tendencial!BG217</f>
        <v>6.4347913767807503</v>
      </c>
      <c r="BD49" s="82">
        <f>Tendencial!BH217</f>
        <v>6.5370024592319442</v>
      </c>
      <c r="BE49" s="82">
        <f>Tendencial!BI217</f>
        <v>6.6396171736519412</v>
      </c>
      <c r="BF49" s="82">
        <f>Tendencial!BJ217</f>
        <v>6.7423399397217398</v>
      </c>
      <c r="BG49" s="82">
        <f>Tendencial!BK217</f>
        <v>6.8451411839863425</v>
      </c>
      <c r="BH49" s="82">
        <f>Tendencial!BL217</f>
        <v>6.9478747472778233</v>
      </c>
      <c r="BI49" s="82">
        <f>Tendencial!BM217</f>
        <v>7.0507395749808346</v>
      </c>
      <c r="BJ49" s="82">
        <f>Tendencial!BN217</f>
        <v>7.1536539722287893</v>
      </c>
      <c r="BK49" s="82">
        <f>Tendencial!BO217</f>
        <v>7.2565383991932793</v>
      </c>
    </row>
    <row r="50" spans="1:63" x14ac:dyDescent="0.3">
      <c r="A50" s="386"/>
      <c r="B50" t="s">
        <v>403</v>
      </c>
      <c r="C50" s="277"/>
      <c r="D50" s="277"/>
      <c r="E50" s="277"/>
      <c r="F50" s="277"/>
      <c r="G50" s="277"/>
      <c r="H50" s="356"/>
      <c r="I50" s="356"/>
      <c r="J50" s="356"/>
      <c r="K50" s="82">
        <f>Tendencial!O218</f>
        <v>0.35613556000000002</v>
      </c>
      <c r="L50" s="82">
        <f>Tendencial!P218</f>
        <v>0.35728204999999996</v>
      </c>
      <c r="M50" s="82">
        <f>Tendencial!Q218</f>
        <v>0.48066439999999999</v>
      </c>
      <c r="N50" s="82">
        <f>Tendencial!R218</f>
        <v>0.35422895999999998</v>
      </c>
      <c r="O50" s="82">
        <f>Tendencial!S218</f>
        <v>0.41322952625484877</v>
      </c>
      <c r="P50" s="82">
        <f>Tendencial!T218</f>
        <v>0.44412708293298853</v>
      </c>
      <c r="Q50" s="82">
        <f>Tendencial!U218</f>
        <v>0.47203112628862354</v>
      </c>
      <c r="R50" s="82">
        <f>Tendencial!V218</f>
        <v>0.47479879403821479</v>
      </c>
      <c r="S50" s="82">
        <f>Tendencial!W218</f>
        <v>0.50399512527479207</v>
      </c>
      <c r="T50" s="82">
        <f>Tendencial!X218</f>
        <v>0.51796926494501638</v>
      </c>
      <c r="U50" s="82">
        <f>Tendencial!Y218</f>
        <v>0.53250741234814836</v>
      </c>
      <c r="V50" s="82">
        <f>Tendencial!Z218</f>
        <v>0.5456998497344806</v>
      </c>
      <c r="W50" s="82">
        <f>Tendencial!AA218</f>
        <v>0.56080348010440018</v>
      </c>
      <c r="X50" s="82">
        <f>Tendencial!AB218</f>
        <v>0.55628521577569667</v>
      </c>
      <c r="Y50" s="82">
        <f>Tendencial!AC218</f>
        <v>0.56812613075359542</v>
      </c>
      <c r="Z50" s="82">
        <f>Tendencial!AD218</f>
        <v>0.58203311038632932</v>
      </c>
      <c r="AA50" s="82">
        <f>Tendencial!AE218</f>
        <v>0.59276809514145057</v>
      </c>
      <c r="AB50" s="82">
        <f>Tendencial!AF218</f>
        <v>0.60314498074506995</v>
      </c>
      <c r="AC50" s="82">
        <f>Tendencial!AG218</f>
        <v>0.61191741345079542</v>
      </c>
      <c r="AD50" s="82">
        <f>Tendencial!AH218</f>
        <v>0.62060851495456271</v>
      </c>
      <c r="AE50" s="82">
        <f>Tendencial!AI218</f>
        <v>0.62829907862846013</v>
      </c>
      <c r="AF50" s="82">
        <f>Tendencial!AJ218</f>
        <v>0.63858135053602072</v>
      </c>
      <c r="AG50" s="82">
        <f>Tendencial!AK218</f>
        <v>0.64808223129082732</v>
      </c>
      <c r="AH50" s="82">
        <f>Tendencial!AL218</f>
        <v>0.65718544798074929</v>
      </c>
      <c r="AI50" s="82">
        <f>Tendencial!AM218</f>
        <v>0.66620056307994446</v>
      </c>
      <c r="AJ50" s="82">
        <f>Tendencial!AN218</f>
        <v>0.67400380555601014</v>
      </c>
      <c r="AK50" s="82">
        <f>Tendencial!AO218</f>
        <v>0.68272740546922828</v>
      </c>
      <c r="AL50" s="82">
        <f>Tendencial!AP218</f>
        <v>0.69076452377741382</v>
      </c>
      <c r="AM50" s="82">
        <f>Tendencial!AQ218</f>
        <v>0.70002508675923092</v>
      </c>
      <c r="AN50" s="82">
        <f>Tendencial!AR218</f>
        <v>0.70818141748610552</v>
      </c>
      <c r="AO50" s="82">
        <f>Tendencial!AS218</f>
        <v>0.71610545213295917</v>
      </c>
      <c r="AP50" s="82">
        <f>Tendencial!AT218</f>
        <v>0.72406319604313674</v>
      </c>
      <c r="AQ50" s="82">
        <f>Tendencial!AU218</f>
        <v>0.73195484085260132</v>
      </c>
      <c r="AR50" s="82">
        <f>Tendencial!AV218</f>
        <v>0.74035195519772945</v>
      </c>
      <c r="AS50" s="82">
        <f>Tendencial!AW218</f>
        <v>0.74822054508839619</v>
      </c>
      <c r="AT50" s="82">
        <f>Tendencial!AX218</f>
        <v>0.75599248728266821</v>
      </c>
      <c r="AU50" s="82">
        <f>Tendencial!AY218</f>
        <v>0.76377265355767654</v>
      </c>
      <c r="AV50" s="82">
        <f>Tendencial!AZ218</f>
        <v>0.7714689952578011</v>
      </c>
      <c r="AW50" s="82">
        <f>Tendencial!BA218</f>
        <v>0.77917188012793204</v>
      </c>
      <c r="AX50" s="82">
        <f>Tendencial!BB218</f>
        <v>0.78660858275756451</v>
      </c>
      <c r="AY50" s="82">
        <f>Tendencial!BC218</f>
        <v>0.79396745743954733</v>
      </c>
      <c r="AZ50" s="82">
        <f>Tendencial!BD218</f>
        <v>0.80124226240861984</v>
      </c>
      <c r="BA50" s="82">
        <f>Tendencial!BE218</f>
        <v>0.808406439521697</v>
      </c>
      <c r="BB50" s="82">
        <f>Tendencial!BF218</f>
        <v>0.81543599871449957</v>
      </c>
      <c r="BC50" s="82">
        <f>Tendencial!BG218</f>
        <v>0.8223429798869295</v>
      </c>
      <c r="BD50" s="82">
        <f>Tendencial!BH218</f>
        <v>0.82913086918121859</v>
      </c>
      <c r="BE50" s="82">
        <f>Tendencial!BI218</f>
        <v>0.83579800612843091</v>
      </c>
      <c r="BF50" s="82">
        <f>Tendencial!BJ218</f>
        <v>0.84232888512935211</v>
      </c>
      <c r="BG50" s="82">
        <f>Tendencial!BK218</f>
        <v>0.84871969073704434</v>
      </c>
      <c r="BH50" s="82">
        <f>Tendencial!BL218</f>
        <v>0.85496185121403201</v>
      </c>
      <c r="BI50" s="82">
        <f>Tendencial!BM218</f>
        <v>0.86106194081905474</v>
      </c>
      <c r="BJ50" s="82">
        <f>Tendencial!BN218</f>
        <v>0.86701495352786451</v>
      </c>
      <c r="BK50" s="82">
        <f>Tendencial!BO218</f>
        <v>0.87281582857450379</v>
      </c>
    </row>
    <row r="51" spans="1:63" x14ac:dyDescent="0.3">
      <c r="A51" s="386"/>
      <c r="B51" t="s">
        <v>404</v>
      </c>
      <c r="C51" s="277"/>
      <c r="D51" s="277"/>
      <c r="E51" s="277"/>
      <c r="F51" s="277"/>
      <c r="G51" s="277"/>
      <c r="H51" s="356"/>
      <c r="I51" s="356"/>
      <c r="J51" s="356"/>
      <c r="K51" s="82">
        <f>Tendencial!O219</f>
        <v>0.81041011424000009</v>
      </c>
      <c r="L51" s="82">
        <f>Tendencial!P219</f>
        <v>0.94249586699999999</v>
      </c>
      <c r="M51" s="82">
        <f>Tendencial!Q219</f>
        <v>0.91618988825000036</v>
      </c>
      <c r="N51" s="82">
        <f>Tendencial!R219</f>
        <v>0.94511519049370374</v>
      </c>
      <c r="O51" s="82">
        <f>Tendencial!S219</f>
        <v>1.1656097110748405</v>
      </c>
      <c r="P51" s="82">
        <f>Tendencial!T219</f>
        <v>0.86192715459303659</v>
      </c>
      <c r="Q51" s="82">
        <f>Tendencial!U219</f>
        <v>0.88747830617921841</v>
      </c>
      <c r="R51" s="82">
        <f>Tendencial!V219</f>
        <v>0.90180141269646763</v>
      </c>
      <c r="S51" s="82">
        <f>Tendencial!W219</f>
        <v>0.9247506545520503</v>
      </c>
      <c r="T51" s="82">
        <f>Tendencial!X219</f>
        <v>0.94116948910550946</v>
      </c>
      <c r="U51" s="82">
        <f>Tendencial!Y219</f>
        <v>0.95720286734146809</v>
      </c>
      <c r="V51" s="82">
        <f>Tendencial!Z219</f>
        <v>0.97282000838682436</v>
      </c>
      <c r="W51" s="82">
        <f>Tendencial!AA219</f>
        <v>0.9879046986147979</v>
      </c>
      <c r="X51" s="82">
        <f>Tendencial!AB219</f>
        <v>1.0062337477853429</v>
      </c>
      <c r="Y51" s="82">
        <f>Tendencial!AC219</f>
        <v>1.0219122555796616</v>
      </c>
      <c r="Z51" s="82">
        <f>Tendencial!AD219</f>
        <v>1.0372390396153293</v>
      </c>
      <c r="AA51" s="82">
        <f>Tendencial!AE219</f>
        <v>1.0525358185891112</v>
      </c>
      <c r="AB51" s="82">
        <f>Tendencial!AF219</f>
        <v>1.0677309513605926</v>
      </c>
      <c r="AC51" s="82">
        <f>Tendencial!AG219</f>
        <v>1.0820417918811371</v>
      </c>
      <c r="AD51" s="82">
        <f>Tendencial!AH219</f>
        <v>1.0970089602931083</v>
      </c>
      <c r="AE51" s="82">
        <f>Tendencial!AI219</f>
        <v>1.1119703747930458</v>
      </c>
      <c r="AF51" s="82">
        <f>Tendencial!AJ219</f>
        <v>1.1261682444055634</v>
      </c>
      <c r="AG51" s="82">
        <f>Tendencial!AK219</f>
        <v>1.1402012764555063</v>
      </c>
      <c r="AH51" s="82">
        <f>Tendencial!AL219</f>
        <v>1.154168916991662</v>
      </c>
      <c r="AI51" s="82">
        <f>Tendencial!AM219</f>
        <v>1.1681045888330313</v>
      </c>
      <c r="AJ51" s="82">
        <f>Tendencial!AN219</f>
        <v>1.1820300875074561</v>
      </c>
      <c r="AK51" s="82">
        <f>Tendencial!AO219</f>
        <v>1.1956162908257024</v>
      </c>
      <c r="AL51" s="82">
        <f>Tendencial!AP219</f>
        <v>1.2091191207368581</v>
      </c>
      <c r="AM51" s="82">
        <f>Tendencial!AQ219</f>
        <v>1.2221586559057891</v>
      </c>
      <c r="AN51" s="82">
        <f>Tendencial!AR219</f>
        <v>1.2352384073146787</v>
      </c>
      <c r="AO51" s="82">
        <f>Tendencial!AS219</f>
        <v>1.2481655249542771</v>
      </c>
      <c r="AP51" s="82">
        <f>Tendencial!AT219</f>
        <v>1.2608759947460517</v>
      </c>
      <c r="AQ51" s="82">
        <f>Tendencial!AU219</f>
        <v>1.2733917261247911</v>
      </c>
      <c r="AR51" s="82">
        <f>Tendencial!AV219</f>
        <v>1.2855440580438739</v>
      </c>
      <c r="AS51" s="82">
        <f>Tendencial!AW219</f>
        <v>1.2975916983042555</v>
      </c>
      <c r="AT51" s="82">
        <f>Tendencial!AX219</f>
        <v>1.3094115270218851</v>
      </c>
      <c r="AU51" s="82">
        <f>Tendencial!AY219</f>
        <v>1.3209700375436575</v>
      </c>
      <c r="AV51" s="82">
        <f>Tendencial!AZ219</f>
        <v>1.3322819761259788</v>
      </c>
      <c r="AW51" s="82">
        <f>Tendencial!BA219</f>
        <v>1.3433023038026803</v>
      </c>
      <c r="AX51" s="82">
        <f>Tendencial!BB219</f>
        <v>1.3541148276724551</v>
      </c>
      <c r="AY51" s="82">
        <f>Tendencial!BC219</f>
        <v>1.3646443896115654</v>
      </c>
      <c r="AZ51" s="82">
        <f>Tendencial!BD219</f>
        <v>1.3748828763388281</v>
      </c>
      <c r="BA51" s="82">
        <f>Tendencial!BE219</f>
        <v>1.38483079362488</v>
      </c>
      <c r="BB51" s="82">
        <f>Tendencial!BF219</f>
        <v>1.3944888174475789</v>
      </c>
      <c r="BC51" s="82">
        <f>Tendencial!BG219</f>
        <v>1.4038416052523779</v>
      </c>
      <c r="BD51" s="82">
        <f>Tendencial!BH219</f>
        <v>1.4128773306323579</v>
      </c>
      <c r="BE51" s="82">
        <f>Tendencial!BI219</f>
        <v>1.4215867458950027</v>
      </c>
      <c r="BF51" s="82">
        <f>Tendencial!BJ219</f>
        <v>1.4299675786758086</v>
      </c>
      <c r="BG51" s="82">
        <f>Tendencial!BK219</f>
        <v>1.4380125419576659</v>
      </c>
      <c r="BH51" s="82">
        <f>Tendencial!BL219</f>
        <v>1.4457170778918464</v>
      </c>
      <c r="BI51" s="82">
        <f>Tendencial!BM219</f>
        <v>1.4530687441095878</v>
      </c>
      <c r="BJ51" s="82">
        <f>Tendencial!BN219</f>
        <v>1.4600610874115767</v>
      </c>
      <c r="BK51" s="82">
        <f>Tendencial!BO219</f>
        <v>1.4666881175331843</v>
      </c>
    </row>
    <row r="52" spans="1:63" x14ac:dyDescent="0.3">
      <c r="A52" s="386"/>
      <c r="B52" t="s">
        <v>405</v>
      </c>
      <c r="C52" s="277"/>
      <c r="D52" s="277"/>
      <c r="E52" s="277"/>
      <c r="F52" s="277"/>
      <c r="G52" s="277"/>
      <c r="H52" s="356"/>
      <c r="I52" s="356"/>
      <c r="J52" s="356"/>
      <c r="K52" s="82">
        <f>Tendencial!O220</f>
        <v>0.18250613814913397</v>
      </c>
      <c r="L52" s="82">
        <f>Tendencial!P220</f>
        <v>0.19112520351487278</v>
      </c>
      <c r="M52" s="82">
        <f>Tendencial!Q220</f>
        <v>0.15689085289981208</v>
      </c>
      <c r="N52" s="82">
        <f>Tendencial!R220</f>
        <v>0.14502291746577867</v>
      </c>
      <c r="O52" s="82">
        <f>Tendencial!S220</f>
        <v>0.15313606994131015</v>
      </c>
      <c r="P52" s="82">
        <f>Tendencial!T220</f>
        <v>0.11202173983846433</v>
      </c>
      <c r="Q52" s="82">
        <f>Tendencial!U220</f>
        <v>0.11371868433315646</v>
      </c>
      <c r="R52" s="82">
        <f>Tendencial!V220</f>
        <v>0.11622745983670546</v>
      </c>
      <c r="S52" s="82">
        <f>Tendencial!W220</f>
        <v>0.11729428501429927</v>
      </c>
      <c r="T52" s="82">
        <f>Tendencial!X220</f>
        <v>0.11890309804674101</v>
      </c>
      <c r="U52" s="82">
        <f>Tendencial!Y220</f>
        <v>0.12037798354925565</v>
      </c>
      <c r="V52" s="82">
        <f>Tendencial!Z220</f>
        <v>0.12193496769292118</v>
      </c>
      <c r="W52" s="82">
        <f>Tendencial!AA220</f>
        <v>0.12317415630071481</v>
      </c>
      <c r="X52" s="82">
        <f>Tendencial!AB220</f>
        <v>0.12730341200508116</v>
      </c>
      <c r="Y52" s="82">
        <f>Tendencial!AC220</f>
        <v>0.12903934701898268</v>
      </c>
      <c r="Z52" s="82">
        <f>Tendencial!AD220</f>
        <v>0.13047452343321606</v>
      </c>
      <c r="AA52" s="82">
        <f>Tendencial!AE220</f>
        <v>0.13227436406080334</v>
      </c>
      <c r="AB52" s="82">
        <f>Tendencial!AF220</f>
        <v>0.13410010493844776</v>
      </c>
      <c r="AC52" s="82">
        <f>Tendencial!AG220</f>
        <v>0.13590579665513233</v>
      </c>
      <c r="AD52" s="82">
        <f>Tendencial!AH220</f>
        <v>0.13787897421656115</v>
      </c>
      <c r="AE52" s="82">
        <f>Tendencial!AI220</f>
        <v>0.13996523454488122</v>
      </c>
      <c r="AF52" s="82">
        <f>Tendencial!AJ220</f>
        <v>0.14161204179032272</v>
      </c>
      <c r="AG52" s="82">
        <f>Tendencial!AK220</f>
        <v>0.1433162763388518</v>
      </c>
      <c r="AH52" s="82">
        <f>Tendencial!AL220</f>
        <v>0.14505835138428827</v>
      </c>
      <c r="AI52" s="82">
        <f>Tendencial!AM220</f>
        <v>0.1468128063944987</v>
      </c>
      <c r="AJ52" s="82">
        <f>Tendencial!AN220</f>
        <v>0.14870009951230811</v>
      </c>
      <c r="AK52" s="82">
        <f>Tendencial!AO220</f>
        <v>0.15042714961913342</v>
      </c>
      <c r="AL52" s="82">
        <f>Tendencial!AP220</f>
        <v>0.15221643147025027</v>
      </c>
      <c r="AM52" s="82">
        <f>Tendencial!AQ220</f>
        <v>0.15378950502892597</v>
      </c>
      <c r="AN52" s="82">
        <f>Tendencial!AR220</f>
        <v>0.15549455102552148</v>
      </c>
      <c r="AO52" s="82">
        <f>Tendencial!AS220</f>
        <v>0.15720010622772257</v>
      </c>
      <c r="AP52" s="82">
        <f>Tendencial!AT220</f>
        <v>0.15886538103470982</v>
      </c>
      <c r="AQ52" s="82">
        <f>Tendencial!AU220</f>
        <v>0.16050529061795193</v>
      </c>
      <c r="AR52" s="82">
        <f>Tendencial!AV220</f>
        <v>0.1620268311594204</v>
      </c>
      <c r="AS52" s="82">
        <f>Tendencial!AW220</f>
        <v>0.1635894445912599</v>
      </c>
      <c r="AT52" s="82">
        <f>Tendencial!AX220</f>
        <v>0.16512358506660332</v>
      </c>
      <c r="AU52" s="82">
        <f>Tendencial!AY220</f>
        <v>0.16661201396723418</v>
      </c>
      <c r="AV52" s="82">
        <f>Tendencial!AZ220</f>
        <v>0.16806729431570375</v>
      </c>
      <c r="AW52" s="82">
        <f>Tendencial!BA220</f>
        <v>0.1694712753786714</v>
      </c>
      <c r="AX52" s="82">
        <f>Tendencial!BB220</f>
        <v>0.17086865316914374</v>
      </c>
      <c r="AY52" s="82">
        <f>Tendencial!BC220</f>
        <v>0.17222522547968269</v>
      </c>
      <c r="AZ52" s="82">
        <f>Tendencial!BD220</f>
        <v>0.17354013528413328</v>
      </c>
      <c r="BA52" s="82">
        <f>Tendencial!BE220</f>
        <v>0.17481628186647033</v>
      </c>
      <c r="BB52" s="82">
        <f>Tendencial!BF220</f>
        <v>0.17605629728100303</v>
      </c>
      <c r="BC52" s="82">
        <f>Tendencial!BG220</f>
        <v>0.17725596400632812</v>
      </c>
      <c r="BD52" s="82">
        <f>Tendencial!BH220</f>
        <v>0.1784126412968183</v>
      </c>
      <c r="BE52" s="82">
        <f>Tendencial!BI220</f>
        <v>0.17952472283337059</v>
      </c>
      <c r="BF52" s="82">
        <f>Tendencial!BJ220</f>
        <v>0.18059336070056217</v>
      </c>
      <c r="BG52" s="82">
        <f>Tendencial!BK220</f>
        <v>0.18161753007890583</v>
      </c>
      <c r="BH52" s="82">
        <f>Tendencial!BL220</f>
        <v>0.18259721014305763</v>
      </c>
      <c r="BI52" s="82">
        <f>Tendencial!BM220</f>
        <v>0.18352931045336629</v>
      </c>
      <c r="BJ52" s="82">
        <f>Tendencial!BN220</f>
        <v>0.18441307117657948</v>
      </c>
      <c r="BK52" s="82">
        <f>Tendencial!BO220</f>
        <v>0.18524782129553674</v>
      </c>
    </row>
    <row r="53" spans="1:63" x14ac:dyDescent="0.3">
      <c r="A53" s="386"/>
      <c r="B53" t="s">
        <v>406</v>
      </c>
      <c r="C53" s="277"/>
      <c r="D53" s="277"/>
      <c r="E53" s="277"/>
      <c r="F53" s="277"/>
      <c r="G53" s="277"/>
      <c r="H53" s="356"/>
      <c r="I53" s="356"/>
      <c r="J53" s="356"/>
      <c r="K53" s="82">
        <f>Tendencial!O221</f>
        <v>0.35244185919999993</v>
      </c>
      <c r="L53" s="82">
        <f>Tendencial!P221</f>
        <v>0.3674134261</v>
      </c>
      <c r="M53" s="82">
        <f>Tendencial!Q221</f>
        <v>0.2407493235</v>
      </c>
      <c r="N53" s="82">
        <f>Tendencial!R221</f>
        <v>0.27267457750000001</v>
      </c>
      <c r="O53" s="82">
        <f>Tendencial!S221</f>
        <v>0.17626938160177008</v>
      </c>
      <c r="P53" s="82">
        <f>Tendencial!T221</f>
        <v>0.25307560935042928</v>
      </c>
      <c r="Q53" s="82">
        <f>Tendencial!U221</f>
        <v>0.25243096921953534</v>
      </c>
      <c r="R53" s="82">
        <f>Tendencial!V221</f>
        <v>0.25996063723550611</v>
      </c>
      <c r="S53" s="82">
        <f>Tendencial!W221</f>
        <v>0.25707793487445219</v>
      </c>
      <c r="T53" s="82">
        <f>Tendencial!X221</f>
        <v>0.25930255608510155</v>
      </c>
      <c r="U53" s="82">
        <f>Tendencial!Y221</f>
        <v>0.26099020533721673</v>
      </c>
      <c r="V53" s="82">
        <f>Tendencial!Z221</f>
        <v>0.2632422513720028</v>
      </c>
      <c r="W53" s="82">
        <f>Tendencial!AA221</f>
        <v>0.2640829649475927</v>
      </c>
      <c r="X53" s="82">
        <f>Tendencial!AB221</f>
        <v>0.27832917211462221</v>
      </c>
      <c r="Y53" s="82">
        <f>Tendencial!AC221</f>
        <v>0.28145994720707318</v>
      </c>
      <c r="Z53" s="82">
        <f>Tendencial!AD221</f>
        <v>0.28319938054564048</v>
      </c>
      <c r="AA53" s="82">
        <f>Tendencial!AE221</f>
        <v>0.28679024207098774</v>
      </c>
      <c r="AB53" s="82">
        <f>Tendencial!AF221</f>
        <v>0.29054838258011767</v>
      </c>
      <c r="AC53" s="82">
        <f>Tendencial!AG221</f>
        <v>0.29441332223685091</v>
      </c>
      <c r="AD53" s="82">
        <f>Tendencial!AH221</f>
        <v>0.29896887949501366</v>
      </c>
      <c r="AE53" s="82">
        <f>Tendencial!AI221</f>
        <v>0.30408646477182244</v>
      </c>
      <c r="AF53" s="82">
        <f>Tendencial!AJ221</f>
        <v>0.30725741115988942</v>
      </c>
      <c r="AG53" s="82">
        <f>Tendencial!AK221</f>
        <v>0.31076465494809741</v>
      </c>
      <c r="AH53" s="82">
        <f>Tendencial!AL221</f>
        <v>0.31448921287267884</v>
      </c>
      <c r="AI53" s="82">
        <f>Tendencial!AM221</f>
        <v>0.31830085324182045</v>
      </c>
      <c r="AJ53" s="82">
        <f>Tendencial!AN221</f>
        <v>0.32276752402674214</v>
      </c>
      <c r="AK53" s="82">
        <f>Tendencial!AO221</f>
        <v>0.32656257792665117</v>
      </c>
      <c r="AL53" s="82">
        <f>Tendencial!AP221</f>
        <v>0.33069197710215548</v>
      </c>
      <c r="AM53" s="82">
        <f>Tendencial!AQ221</f>
        <v>0.33391623089751638</v>
      </c>
      <c r="AN53" s="82">
        <f>Tendencial!AR221</f>
        <v>0.33777972607068418</v>
      </c>
      <c r="AO53" s="82">
        <f>Tendencial!AS221</f>
        <v>0.34170004047776487</v>
      </c>
      <c r="AP53" s="82">
        <f>Tendencial!AT221</f>
        <v>0.34549850084330469</v>
      </c>
      <c r="AQ53" s="82">
        <f>Tendencial!AU221</f>
        <v>0.34924105727619309</v>
      </c>
      <c r="AR53" s="82">
        <f>Tendencial!AV221</f>
        <v>0.35252851439699112</v>
      </c>
      <c r="AS53" s="82">
        <f>Tendencial!AW221</f>
        <v>0.35605527364239942</v>
      </c>
      <c r="AT53" s="82">
        <f>Tendencial!AX221</f>
        <v>0.35952180507300807</v>
      </c>
      <c r="AU53" s="82">
        <f>Tendencial!AY221</f>
        <v>0.36285583813783695</v>
      </c>
      <c r="AV53" s="82">
        <f>Tendencial!AZ221</f>
        <v>0.36611396764040632</v>
      </c>
      <c r="AW53" s="82">
        <f>Tendencial!BA221</f>
        <v>0.36922233946242111</v>
      </c>
      <c r="AX53" s="82">
        <f>Tendencial!BB221</f>
        <v>0.37237171594012564</v>
      </c>
      <c r="AY53" s="82">
        <f>Tendencial!BC221</f>
        <v>0.37541990772079226</v>
      </c>
      <c r="AZ53" s="82">
        <f>Tendencial!BD221</f>
        <v>0.37836562845696092</v>
      </c>
      <c r="BA53" s="82">
        <f>Tendencial!BE221</f>
        <v>0.38122307174867115</v>
      </c>
      <c r="BB53" s="82">
        <f>Tendencial!BF221</f>
        <v>0.38400502817769105</v>
      </c>
      <c r="BC53" s="82">
        <f>Tendencial!BG221</f>
        <v>0.38669604407723079</v>
      </c>
      <c r="BD53" s="82">
        <f>Tendencial!BH221</f>
        <v>0.38928723765973505</v>
      </c>
      <c r="BE53" s="82">
        <f>Tendencial!BI221</f>
        <v>0.39177395282848143</v>
      </c>
      <c r="BF53" s="82">
        <f>Tendencial!BJ221</f>
        <v>0.3941626847732852</v>
      </c>
      <c r="BG53" s="82">
        <f>Tendencial!BK221</f>
        <v>0.39645095862870994</v>
      </c>
      <c r="BH53" s="82">
        <f>Tendencial!BL221</f>
        <v>0.39864028785211059</v>
      </c>
      <c r="BI53" s="82">
        <f>Tendencial!BM221</f>
        <v>0.40071981087755715</v>
      </c>
      <c r="BJ53" s="82">
        <f>Tendencial!BN221</f>
        <v>0.40268804412043169</v>
      </c>
      <c r="BK53" s="82">
        <f>Tendencial!BO221</f>
        <v>0.40454378447419481</v>
      </c>
    </row>
    <row r="54" spans="1:63" x14ac:dyDescent="0.3">
      <c r="A54" s="386"/>
      <c r="B54" t="s">
        <v>407</v>
      </c>
      <c r="C54" s="277"/>
      <c r="D54" s="277"/>
      <c r="E54" s="277"/>
      <c r="F54" s="277"/>
      <c r="G54" s="277"/>
      <c r="H54" s="356"/>
      <c r="I54" s="356"/>
      <c r="J54" s="356"/>
      <c r="K54" s="82">
        <f>Tendencial!O246</f>
        <v>1.31871490227</v>
      </c>
      <c r="L54" s="82">
        <f>Tendencial!P246</f>
        <v>1.0708886317799999</v>
      </c>
      <c r="M54" s="82">
        <f>Tendencial!Q246</f>
        <v>1.293475982486</v>
      </c>
      <c r="N54" s="82">
        <f>Tendencial!R246</f>
        <v>1.4857295651099998</v>
      </c>
      <c r="O54" s="82">
        <f>Tendencial!S246</f>
        <v>1.5429257600703721</v>
      </c>
      <c r="P54" s="82">
        <f>Tendencial!T246</f>
        <v>1.4375667486337971</v>
      </c>
      <c r="Q54" s="82">
        <f>Tendencial!U246</f>
        <v>1.5342759244259199</v>
      </c>
      <c r="R54" s="82">
        <f>Tendencial!V246</f>
        <v>1.5489698821615043</v>
      </c>
      <c r="S54" s="82">
        <f>Tendencial!W246</f>
        <v>1.6516688846693641</v>
      </c>
      <c r="T54" s="82">
        <f>Tendencial!X246</f>
        <v>1.7046113531386069</v>
      </c>
      <c r="U54" s="82">
        <f>Tendencial!Y246</f>
        <v>1.760018966469187</v>
      </c>
      <c r="V54" s="82">
        <f>Tendencial!Z246</f>
        <v>1.8114928731581974</v>
      </c>
      <c r="W54" s="82">
        <f>Tendencial!AA246</f>
        <v>1.8700094682138875</v>
      </c>
      <c r="X54" s="82">
        <f>Tendencial!AB246</f>
        <v>1.8620245113329545</v>
      </c>
      <c r="Y54" s="82">
        <f>Tendencial!AC246</f>
        <v>1.910201434163378</v>
      </c>
      <c r="Z54" s="82">
        <f>Tendencial!AD246</f>
        <v>1.9660290822853121</v>
      </c>
      <c r="AA54" s="82">
        <f>Tendencial!AE246</f>
        <v>2.0114162388684966</v>
      </c>
      <c r="AB54" s="82">
        <f>Tendencial!AF246</f>
        <v>2.0560129060524481</v>
      </c>
      <c r="AC54" s="82">
        <f>Tendencial!AG246</f>
        <v>2.1001340859949336</v>
      </c>
      <c r="AD54" s="82">
        <f>Tendencial!AH246</f>
        <v>2.1409645586639292</v>
      </c>
      <c r="AE54" s="82">
        <f>Tendencial!AI246</f>
        <v>2.1791170047896244</v>
      </c>
      <c r="AF54" s="82">
        <f>Tendencial!AJ246</f>
        <v>2.2271367832778228</v>
      </c>
      <c r="AG54" s="82">
        <f>Tendencial!AK246</f>
        <v>2.2734202864633479</v>
      </c>
      <c r="AH54" s="82">
        <f>Tendencial!AL246</f>
        <v>2.318642883107076</v>
      </c>
      <c r="AI54" s="82">
        <f>Tendencial!AM246</f>
        <v>2.3634635600984115</v>
      </c>
      <c r="AJ54" s="82">
        <f>Tendencial!AN246</f>
        <v>2.405153075242203</v>
      </c>
      <c r="AK54" s="82">
        <f>Tendencial!AO246</f>
        <v>2.4500461967688598</v>
      </c>
      <c r="AL54" s="82">
        <f>Tendencial!AP246</f>
        <v>2.493312299476429</v>
      </c>
      <c r="AM54" s="82">
        <f>Tendencial!AQ246</f>
        <v>2.5407869355732347</v>
      </c>
      <c r="AN54" s="82">
        <f>Tendencial!AR246</f>
        <v>2.585182051549566</v>
      </c>
      <c r="AO54" s="82">
        <f>Tendencial!AS246</f>
        <v>2.6292243054450517</v>
      </c>
      <c r="AP54" s="82">
        <f>Tendencial!AT246</f>
        <v>2.6737339419183206</v>
      </c>
      <c r="AQ54" s="82">
        <f>Tendencial!AU246</f>
        <v>2.7184001153920061</v>
      </c>
      <c r="AR54" s="82">
        <f>Tendencial!AV246</f>
        <v>2.765002837096155</v>
      </c>
      <c r="AS54" s="82">
        <f>Tendencial!AW246</f>
        <v>2.8103449070310829</v>
      </c>
      <c r="AT54" s="82">
        <f>Tendencial!AX246</f>
        <v>2.8557624343411123</v>
      </c>
      <c r="AU54" s="82">
        <f>Tendencial!AY246</f>
        <v>2.9015451111720698</v>
      </c>
      <c r="AV54" s="82">
        <f>Tendencial!AZ246</f>
        <v>2.9474050676612418</v>
      </c>
      <c r="AW54" s="82">
        <f>Tendencial!BA246</f>
        <v>2.9936324276356987</v>
      </c>
      <c r="AX54" s="82">
        <f>Tendencial!BB246</f>
        <v>3.0393579548645193</v>
      </c>
      <c r="AY54" s="82">
        <f>Tendencial!BC246</f>
        <v>3.0851731348850966</v>
      </c>
      <c r="AZ54" s="82">
        <f>Tendencial!BD246</f>
        <v>3.1310485539864827</v>
      </c>
      <c r="BA54" s="82">
        <f>Tendencial!BE246</f>
        <v>3.1768888192628904</v>
      </c>
      <c r="BB54" s="82">
        <f>Tendencial!BF246</f>
        <v>3.2226062724682887</v>
      </c>
      <c r="BC54" s="82">
        <f>Tendencial!BG246</f>
        <v>3.2682335393647075</v>
      </c>
      <c r="BD54" s="82">
        <f>Tendencial!BH246</f>
        <v>3.3137742862158825</v>
      </c>
      <c r="BE54" s="82">
        <f>Tendencial!BI246</f>
        <v>3.3592139187661161</v>
      </c>
      <c r="BF54" s="82">
        <f>Tendencial!BJ246</f>
        <v>3.4044916463087369</v>
      </c>
      <c r="BG54" s="82">
        <f>Tendencial!BK246</f>
        <v>3.449584393155936</v>
      </c>
      <c r="BH54" s="82">
        <f>Tendencial!BL246</f>
        <v>3.4944528982986292</v>
      </c>
      <c r="BI54" s="82">
        <f>Tendencial!BM246</f>
        <v>3.5391083478194312</v>
      </c>
      <c r="BJ54" s="82">
        <f>Tendencial!BN246</f>
        <v>3.5835234790363106</v>
      </c>
      <c r="BK54" s="82">
        <f>Tendencial!BO246</f>
        <v>3.6276701303437191</v>
      </c>
    </row>
    <row r="55" spans="1:63" x14ac:dyDescent="0.3">
      <c r="C55" s="277"/>
      <c r="D55" s="277"/>
      <c r="E55" s="277"/>
      <c r="F55" s="277"/>
      <c r="G55" s="277"/>
      <c r="H55" s="356"/>
      <c r="I55" s="356"/>
      <c r="J55" s="356"/>
    </row>
    <row r="56" spans="1:63" x14ac:dyDescent="0.3">
      <c r="A56" s="386" t="s">
        <v>390</v>
      </c>
      <c r="B56" t="s">
        <v>393</v>
      </c>
      <c r="C56" s="277"/>
      <c r="D56" s="277"/>
      <c r="E56" s="277"/>
      <c r="F56" s="277"/>
      <c r="G56" s="277"/>
      <c r="H56" s="356"/>
      <c r="I56" s="356"/>
      <c r="J56" s="356"/>
      <c r="K56" s="82">
        <f>K40</f>
        <v>6.4340652089819983E-2</v>
      </c>
      <c r="L56" s="82">
        <f t="shared" ref="L56:N56" si="32">L40</f>
        <v>0.16104310482325079</v>
      </c>
      <c r="M56" s="82">
        <f t="shared" si="32"/>
        <v>4.5879808318369797E-2</v>
      </c>
      <c r="N56" s="82">
        <f t="shared" si="32"/>
        <v>0.12615682334746037</v>
      </c>
      <c r="O56" s="82">
        <f t="shared" ref="O56" si="33">O40</f>
        <v>0.12099380420706041</v>
      </c>
      <c r="P56" s="84">
        <f>'CC70 - Valores'!G20</f>
        <v>0.60024386329620949</v>
      </c>
      <c r="Q56" s="84">
        <f>'CC70 - Valores'!H20</f>
        <v>0.94331515642818431</v>
      </c>
      <c r="R56" s="84">
        <f>'CC70 - Valores'!I20</f>
        <v>0.89466247686261813</v>
      </c>
      <c r="S56" s="84">
        <f>'CC70 - Valores'!J20</f>
        <v>0.92982978720220988</v>
      </c>
      <c r="T56" s="84">
        <f>'CC70 - Valores'!K20</f>
        <v>0.96517292200065441</v>
      </c>
      <c r="U56" s="84">
        <f>'CC70 - Valores'!L20</f>
        <v>1.0006927603802431</v>
      </c>
      <c r="V56" s="84">
        <f>'CC70 - Valores'!M20</f>
        <v>1.0363901858588855</v>
      </c>
      <c r="W56" s="84">
        <f>'CC70 - Valores'!N20</f>
        <v>1.0722660863720739</v>
      </c>
      <c r="X56" s="84">
        <f>'CC70 - Valores'!O20</f>
        <v>1.1083213542949819</v>
      </c>
      <c r="Y56" s="84">
        <f>'CC70 - Valores'!P20</f>
        <v>1.1445568864646578</v>
      </c>
      <c r="Z56" s="84">
        <f>'CC70 - Valores'!Q20</f>
        <v>1.180973584202337</v>
      </c>
      <c r="AA56" s="84">
        <f>'CC70 - Valores'!R20</f>
        <v>1.2175723533358571</v>
      </c>
      <c r="AB56" s="84">
        <f>'CC70 - Valores'!S20</f>
        <v>1.2543541042221991</v>
      </c>
      <c r="AC56" s="84">
        <f>'CC70 - Valores'!T20</f>
        <v>1.2913175820317244</v>
      </c>
      <c r="AD56" s="84">
        <f>'CC70 - Valores'!U20</f>
        <v>1.3284674818866185</v>
      </c>
      <c r="AE56" s="84">
        <f>'CC70 - Valores'!V20</f>
        <v>1.3658029093196413</v>
      </c>
      <c r="AF56" s="84">
        <f>'CC70 - Valores'!W20</f>
        <v>1.4033249140177562</v>
      </c>
      <c r="AG56" s="84">
        <f>'CC70 - Valores'!X20</f>
        <v>1.4410342597674113</v>
      </c>
      <c r="AH56" s="84">
        <f>'CC70 - Valores'!Y20</f>
        <v>1.4789321915084903</v>
      </c>
      <c r="AI56" s="84">
        <f>'CC70 - Valores'!Z20</f>
        <v>1.5170198519327434</v>
      </c>
      <c r="AJ56" s="84">
        <f>'CC70 - Valores'!AA20</f>
        <v>1.5552975607649326</v>
      </c>
      <c r="AK56" s="84">
        <f>'CC70 - Valores'!AB20</f>
        <v>1.5937669238867516</v>
      </c>
      <c r="AL56" s="84">
        <f>'CC70 - Valores'!AC20</f>
        <v>1.632428420530097</v>
      </c>
      <c r="AM56" s="84">
        <f>'CC70 - Valores'!AD20</f>
        <v>1.6712835680431439</v>
      </c>
      <c r="AN56" s="84">
        <f>'CC70 - Valores'!AE20</f>
        <v>1.7103327265164223</v>
      </c>
      <c r="AO56" s="84">
        <f>'CC70 - Valores'!AF20</f>
        <v>1.7495770881011588</v>
      </c>
      <c r="AP56" s="84">
        <f>'CC70 - Valores'!AG20</f>
        <v>1.7890177069844659</v>
      </c>
      <c r="AQ56" s="84">
        <f>'CC70 - Valores'!AH20</f>
        <v>1.8286555354701814</v>
      </c>
      <c r="AR56" s="84">
        <f>'CC70 - Valores'!AI20</f>
        <v>1.8684917383692801</v>
      </c>
      <c r="AS56" s="84">
        <f>'CC70 - Valores'!AJ20</f>
        <v>1.9085269762993518</v>
      </c>
      <c r="AT56" s="84">
        <f>'CC70 - Valores'!AK20</f>
        <v>1.9487623796289233</v>
      </c>
      <c r="AU56" s="84">
        <f>'CC70 - Valores'!AL20</f>
        <v>1.9891989985087379</v>
      </c>
      <c r="AV56" s="84">
        <f>'CC70 - Valores'!AM20</f>
        <v>2.0298378080290282</v>
      </c>
      <c r="AW56" s="84">
        <f>'CC70 - Valores'!AN20</f>
        <v>2.0706798459603748</v>
      </c>
      <c r="AX56" s="84">
        <f>'CC70 - Valores'!AO20</f>
        <v>2.1117260381911214</v>
      </c>
      <c r="AY56" s="84">
        <f>'CC70 - Valores'!AP20</f>
        <v>2.1529774675466262</v>
      </c>
      <c r="AZ56" s="84">
        <f>'CC70 - Valores'!AQ20</f>
        <v>2.194435160384308</v>
      </c>
      <c r="BA56" s="84">
        <f>'CC70 - Valores'!AR20</f>
        <v>2.2361001411616828</v>
      </c>
      <c r="BB56" s="84">
        <f>'CC70 - Valores'!AS20</f>
        <v>2.2779734396799727</v>
      </c>
      <c r="BC56" s="84">
        <f>'CC70 - Valores'!AT20</f>
        <v>2.3200561013273413</v>
      </c>
      <c r="BD56" s="84">
        <f>'CC70 - Valores'!AU20</f>
        <v>2.3623491744660283</v>
      </c>
      <c r="BE56" s="84">
        <f>'CC70 - Valores'!AV20</f>
        <v>2.4048537114863242</v>
      </c>
      <c r="BF56" s="84">
        <f>'CC70 - Valores'!AW20</f>
        <v>2.4475707652596261</v>
      </c>
      <c r="BG56" s="84">
        <f>'CC70 - Valores'!AX20</f>
        <v>2.4905013979208226</v>
      </c>
      <c r="BH56" s="84">
        <f>'CC70 - Valores'!AY20</f>
        <v>2.5336466751743307</v>
      </c>
      <c r="BI56" s="84">
        <f>'CC70 - Valores'!AZ20</f>
        <v>2.5770076732237905</v>
      </c>
      <c r="BJ56" s="84">
        <f>'CC70 - Valores'!BA20</f>
        <v>2.6205854694426085</v>
      </c>
      <c r="BK56" s="84">
        <f>'CC70 - Valores'!BB20</f>
        <v>2.66438114662943</v>
      </c>
    </row>
    <row r="57" spans="1:63" x14ac:dyDescent="0.3">
      <c r="A57" s="386"/>
      <c r="B57" t="s">
        <v>394</v>
      </c>
      <c r="C57" s="276"/>
      <c r="D57" s="276"/>
      <c r="E57" s="276"/>
      <c r="F57" s="276"/>
      <c r="G57" s="276"/>
      <c r="H57" s="128"/>
      <c r="I57" s="359"/>
      <c r="J57" s="359"/>
      <c r="K57" s="82">
        <f t="shared" ref="K57:N70" si="34">K41</f>
        <v>8.0857443540089502E-2</v>
      </c>
      <c r="L57" s="82">
        <f t="shared" si="34"/>
        <v>8.2512694285325872E-2</v>
      </c>
      <c r="M57" s="82">
        <f t="shared" si="34"/>
        <v>8.4007297411843401E-2</v>
      </c>
      <c r="N57" s="82">
        <f t="shared" si="34"/>
        <v>8.7444753199804687E-2</v>
      </c>
      <c r="O57" s="82">
        <f t="shared" ref="O57" si="35">O41</f>
        <v>0.12355608765109521</v>
      </c>
      <c r="P57" s="84">
        <f>'CC70 - Valores'!G21</f>
        <v>0.15579980255671827</v>
      </c>
      <c r="Q57" s="84">
        <f>'CC70 - Valores'!H21</f>
        <v>0.14218490795545466</v>
      </c>
      <c r="R57" s="84">
        <f>'CC70 - Valores'!I21</f>
        <v>0.14958752058750924</v>
      </c>
      <c r="S57" s="84">
        <f>'CC70 - Valores'!J21</f>
        <v>0.17922294453858431</v>
      </c>
      <c r="T57" s="84">
        <f>'CC70 - Valores'!K21</f>
        <v>0.19659323592763758</v>
      </c>
      <c r="U57" s="84">
        <f>'CC70 - Valores'!L21</f>
        <v>0.21509581710510223</v>
      </c>
      <c r="V57" s="84">
        <f>'CC70 - Valores'!M21</f>
        <v>0.23302453887100957</v>
      </c>
      <c r="W57" s="84">
        <f>'CC70 - Valores'!N21</f>
        <v>0.25337982524649993</v>
      </c>
      <c r="X57" s="84">
        <f>'CC70 - Valores'!O21</f>
        <v>0.25563592256956069</v>
      </c>
      <c r="Y57" s="84">
        <f>'CC70 - Valores'!P21</f>
        <v>0.27386883109288174</v>
      </c>
      <c r="Z57" s="84">
        <f>'CC70 - Valores'!Q21</f>
        <v>0.2947926843070478</v>
      </c>
      <c r="AA57" s="84">
        <f>'CC70 - Valores'!R21</f>
        <v>0.31320770280339055</v>
      </c>
      <c r="AB57" s="84">
        <f>'CC70 - Valores'!S21</f>
        <v>0.33186379413274825</v>
      </c>
      <c r="AC57" s="84">
        <f>'CC70 - Valores'!T21</f>
        <v>0.3468458278452527</v>
      </c>
      <c r="AD57" s="84">
        <f>'CC70 - Valores'!U21</f>
        <v>0.35047500194811132</v>
      </c>
      <c r="AE57" s="84">
        <f>'CC70 - Valores'!V21</f>
        <v>0.35446264279124173</v>
      </c>
      <c r="AF57" s="84">
        <f>'CC70 - Valores'!W21</f>
        <v>0.35694415324268935</v>
      </c>
      <c r="AG57" s="84">
        <f>'CC70 - Valores'!X21</f>
        <v>0.35960112209219297</v>
      </c>
      <c r="AH57" s="84">
        <f>'CC70 - Valores'!Y21</f>
        <v>0.36235139194361121</v>
      </c>
      <c r="AI57" s="84">
        <f>'CC70 - Valores'!Z21</f>
        <v>0.36509957365923684</v>
      </c>
      <c r="AJ57" s="84">
        <f>'CC70 - Valores'!AA21</f>
        <v>0.36828718357681273</v>
      </c>
      <c r="AK57" s="84">
        <f>'CC70 - Valores'!AB21</f>
        <v>0.37089157118262317</v>
      </c>
      <c r="AL57" s="84">
        <f>'CC70 - Valores'!AC21</f>
        <v>0.37369090739106664</v>
      </c>
      <c r="AM57" s="84">
        <f>'CC70 - Valores'!AD21</f>
        <v>0.37571280817125502</v>
      </c>
      <c r="AN57" s="84">
        <f>'CC70 - Valores'!AE21</f>
        <v>0.37817063897273012</v>
      </c>
      <c r="AO57" s="84">
        <f>'CC70 - Valores'!AF21</f>
        <v>0.3806089121808387</v>
      </c>
      <c r="AP57" s="84">
        <f>'CC70 - Valores'!AG21</f>
        <v>0.38288557059954981</v>
      </c>
      <c r="AQ57" s="84">
        <f>'CC70 - Valores'!AH21</f>
        <v>0.38505322124213215</v>
      </c>
      <c r="AR57" s="84">
        <f>'CC70 - Valores'!AI21</f>
        <v>0.38678645342533163</v>
      </c>
      <c r="AS57" s="84">
        <f>'CC70 - Valores'!AJ21</f>
        <v>0.38864797409512442</v>
      </c>
      <c r="AT57" s="84">
        <f>'CC70 - Valores'!AK21</f>
        <v>0.39039512264452902</v>
      </c>
      <c r="AU57" s="84">
        <f>'CC70 - Valores'!AL21</f>
        <v>0.39196790623576988</v>
      </c>
      <c r="AV57" s="84">
        <f>'CC70 - Valores'!AM21</f>
        <v>0.39341247202563445</v>
      </c>
      <c r="AW57" s="84">
        <f>'CC70 - Valores'!AN21</f>
        <v>0.39466690546658251</v>
      </c>
      <c r="AX57" s="84">
        <f>'CC70 - Valores'!AO21</f>
        <v>0.39589076783876137</v>
      </c>
      <c r="AY57" s="84">
        <f>'CC70 - Valores'!AP21</f>
        <v>0.39696544101733017</v>
      </c>
      <c r="AZ57" s="84">
        <f>'CC70 - Valores'!AQ21</f>
        <v>0.39788973188419979</v>
      </c>
      <c r="BA57" s="84">
        <f>'CC70 - Valores'!AR21</f>
        <v>0.39867575774208497</v>
      </c>
      <c r="BB57" s="84">
        <f>'CC70 - Valores'!AS21</f>
        <v>0.39933477246046589</v>
      </c>
      <c r="BC57" s="84">
        <f>'CC70 - Valores'!AT21</f>
        <v>0.39985399929077037</v>
      </c>
      <c r="BD57" s="84">
        <f>'CC70 - Valores'!AU21</f>
        <v>0.40022620847127927</v>
      </c>
      <c r="BE57" s="84">
        <f>'CC70 - Valores'!AV21</f>
        <v>0.40044781017269832</v>
      </c>
      <c r="BF57" s="84">
        <f>'CC70 - Valores'!AW21</f>
        <v>0.40052498221597194</v>
      </c>
      <c r="BG57" s="84">
        <f>'CC70 - Valores'!AX21</f>
        <v>0.40045623506617817</v>
      </c>
      <c r="BH57" s="84">
        <f>'CC70 - Valores'!AY21</f>
        <v>0.40024365004294155</v>
      </c>
      <c r="BI57" s="84">
        <f>'CC70 - Valores'!AZ21</f>
        <v>0.39987848962392225</v>
      </c>
      <c r="BJ57" s="84">
        <f>'CC70 - Valores'!BA21</f>
        <v>0.39936027693211612</v>
      </c>
      <c r="BK57" s="84">
        <f>'CC70 - Valores'!BB21</f>
        <v>0.39868885684040373</v>
      </c>
    </row>
    <row r="58" spans="1:63" x14ac:dyDescent="0.3">
      <c r="A58" s="386"/>
      <c r="B58" t="s">
        <v>395</v>
      </c>
      <c r="C58" s="278"/>
      <c r="D58" s="278"/>
      <c r="E58" s="278"/>
      <c r="F58" s="278"/>
      <c r="G58" s="278"/>
      <c r="H58" s="279"/>
      <c r="I58" s="279"/>
      <c r="J58" s="279"/>
      <c r="K58" s="82">
        <f t="shared" si="34"/>
        <v>1.3036462955000005E-2</v>
      </c>
      <c r="L58" s="82">
        <f t="shared" si="34"/>
        <v>1.1455800454000013E-2</v>
      </c>
      <c r="M58" s="82">
        <f t="shared" si="34"/>
        <v>1.1833009661200012E-2</v>
      </c>
      <c r="N58" s="82">
        <f t="shared" si="34"/>
        <v>1.0036416577336411E-2</v>
      </c>
      <c r="O58" s="82">
        <f t="shared" ref="O58" si="36">O42</f>
        <v>1.4577936494230691E-2</v>
      </c>
      <c r="P58" s="84">
        <f>'CC70 - Valores'!G22</f>
        <v>1.6152717498448512E-2</v>
      </c>
      <c r="Q58" s="84">
        <f>'CC70 - Valores'!H22</f>
        <v>1.7839416652700467E-2</v>
      </c>
      <c r="R58" s="84">
        <f>'CC70 - Valores'!I22</f>
        <v>1.9877290121424557E-2</v>
      </c>
      <c r="S58" s="84">
        <f>'CC70 - Valores'!J22</f>
        <v>2.1494449780853103E-2</v>
      </c>
      <c r="T58" s="84">
        <f>'CC70 - Valores'!K22</f>
        <v>2.332857648821756E-2</v>
      </c>
      <c r="U58" s="84">
        <f>'CC70 - Valores'!L22</f>
        <v>2.5143779618186278E-2</v>
      </c>
      <c r="V58" s="84">
        <f>'CC70 - Valores'!M22</f>
        <v>2.6979295164410638E-2</v>
      </c>
      <c r="W58" s="84">
        <f>'CC70 - Valores'!N22</f>
        <v>2.8765611404909366E-2</v>
      </c>
      <c r="X58" s="84">
        <f>'CC70 - Valores'!O22</f>
        <v>3.1008604631582261E-2</v>
      </c>
      <c r="Y58" s="84">
        <f>'CC70 - Valores'!P22</f>
        <v>3.2869831050841458E-2</v>
      </c>
      <c r="Z58" s="84">
        <f>'CC70 - Valores'!Q22</f>
        <v>3.4681016093650908E-2</v>
      </c>
      <c r="AA58" s="84">
        <f>'CC70 - Valores'!R22</f>
        <v>3.6557219237237773E-2</v>
      </c>
      <c r="AB58" s="84">
        <f>'CC70 - Valores'!S22</f>
        <v>3.8438303934876961E-2</v>
      </c>
      <c r="AC58" s="84">
        <f>'CC70 - Valores'!T22</f>
        <v>4.1058409214955842E-2</v>
      </c>
      <c r="AD58" s="84">
        <f>'CC70 - Valores'!U22</f>
        <v>4.5027845796247253E-2</v>
      </c>
      <c r="AE58" s="84">
        <f>'CC70 - Valores'!V22</f>
        <v>4.9224198686005846E-2</v>
      </c>
      <c r="AF58" s="84">
        <f>'CC70 - Valores'!W22</f>
        <v>5.3656571423277427E-2</v>
      </c>
      <c r="AG58" s="84">
        <f>'CC70 - Valores'!X22</f>
        <v>5.8275171502849332E-2</v>
      </c>
      <c r="AH58" s="84">
        <f>'CC70 - Valores'!Y22</f>
        <v>6.3345881026415654E-2</v>
      </c>
      <c r="AI58" s="84">
        <f>'CC70 - Valores'!Z22</f>
        <v>6.910421442979392E-2</v>
      </c>
      <c r="AJ58" s="84">
        <f>'CC70 - Valores'!AA22</f>
        <v>7.4994512433484276E-2</v>
      </c>
      <c r="AK58" s="84">
        <f>'CC70 - Valores'!AB22</f>
        <v>8.1669085111243905E-2</v>
      </c>
      <c r="AL58" s="84">
        <f>'CC70 - Valores'!AC22</f>
        <v>8.8690546629275571E-2</v>
      </c>
      <c r="AM58" s="84">
        <f>'CC70 - Valores'!AD22</f>
        <v>9.6732299678168238E-2</v>
      </c>
      <c r="AN58" s="84">
        <f>'CC70 - Valores'!AE22</f>
        <v>0.1051521256753485</v>
      </c>
      <c r="AO58" s="84">
        <f>'CC70 - Valores'!AF22</f>
        <v>0.11424270591450231</v>
      </c>
      <c r="AP58" s="84">
        <f>'CC70 - Valores'!AG22</f>
        <v>0.12417021175779312</v>
      </c>
      <c r="AQ58" s="84">
        <f>'CC70 - Valores'!AH22</f>
        <v>0.13496595239825379</v>
      </c>
      <c r="AR58" s="84">
        <f>'CC70 - Valores'!AI22</f>
        <v>0.14701567251131228</v>
      </c>
      <c r="AS58" s="84">
        <f>'CC70 - Valores'!AJ22</f>
        <v>0.15985082576521956</v>
      </c>
      <c r="AT58" s="84">
        <f>'CC70 - Valores'!AK22</f>
        <v>0.17377159263335368</v>
      </c>
      <c r="AU58" s="84">
        <f>'CC70 - Valores'!AL22</f>
        <v>0.18897394652467636</v>
      </c>
      <c r="AV58" s="84">
        <f>'CC70 - Valores'!AM22</f>
        <v>0.20550549629279799</v>
      </c>
      <c r="AW58" s="84">
        <f>'CC70 - Valores'!AN22</f>
        <v>0.22354652061668945</v>
      </c>
      <c r="AX58" s="84">
        <f>'CC70 - Valores'!AO22</f>
        <v>0.24299654863467676</v>
      </c>
      <c r="AY58" s="84">
        <f>'CC70 - Valores'!AP22</f>
        <v>0.26413021241590867</v>
      </c>
      <c r="AZ58" s="84">
        <f>'CC70 - Valores'!AQ22</f>
        <v>0.28709169602497719</v>
      </c>
      <c r="BA58" s="84">
        <f>'CC70 - Valores'!AR22</f>
        <v>0.3120144586256704</v>
      </c>
      <c r="BB58" s="84">
        <f>'CC70 - Valores'!AS22</f>
        <v>0.33903925098821946</v>
      </c>
      <c r="BC58" s="84">
        <f>'CC70 - Valores'!AT22</f>
        <v>0.36835244690484925</v>
      </c>
      <c r="BD58" s="84">
        <f>'CC70 - Valores'!AU22</f>
        <v>0.40014939663739474</v>
      </c>
      <c r="BE58" s="84">
        <f>'CC70 - Valores'!AV22</f>
        <v>0.43463744941902904</v>
      </c>
      <c r="BF58" s="84">
        <f>'CC70 - Valores'!AW22</f>
        <v>0.47201915350194318</v>
      </c>
      <c r="BG58" s="84">
        <f>'CC70 - Valores'!AX22</f>
        <v>0.51252902438458814</v>
      </c>
      <c r="BH58" s="84">
        <f>'CC70 - Valores'!AY22</f>
        <v>0.55641074072978325</v>
      </c>
      <c r="BI58" s="84">
        <f>'CC70 - Valores'!AZ22</f>
        <v>0.6039543020237701</v>
      </c>
      <c r="BJ58" s="84">
        <f>'CC70 - Valores'!BA22</f>
        <v>0.65545074718296803</v>
      </c>
      <c r="BK58" s="84">
        <f>'CC70 - Valores'!BB22</f>
        <v>0.71121313096451055</v>
      </c>
    </row>
    <row r="59" spans="1:63" x14ac:dyDescent="0.3">
      <c r="A59" s="386"/>
      <c r="B59" t="s">
        <v>396</v>
      </c>
      <c r="C59" s="278"/>
      <c r="D59" s="278"/>
      <c r="E59" s="278"/>
      <c r="F59" s="278"/>
      <c r="G59" s="278"/>
      <c r="H59" s="279"/>
      <c r="I59" s="279"/>
      <c r="J59" s="279"/>
      <c r="K59" s="82">
        <f t="shared" si="34"/>
        <v>7.8752339030052596</v>
      </c>
      <c r="L59" s="82">
        <f t="shared" si="34"/>
        <v>10.058060403835071</v>
      </c>
      <c r="M59" s="82">
        <f t="shared" si="34"/>
        <v>11.383800597439361</v>
      </c>
      <c r="N59" s="82">
        <f t="shared" si="34"/>
        <v>11.689188693991341</v>
      </c>
      <c r="O59" s="82">
        <f t="shared" ref="O59" si="37">O43</f>
        <v>8.137195131641846</v>
      </c>
      <c r="P59" s="84">
        <f>'CC70 - Valores'!G23</f>
        <v>9.2179318871714724</v>
      </c>
      <c r="Q59" s="84">
        <f>'CC70 - Valores'!H23</f>
        <v>9.8009313099725901</v>
      </c>
      <c r="R59" s="84">
        <f>'CC70 - Valores'!I23</f>
        <v>9.8450705637827056</v>
      </c>
      <c r="S59" s="84">
        <f>'CC70 - Valores'!J23</f>
        <v>10.45854907691418</v>
      </c>
      <c r="T59" s="84">
        <f>'CC70 - Valores'!K23</f>
        <v>10.486908728804872</v>
      </c>
      <c r="U59" s="84">
        <f>'CC70 - Valores'!L23</f>
        <v>10.51533675416624</v>
      </c>
      <c r="V59" s="84">
        <f>'CC70 - Valores'!M23</f>
        <v>10.543833323719928</v>
      </c>
      <c r="W59" s="84">
        <f>'CC70 - Valores'!N23</f>
        <v>10.5723986085868</v>
      </c>
      <c r="X59" s="84">
        <f>'CC70 - Valores'!O23</f>
        <v>10.601032780287806</v>
      </c>
      <c r="Y59" s="84">
        <f>'CC70 - Valores'!P23</f>
        <v>10.62973601074483</v>
      </c>
      <c r="Z59" s="84">
        <f>'CC70 - Valores'!Q23</f>
        <v>10.658508472281561</v>
      </c>
      <c r="AA59" s="84">
        <f>'CC70 - Valores'!R23</f>
        <v>10.687350337624363</v>
      </c>
      <c r="AB59" s="84">
        <f>'CC70 - Valores'!S23</f>
        <v>10.716261779903112</v>
      </c>
      <c r="AC59" s="84">
        <f>'CC70 - Valores'!T23</f>
        <v>10.744068765532752</v>
      </c>
      <c r="AD59" s="84">
        <f>'CC70 - Valores'!U23</f>
        <v>10.771946680257347</v>
      </c>
      <c r="AE59" s="84">
        <f>'CC70 - Valores'!V23</f>
        <v>10.799895698290902</v>
      </c>
      <c r="AF59" s="84">
        <f>'CC70 - Valores'!W23</f>
        <v>10.827915994254569</v>
      </c>
      <c r="AG59" s="84">
        <f>'CC70 - Valores'!X23</f>
        <v>10.856007743177532</v>
      </c>
      <c r="AH59" s="84">
        <f>'CC70 - Valores'!Y23</f>
        <v>10.884171120497877</v>
      </c>
      <c r="AI59" s="84">
        <f>'CC70 - Valores'!Z23</f>
        <v>10.912406302063452</v>
      </c>
      <c r="AJ59" s="84">
        <f>'CC70 - Valores'!AA23</f>
        <v>10.940713464132765</v>
      </c>
      <c r="AK59" s="84">
        <f>'CC70 - Valores'!AB23</f>
        <v>10.969092783375846</v>
      </c>
      <c r="AL59" s="84">
        <f>'CC70 - Valores'!AC23</f>
        <v>10.997544436875128</v>
      </c>
      <c r="AM59" s="84">
        <f>'CC70 - Valores'!AD23</f>
        <v>11.026068602126342</v>
      </c>
      <c r="AN59" s="84">
        <f>'CC70 - Valores'!AE23</f>
        <v>11.054665457039372</v>
      </c>
      <c r="AO59" s="84">
        <f>'CC70 - Valores'!AF23</f>
        <v>11.083335179939164</v>
      </c>
      <c r="AP59" s="84">
        <f>'CC70 - Valores'!AG23</f>
        <v>11.112077949566602</v>
      </c>
      <c r="AQ59" s="84">
        <f>'CC70 - Valores'!AH23</f>
        <v>11.140893945079398</v>
      </c>
      <c r="AR59" s="84">
        <f>'CC70 - Valores'!AI23</f>
        <v>11.169783346052967</v>
      </c>
      <c r="AS59" s="84">
        <f>'CC70 - Valores'!AJ23</f>
        <v>11.198746332481335</v>
      </c>
      <c r="AT59" s="84">
        <f>'CC70 - Valores'!AK23</f>
        <v>11.227783084778025</v>
      </c>
      <c r="AU59" s="84">
        <f>'CC70 - Valores'!AL23</f>
        <v>11.256893783776944</v>
      </c>
      <c r="AV59" s="84">
        <f>'CC70 - Valores'!AM23</f>
        <v>11.286078610733282</v>
      </c>
      <c r="AW59" s="84">
        <f>'CC70 - Valores'!AN23</f>
        <v>11.315337747324417</v>
      </c>
      <c r="AX59" s="84">
        <f>'CC70 - Valores'!AO23</f>
        <v>11.344671375650799</v>
      </c>
      <c r="AY59" s="84">
        <f>'CC70 - Valores'!AP23</f>
        <v>11.37407967823685</v>
      </c>
      <c r="AZ59" s="84">
        <f>'CC70 - Valores'!AQ23</f>
        <v>11.403562838031879</v>
      </c>
      <c r="BA59" s="84">
        <f>'CC70 - Valores'!AR23</f>
        <v>11.433121038410977</v>
      </c>
      <c r="BB59" s="84">
        <f>'CC70 - Valores'!AS23</f>
        <v>11.462754463175916</v>
      </c>
      <c r="BC59" s="84">
        <f>'CC70 - Valores'!AT23</f>
        <v>11.492463296556057</v>
      </c>
      <c r="BD59" s="84">
        <f>'CC70 - Valores'!AU23</f>
        <v>11.522247723209269</v>
      </c>
      <c r="BE59" s="84">
        <f>'CC70 - Valores'!AV23</f>
        <v>11.552107928222824</v>
      </c>
      <c r="BF59" s="84">
        <f>'CC70 - Valores'!AW23</f>
        <v>11.582044097114315</v>
      </c>
      <c r="BG59" s="84">
        <f>'CC70 - Valores'!AX23</f>
        <v>11.612056415832562</v>
      </c>
      <c r="BH59" s="84">
        <f>'CC70 - Valores'!AY23</f>
        <v>11.642145070758533</v>
      </c>
      <c r="BI59" s="84">
        <f>'CC70 - Valores'!AZ23</f>
        <v>11.67231024870626</v>
      </c>
      <c r="BJ59" s="84">
        <f>'CC70 - Valores'!BA23</f>
        <v>11.702552136923746</v>
      </c>
      <c r="BK59" s="84">
        <f>'CC70 - Valores'!BB23</f>
        <v>11.732870923093895</v>
      </c>
    </row>
    <row r="60" spans="1:63" x14ac:dyDescent="0.3">
      <c r="A60" s="386"/>
      <c r="B60" t="s">
        <v>397</v>
      </c>
      <c r="C60" s="278"/>
      <c r="D60" s="278"/>
      <c r="E60" s="278"/>
      <c r="F60" s="278"/>
      <c r="G60" s="278"/>
      <c r="H60" s="279"/>
      <c r="I60" s="279"/>
      <c r="J60" s="279"/>
      <c r="K60" s="82">
        <f t="shared" si="34"/>
        <v>1.50595736</v>
      </c>
      <c r="L60" s="82">
        <f t="shared" si="34"/>
        <v>1.65063659</v>
      </c>
      <c r="M60" s="82">
        <f t="shared" si="34"/>
        <v>1.5120563</v>
      </c>
      <c r="N60" s="82">
        <f t="shared" si="34"/>
        <v>1.9016245300000001</v>
      </c>
      <c r="O60" s="82">
        <f t="shared" ref="O60" si="38">O44</f>
        <v>1.7977939060497783</v>
      </c>
      <c r="P60" s="84">
        <f>'CC70 - Valores'!G24</f>
        <v>1.9507085179514867</v>
      </c>
      <c r="Q60" s="84">
        <f>'CC70 - Valores'!H24</f>
        <v>2.0802735514784509</v>
      </c>
      <c r="R60" s="84">
        <f>'CC70 - Valores'!I24</f>
        <v>2.0995351202509229</v>
      </c>
      <c r="S60" s="84">
        <f>'CC70 - Valores'!J24</f>
        <v>2.2361791024902344</v>
      </c>
      <c r="T60" s="84">
        <f>'CC70 - Valores'!K24</f>
        <v>2.305928298603972</v>
      </c>
      <c r="U60" s="84">
        <f>'CC70 - Valores'!L24</f>
        <v>2.3786356908923127</v>
      </c>
      <c r="V60" s="84">
        <f>'CC70 - Valores'!M24</f>
        <v>2.4457648572604405</v>
      </c>
      <c r="W60" s="84">
        <f>'CC70 - Valores'!N24</f>
        <v>2.5219143518400786</v>
      </c>
      <c r="X60" s="84">
        <f>'CC70 - Valores'!O24</f>
        <v>2.5099003294100473</v>
      </c>
      <c r="Y60" s="84">
        <f>'CC70 - Valores'!P24</f>
        <v>2.5718998100774377</v>
      </c>
      <c r="Z60" s="84">
        <f>'CC70 - Valores'!Q24</f>
        <v>2.6436827018156666</v>
      </c>
      <c r="AA60" s="84">
        <f>'CC70 - Valores'!R24</f>
        <v>2.7014221377402072</v>
      </c>
      <c r="AB60" s="84">
        <f>'CC70 - Valores'!S24</f>
        <v>2.7578649419706278</v>
      </c>
      <c r="AC60" s="84">
        <f>'CC70 - Valores'!T24</f>
        <v>2.8079105838027156</v>
      </c>
      <c r="AD60" s="84">
        <f>'CC70 - Valores'!U24</f>
        <v>2.8574094385517124</v>
      </c>
      <c r="AE60" s="84">
        <f>'CC70 - Valores'!V24</f>
        <v>2.9026311271334886</v>
      </c>
      <c r="AF60" s="84">
        <f>'CC70 - Valores'!W24</f>
        <v>2.9602080578426215</v>
      </c>
      <c r="AG60" s="84">
        <f>'CC70 - Valores'!X24</f>
        <v>3.0145820018414309</v>
      </c>
      <c r="AH60" s="84">
        <f>'CC70 - Valores'!Y24</f>
        <v>3.0674133288958556</v>
      </c>
      <c r="AI60" s="84">
        <f>'CC70 - Valores'!Z24</f>
        <v>3.1200654233707419</v>
      </c>
      <c r="AJ60" s="84">
        <f>'CC70 - Valores'!AA24</f>
        <v>3.1674560797836131</v>
      </c>
      <c r="AK60" s="84">
        <f>'CC70 - Valores'!AB24</f>
        <v>3.2193896976582157</v>
      </c>
      <c r="AL60" s="84">
        <f>'CC70 - Valores'!AC24</f>
        <v>3.2684527552760363</v>
      </c>
      <c r="AM60" s="84">
        <f>'CC70 - Valores'!AD24</f>
        <v>3.3235102211503706</v>
      </c>
      <c r="AN60" s="84">
        <f>'CC70 - Valores'!AE24</f>
        <v>3.3737158174793271</v>
      </c>
      <c r="AO60" s="84">
        <f>'CC70 - Valores'!AF24</f>
        <v>3.4231202300786192</v>
      </c>
      <c r="AP60" s="84">
        <f>'CC70 - Valores'!AG24</f>
        <v>3.4729636839865363</v>
      </c>
      <c r="AQ60" s="84">
        <f>'CC70 - Valores'!AH24</f>
        <v>3.5227775170100406</v>
      </c>
      <c r="AR60" s="84">
        <f>'CC70 - Valores'!AI24</f>
        <v>3.5752562495035836</v>
      </c>
      <c r="AS60" s="84">
        <f>'CC70 - Valores'!AJ24</f>
        <v>3.6255313968716467</v>
      </c>
      <c r="AT60" s="84">
        <f>'CC70 - Valores'!AK24</f>
        <v>3.6756312809680844</v>
      </c>
      <c r="AU60" s="84">
        <f>'CC70 - Valores'!AL24</f>
        <v>3.7260435192108252</v>
      </c>
      <c r="AV60" s="84">
        <f>'CC70 - Valores'!AM24</f>
        <v>3.7763297961016598</v>
      </c>
      <c r="AW60" s="84">
        <f>'CC70 - Valores'!AN24</f>
        <v>3.8269202153023301</v>
      </c>
      <c r="AX60" s="84">
        <f>'CC70 - Valores'!AO24</f>
        <v>3.8765069227071347</v>
      </c>
      <c r="AY60" s="84">
        <f>'CC70 - Valores'!AP24</f>
        <v>3.9259848770224224</v>
      </c>
      <c r="AZ60" s="84">
        <f>'CC70 - Valores'!AQ24</f>
        <v>3.9753193554479522</v>
      </c>
      <c r="BA60" s="84">
        <f>'CC70 - Valores'!AR24</f>
        <v>4.024376967229502</v>
      </c>
      <c r="BB60" s="84">
        <f>'CC70 - Valores'!AS24</f>
        <v>4.0730354827326698</v>
      </c>
      <c r="BC60" s="84">
        <f>'CC70 - Valores'!AT24</f>
        <v>4.1213475073927297</v>
      </c>
      <c r="BD60" s="84">
        <f>'CC70 - Valores'!AU24</f>
        <v>4.1693241812181547</v>
      </c>
      <c r="BE60" s="84">
        <f>'CC70 - Valores'!AV24</f>
        <v>4.2169512681318917</v>
      </c>
      <c r="BF60" s="84">
        <f>'CC70 - Valores'!AW24</f>
        <v>4.2641464239978086</v>
      </c>
      <c r="BG60" s="84">
        <f>'CC70 - Valores'!AX24</f>
        <v>4.3108838560996432</v>
      </c>
      <c r="BH60" s="84">
        <f>'CC70 - Valores'!AY24</f>
        <v>4.3571140429454811</v>
      </c>
      <c r="BI60" s="84">
        <f>'CC70 - Valores'!AZ24</f>
        <v>4.4028618880082586</v>
      </c>
      <c r="BJ60" s="84">
        <f>'CC70 - Valores'!BA24</f>
        <v>4.4480952306914494</v>
      </c>
      <c r="BK60" s="84">
        <f>'CC70 - Valores'!BB24</f>
        <v>4.4927812234754487</v>
      </c>
    </row>
    <row r="61" spans="1:63" x14ac:dyDescent="0.3">
      <c r="A61" s="386"/>
      <c r="B61" t="s">
        <v>398</v>
      </c>
      <c r="C61" s="278"/>
      <c r="D61" s="278"/>
      <c r="E61" s="278"/>
      <c r="F61" s="278"/>
      <c r="G61" s="278"/>
      <c r="H61" s="279"/>
      <c r="I61" s="279"/>
      <c r="J61" s="279"/>
      <c r="K61" s="82">
        <f t="shared" si="34"/>
        <v>2.51192250271012</v>
      </c>
      <c r="L61" s="82">
        <f t="shared" si="34"/>
        <v>2.1091796952468402</v>
      </c>
      <c r="M61" s="82">
        <f t="shared" si="34"/>
        <v>2.2901977546689998</v>
      </c>
      <c r="N61" s="82">
        <f t="shared" si="34"/>
        <v>2.3209891366443003</v>
      </c>
      <c r="O61" s="82">
        <f t="shared" ref="O61" si="39">O45</f>
        <v>2.201361538967078</v>
      </c>
      <c r="P61" s="84">
        <f>'CC70 - Valores'!G25</f>
        <v>1.9434969646397779</v>
      </c>
      <c r="Q61" s="84">
        <f>'CC70 - Valores'!H25</f>
        <v>2.0559541309389888</v>
      </c>
      <c r="R61" s="84">
        <f>'CC70 - Valores'!I25</f>
        <v>2.0704082076739772</v>
      </c>
      <c r="S61" s="84">
        <f>'CC70 - Valores'!J25</f>
        <v>2.1871858339303714</v>
      </c>
      <c r="T61" s="84">
        <f>'CC70 - Valores'!K25</f>
        <v>2.2446794038376363</v>
      </c>
      <c r="U61" s="84">
        <f>'CC70 - Valores'!L25</f>
        <v>2.3043005832001668</v>
      </c>
      <c r="V61" s="84">
        <f>'CC70 - Valores'!M25</f>
        <v>2.3588666263335996</v>
      </c>
      <c r="W61" s="84">
        <f>'CC70 - Valores'!N25</f>
        <v>2.4205749372389329</v>
      </c>
      <c r="X61" s="84">
        <f>'CC70 - Valores'!O25</f>
        <v>2.409706760882155</v>
      </c>
      <c r="Y61" s="84">
        <f>'CC70 - Valores'!P25</f>
        <v>2.4595503751110228</v>
      </c>
      <c r="Z61" s="84">
        <f>'CC70 - Valores'!Q25</f>
        <v>2.5172145081956052</v>
      </c>
      <c r="AA61" s="84">
        <f>'CC70 - Valores'!R25</f>
        <v>2.5630012058110361</v>
      </c>
      <c r="AB61" s="84">
        <f>'CC70 - Valores'!S25</f>
        <v>2.6075112680626091</v>
      </c>
      <c r="AC61" s="84">
        <f>'CC70 - Valores'!T25</f>
        <v>2.6497302752707679</v>
      </c>
      <c r="AD61" s="84">
        <f>'CC70 - Valores'!U25</f>
        <v>2.6890156583919826</v>
      </c>
      <c r="AE61" s="84">
        <f>'CC70 - Valores'!V25</f>
        <v>2.724979692702743</v>
      </c>
      <c r="AF61" s="84">
        <f>'CC70 - Valores'!W25</f>
        <v>2.77081790757659</v>
      </c>
      <c r="AG61" s="84">
        <f>'CC70 - Valores'!X25</f>
        <v>2.8142149849929847</v>
      </c>
      <c r="AH61" s="84">
        <f>'CC70 - Valores'!Y25</f>
        <v>2.8560928634539606</v>
      </c>
      <c r="AI61" s="84">
        <f>'CC70 - Valores'!Z25</f>
        <v>2.897269153408903</v>
      </c>
      <c r="AJ61" s="84">
        <f>'CC70 - Valores'!AA25</f>
        <v>2.9346086190010254</v>
      </c>
      <c r="AK61" s="84">
        <f>'CC70 - Valores'!AB25</f>
        <v>2.9749467927368562</v>
      </c>
      <c r="AL61" s="84">
        <f>'CC70 - Valores'!AC25</f>
        <v>3.0130994583278179</v>
      </c>
      <c r="AM61" s="84">
        <f>'CC70 - Valores'!AD25</f>
        <v>3.0552391153009228</v>
      </c>
      <c r="AN61" s="84">
        <f>'CC70 - Valores'!AE25</f>
        <v>3.0937186707976299</v>
      </c>
      <c r="AO61" s="84">
        <f>'CC70 - Valores'!AF25</f>
        <v>3.1314071436083237</v>
      </c>
      <c r="AP61" s="84">
        <f>'CC70 - Valores'!AG25</f>
        <v>3.1691605593342</v>
      </c>
      <c r="AQ61" s="84">
        <f>'CC70 - Valores'!AH25</f>
        <v>3.2066543621309362</v>
      </c>
      <c r="AR61" s="84">
        <f>'CC70 - Valores'!AI25</f>
        <v>3.2457072248247183</v>
      </c>
      <c r="AS61" s="84">
        <f>'CC70 - Valores'!AJ25</f>
        <v>3.2830240074994572</v>
      </c>
      <c r="AT61" s="84">
        <f>'CC70 - Valores'!AK25</f>
        <v>3.319978805933681</v>
      </c>
      <c r="AU61" s="84">
        <f>'CC70 - Valores'!AL25</f>
        <v>3.3568726317751256</v>
      </c>
      <c r="AV61" s="84">
        <f>'CC70 - Valores'!AM25</f>
        <v>3.3934091778501516</v>
      </c>
      <c r="AW61" s="84">
        <f>'CC70 - Valores'!AN25</f>
        <v>3.4298724052307805</v>
      </c>
      <c r="AX61" s="84">
        <f>'CC70 - Valores'!AO25</f>
        <v>3.4653955747963816</v>
      </c>
      <c r="AY61" s="84">
        <f>'CC70 - Valores'!AP25</f>
        <v>3.5005676134858161</v>
      </c>
      <c r="AZ61" s="84">
        <f>'CC70 - Valores'!AQ25</f>
        <v>3.535358664912355</v>
      </c>
      <c r="BA61" s="84">
        <f>'CC70 - Valores'!AR25</f>
        <v>3.5696753893330513</v>
      </c>
      <c r="BB61" s="84">
        <f>'CC70 - Valores'!AS25</f>
        <v>3.6034337349201278</v>
      </c>
      <c r="BC61" s="84">
        <f>'CC70 - Valores'!AT25</f>
        <v>3.6366655351109967</v>
      </c>
      <c r="BD61" s="84">
        <f>'CC70 - Valores'!AU25</f>
        <v>3.669374608250116</v>
      </c>
      <c r="BE61" s="84">
        <f>'CC70 - Valores'!AV25</f>
        <v>3.7015477058671848</v>
      </c>
      <c r="BF61" s="84">
        <f>'CC70 - Valores'!AW25</f>
        <v>3.7331284245319933</v>
      </c>
      <c r="BG61" s="84">
        <f>'CC70 - Valores'!AX25</f>
        <v>3.7640969205020438</v>
      </c>
      <c r="BH61" s="84">
        <f>'CC70 - Valores'!AY25</f>
        <v>3.7944187236372748</v>
      </c>
      <c r="BI61" s="84">
        <f>'CC70 - Valores'!AZ25</f>
        <v>3.8241065831969112</v>
      </c>
      <c r="BJ61" s="84">
        <f>'CC70 - Valores'!BA25</f>
        <v>3.8531375334041598</v>
      </c>
      <c r="BK61" s="84">
        <f>'CC70 - Valores'!BB25</f>
        <v>3.8814883817004757</v>
      </c>
    </row>
    <row r="62" spans="1:63" x14ac:dyDescent="0.3">
      <c r="A62" s="386"/>
      <c r="B62" t="s">
        <v>399</v>
      </c>
      <c r="C62" s="278"/>
      <c r="D62" s="278"/>
      <c r="E62" s="278"/>
      <c r="F62" s="278"/>
      <c r="G62" s="278"/>
      <c r="H62" s="279"/>
      <c r="I62" s="279"/>
      <c r="J62" s="279"/>
      <c r="K62" s="82">
        <f t="shared" si="34"/>
        <v>2.5507092710500001E-2</v>
      </c>
      <c r="L62" s="82">
        <f t="shared" si="34"/>
        <v>3.9510345079400003E-2</v>
      </c>
      <c r="M62" s="82">
        <f t="shared" si="34"/>
        <v>2.7237504999999999E-2</v>
      </c>
      <c r="N62" s="82">
        <f t="shared" si="34"/>
        <v>2.0068082921500002E-2</v>
      </c>
      <c r="O62" s="82">
        <f t="shared" ref="O62" si="40">O46</f>
        <v>2.9444852451209817E-2</v>
      </c>
      <c r="P62" s="84">
        <f>'CC70 - Valores'!G26</f>
        <v>2.6945836427731906E-2</v>
      </c>
      <c r="Q62" s="84">
        <f>'CC70 - Valores'!H26</f>
        <v>2.8556993746044021E-2</v>
      </c>
      <c r="R62" s="84">
        <f>'CC70 - Valores'!I26</f>
        <v>2.8576749400626423E-2</v>
      </c>
      <c r="S62" s="84">
        <f>'CC70 - Valores'!J26</f>
        <v>3.0259190470528254E-2</v>
      </c>
      <c r="T62" s="84">
        <f>'CC70 - Valores'!K26</f>
        <v>3.097887308920777E-2</v>
      </c>
      <c r="U62" s="84">
        <f>'CC70 - Valores'!L26</f>
        <v>3.1730829411955666E-2</v>
      </c>
      <c r="V62" s="84">
        <f>'CC70 - Valores'!M26</f>
        <v>3.2395384074900592E-2</v>
      </c>
      <c r="W62" s="84">
        <f>'CC70 - Valores'!N26</f>
        <v>3.3176402687466064E-2</v>
      </c>
      <c r="X62" s="84">
        <f>'CC70 - Valores'!O26</f>
        <v>3.273134903330014E-2</v>
      </c>
      <c r="Y62" s="84">
        <f>'CC70 - Valores'!P26</f>
        <v>3.3305264559828587E-2</v>
      </c>
      <c r="Z62" s="84">
        <f>'CC70 - Valores'!Q26</f>
        <v>3.400486653492054E-2</v>
      </c>
      <c r="AA62" s="84">
        <f>'CC70 - Valores'!R26</f>
        <v>3.4505043443046571E-2</v>
      </c>
      <c r="AB62" s="84">
        <f>'CC70 - Valores'!S26</f>
        <v>3.498088338432806E-2</v>
      </c>
      <c r="AC62" s="84">
        <f>'CC70 - Valores'!T26</f>
        <v>3.5438459516565955E-2</v>
      </c>
      <c r="AD62" s="84">
        <f>'CC70 - Valores'!U26</f>
        <v>3.5827841448904142E-2</v>
      </c>
      <c r="AE62" s="84">
        <f>'CC70 - Valores'!V26</f>
        <v>3.6162096676814116E-2</v>
      </c>
      <c r="AF62" s="84">
        <f>'CC70 - Valores'!W26</f>
        <v>3.6657145118591541E-2</v>
      </c>
      <c r="AG62" s="84">
        <f>'CC70 - Valores'!X26</f>
        <v>3.7112095322188773E-2</v>
      </c>
      <c r="AH62" s="84">
        <f>'CC70 - Valores'!Y26</f>
        <v>3.7539017364722482E-2</v>
      </c>
      <c r="AI62" s="84">
        <f>'CC70 - Valores'!Z26</f>
        <v>3.7949397464214454E-2</v>
      </c>
      <c r="AJ62" s="84">
        <f>'CC70 - Valores'!AA26</f>
        <v>3.829862669230346E-2</v>
      </c>
      <c r="AK62" s="84">
        <f>'CC70 - Valores'!AB26</f>
        <v>3.8691893675946276E-2</v>
      </c>
      <c r="AL62" s="84">
        <f>'CC70 - Valores'!AC26</f>
        <v>3.9049535738693332E-2</v>
      </c>
      <c r="AM62" s="84">
        <f>'CC70 - Valores'!AD26</f>
        <v>3.946638967035683E-2</v>
      </c>
      <c r="AN62" s="84">
        <f>'CC70 - Valores'!AE26</f>
        <v>3.9824364792176825E-2</v>
      </c>
      <c r="AO62" s="84">
        <f>'CC70 - Valores'!AF26</f>
        <v>4.016806300993489E-2</v>
      </c>
      <c r="AP62" s="84">
        <f>'CC70 - Valores'!AG26</f>
        <v>4.051064309869247E-2</v>
      </c>
      <c r="AQ62" s="84">
        <f>'CC70 - Valores'!AH26</f>
        <v>4.0847193503309162E-2</v>
      </c>
      <c r="AR62" s="84">
        <f>'CC70 - Valores'!AI26</f>
        <v>4.1205311499773307E-2</v>
      </c>
      <c r="AS62" s="84">
        <f>'CC70 - Valores'!AJ26</f>
        <v>4.1535349881358589E-2</v>
      </c>
      <c r="AT62" s="84">
        <f>'CC70 - Valores'!AK26</f>
        <v>4.1858242355610781E-2</v>
      </c>
      <c r="AU62" s="84">
        <f>'CC70 - Valores'!AL26</f>
        <v>4.21784494624085E-2</v>
      </c>
      <c r="AV62" s="84">
        <f>'CC70 - Valores'!AM26</f>
        <v>4.2491653748256995E-2</v>
      </c>
      <c r="AW62" s="84">
        <f>'CC70 - Valores'!AN26</f>
        <v>4.2802259312112498E-2</v>
      </c>
      <c r="AX62" s="84">
        <f>'CC70 - Valores'!AO26</f>
        <v>4.3097460206323025E-2</v>
      </c>
      <c r="AY62" s="84">
        <f>'CC70 - Valores'!AP26</f>
        <v>4.3386196979863359E-2</v>
      </c>
      <c r="AZ62" s="84">
        <f>'CC70 - Valores'!AQ26</f>
        <v>4.3668130717855275E-2</v>
      </c>
      <c r="BA62" s="84">
        <f>'CC70 - Valores'!AR26</f>
        <v>4.3941988085471805E-2</v>
      </c>
      <c r="BB62" s="84">
        <f>'CC70 - Valores'!AS26</f>
        <v>4.4206650006536605E-2</v>
      </c>
      <c r="BC62" s="84">
        <f>'CC70 - Valores'!AT26</f>
        <v>4.4462736972829646E-2</v>
      </c>
      <c r="BD62" s="84">
        <f>'CC70 - Valores'!AU26</f>
        <v>4.4710446173062163E-2</v>
      </c>
      <c r="BE62" s="84">
        <f>'CC70 - Valores'!AV26</f>
        <v>4.494971715811804E-2</v>
      </c>
      <c r="BF62" s="84">
        <f>'CC70 - Valores'!AW26</f>
        <v>4.5179857463044384E-2</v>
      </c>
      <c r="BG62" s="84">
        <f>'CC70 - Valores'!AX26</f>
        <v>4.5400715724895339E-2</v>
      </c>
      <c r="BH62" s="84">
        <f>'CC70 - Valores'!AY26</f>
        <v>4.5611929206162638E-2</v>
      </c>
      <c r="BI62" s="84">
        <f>'CC70 - Valores'!AZ26</f>
        <v>4.5813828734550359E-2</v>
      </c>
      <c r="BJ62" s="84">
        <f>'CC70 - Valores'!BA26</f>
        <v>4.6006224866047461E-2</v>
      </c>
      <c r="BK62" s="84">
        <f>'CC70 - Valores'!BB26</f>
        <v>4.6188925633893707E-2</v>
      </c>
    </row>
    <row r="63" spans="1:63" x14ac:dyDescent="0.3">
      <c r="A63" s="386"/>
      <c r="B63" t="s">
        <v>400</v>
      </c>
      <c r="C63" s="278"/>
      <c r="D63" s="278"/>
      <c r="E63" s="278"/>
      <c r="F63" s="278"/>
      <c r="G63" s="278"/>
      <c r="H63" s="279"/>
      <c r="I63" s="279"/>
      <c r="J63" s="279"/>
      <c r="K63" s="82">
        <f t="shared" si="34"/>
        <v>1.3011316471616012E-2</v>
      </c>
      <c r="L63" s="82">
        <f t="shared" si="34"/>
        <v>1.480502655650285E-2</v>
      </c>
      <c r="M63" s="82">
        <f t="shared" si="34"/>
        <v>1.0287478899201868E-2</v>
      </c>
      <c r="N63" s="82">
        <f t="shared" si="34"/>
        <v>1.0681776222006889E-2</v>
      </c>
      <c r="O63" s="82">
        <f t="shared" ref="O63" si="41">O47</f>
        <v>1.4507649369902037E-2</v>
      </c>
      <c r="P63" s="84">
        <f>'CC70 - Valores'!G27</f>
        <v>2.5043799746410106E-2</v>
      </c>
      <c r="Q63" s="84">
        <f>'CC70 - Valores'!H27</f>
        <v>2.0786360156828998E-2</v>
      </c>
      <c r="R63" s="84">
        <f>'CC70 - Valores'!I27</f>
        <v>2.7794900322111404E-2</v>
      </c>
      <c r="S63" s="84">
        <f>'CC70 - Valores'!J27</f>
        <v>2.20887866712456E-2</v>
      </c>
      <c r="T63" s="84">
        <f>'CC70 - Valores'!K27</f>
        <v>2.3277789330652304E-2</v>
      </c>
      <c r="U63" s="84">
        <f>'CC70 - Valores'!L27</f>
        <v>2.4023392612830097E-2</v>
      </c>
      <c r="V63" s="84">
        <f>'CC70 - Valores'!M27</f>
        <v>2.5389071617752598E-2</v>
      </c>
      <c r="W63" s="84">
        <f>'CC70 - Valores'!N27</f>
        <v>2.5518173413265843E-2</v>
      </c>
      <c r="X63" s="84">
        <f>'CC70 - Valores'!O27</f>
        <v>3.7453766781845282E-2</v>
      </c>
      <c r="Y63" s="84">
        <f>'CC70 - Valores'!P27</f>
        <v>3.9518013942295246E-2</v>
      </c>
      <c r="Z63" s="84">
        <f>'CC70 - Valores'!Q27</f>
        <v>4.0295730018486797E-2</v>
      </c>
      <c r="AA63" s="84">
        <f>'CC70 - Valores'!R27</f>
        <v>4.2834787974771568E-2</v>
      </c>
      <c r="AB63" s="84">
        <f>'CC70 - Valores'!S27</f>
        <v>4.5526391402746016E-2</v>
      </c>
      <c r="AC63" s="84">
        <f>'CC70 - Valores'!T27</f>
        <v>4.3662358121576733E-2</v>
      </c>
      <c r="AD63" s="84">
        <f>'CC70 - Valores'!U27</f>
        <v>4.5851767059062964E-2</v>
      </c>
      <c r="AE63" s="84">
        <f>'CC70 - Valores'!V27</f>
        <v>4.8078080911448315E-2</v>
      </c>
      <c r="AF63" s="84">
        <f>'CC70 - Valores'!W27</f>
        <v>4.8388724127667412E-2</v>
      </c>
      <c r="AG63" s="84">
        <f>'CC70 - Valores'!X27</f>
        <v>4.8452003621858808E-2</v>
      </c>
      <c r="AH63" s="84">
        <f>'CC70 - Valores'!Y27</f>
        <v>4.8814067255666643E-2</v>
      </c>
      <c r="AI63" s="84">
        <f>'CC70 - Valores'!Z27</f>
        <v>4.9788717356801071E-2</v>
      </c>
      <c r="AJ63" s="84">
        <f>'CC70 - Valores'!AA27</f>
        <v>5.0516910292342621E-2</v>
      </c>
      <c r="AK63" s="84">
        <f>'CC70 - Valores'!AB27</f>
        <v>5.1263972238150435E-2</v>
      </c>
      <c r="AL63" s="84">
        <f>'CC70 - Valores'!AC27</f>
        <v>5.1869783801487157E-2</v>
      </c>
      <c r="AM63" s="84">
        <f>'CC70 - Valores'!AD27</f>
        <v>5.2473555111215819E-2</v>
      </c>
      <c r="AN63" s="84">
        <f>'CC70 - Valores'!AE27</f>
        <v>5.3087940524013444E-2</v>
      </c>
      <c r="AO63" s="84">
        <f>'CC70 - Valores'!AF27</f>
        <v>5.3693151714875709E-2</v>
      </c>
      <c r="AP63" s="84">
        <f>'CC70 - Valores'!AG27</f>
        <v>5.4306999039757275E-2</v>
      </c>
      <c r="AQ63" s="84">
        <f>'CC70 - Valores'!AH27</f>
        <v>5.4923846255090641E-2</v>
      </c>
      <c r="AR63" s="84">
        <f>'CC70 - Valores'!AI27</f>
        <v>5.5598968729367565E-2</v>
      </c>
      <c r="AS63" s="84">
        <f>'CC70 - Valores'!AJ27</f>
        <v>5.6204914571708342E-2</v>
      </c>
      <c r="AT63" s="84">
        <f>'CC70 - Valores'!AK27</f>
        <v>5.6783631113042715E-2</v>
      </c>
      <c r="AU63" s="84">
        <f>'CC70 - Valores'!AL27</f>
        <v>5.7384680895631035E-2</v>
      </c>
      <c r="AV63" s="84">
        <f>'CC70 - Valores'!AM27</f>
        <v>5.7991988038939735E-2</v>
      </c>
      <c r="AW63" s="84">
        <f>'CC70 - Valores'!AN27</f>
        <v>5.8606376606698707E-2</v>
      </c>
      <c r="AX63" s="84">
        <f>'CC70 - Valores'!AO27</f>
        <v>5.9192899463103354E-2</v>
      </c>
      <c r="AY63" s="84">
        <f>'CC70 - Valores'!AP27</f>
        <v>5.9771505604095471E-2</v>
      </c>
      <c r="AZ63" s="84">
        <f>'CC70 - Valores'!AQ27</f>
        <v>6.0344979094462237E-2</v>
      </c>
      <c r="BA63" s="84">
        <f>'CC70 - Valores'!AR27</f>
        <v>6.0913384144381411E-2</v>
      </c>
      <c r="BB63" s="84">
        <f>'CC70 - Valores'!AS27</f>
        <v>6.1475854245176653E-2</v>
      </c>
      <c r="BC63" s="84">
        <f>'CC70 - Valores'!AT27</f>
        <v>6.2031249906502967E-2</v>
      </c>
      <c r="BD63" s="84">
        <f>'CC70 - Valores'!AU27</f>
        <v>6.257898813074983E-2</v>
      </c>
      <c r="BE63" s="84">
        <f>'CC70 - Valores'!AV27</f>
        <v>6.3119293999172099E-2</v>
      </c>
      <c r="BF63" s="84">
        <f>'CC70 - Valores'!AW27</f>
        <v>6.3650896387846073E-2</v>
      </c>
      <c r="BG63" s="84">
        <f>'CC70 - Valores'!AX27</f>
        <v>6.4173928025352517E-2</v>
      </c>
      <c r="BH63" s="84">
        <f>'CC70 - Valores'!AY27</f>
        <v>6.4687868316952862E-2</v>
      </c>
      <c r="BI63" s="84">
        <f>'CC70 - Valores'!AZ27</f>
        <v>6.5193612822851021E-2</v>
      </c>
      <c r="BJ63" s="84">
        <f>'CC70 - Valores'!BA27</f>
        <v>6.5690373184197376E-2</v>
      </c>
      <c r="BK63" s="84">
        <f>'CC70 - Valores'!BB27</f>
        <v>6.6177611126452207E-2</v>
      </c>
    </row>
    <row r="64" spans="1:63" x14ac:dyDescent="0.3">
      <c r="A64" s="386"/>
      <c r="B64" t="s">
        <v>401</v>
      </c>
      <c r="C64" s="278"/>
      <c r="D64" s="278"/>
      <c r="E64" s="278"/>
      <c r="F64" s="278"/>
      <c r="G64" s="278"/>
      <c r="H64" s="279"/>
      <c r="I64" s="279"/>
      <c r="J64" s="279"/>
      <c r="K64" s="82">
        <f t="shared" si="34"/>
        <v>6.205811E-2</v>
      </c>
      <c r="L64" s="82">
        <f t="shared" si="34"/>
        <v>7.0931419999999995E-2</v>
      </c>
      <c r="M64" s="82">
        <f t="shared" si="34"/>
        <v>7.2699089999999994E-2</v>
      </c>
      <c r="N64" s="82">
        <f t="shared" si="34"/>
        <v>8.1058329999999998E-2</v>
      </c>
      <c r="O64" s="82">
        <f t="shared" ref="O64" si="42">O48</f>
        <v>6.2233284529595478E-2</v>
      </c>
      <c r="P64" s="84">
        <f>'CC70 - Valores'!G28</f>
        <v>7.8666180913407602E-2</v>
      </c>
      <c r="Q64" s="84">
        <f>'CC70 - Valores'!H28</f>
        <v>8.2447103482477149E-2</v>
      </c>
      <c r="R64" s="84">
        <f>'CC70 - Valores'!I28</f>
        <v>8.3461641943106624E-2</v>
      </c>
      <c r="S64" s="84">
        <f>'CC70 - Valores'!J28</f>
        <v>8.7239338045921808E-2</v>
      </c>
      <c r="T64" s="84">
        <f>'CC70 - Valores'!K28</f>
        <v>8.9353888793080982E-2</v>
      </c>
      <c r="U64" s="84">
        <f>'CC70 - Valores'!L28</f>
        <v>9.1498807151742134E-2</v>
      </c>
      <c r="V64" s="84">
        <f>'CC70 - Valores'!M28</f>
        <v>9.3498846931245355E-2</v>
      </c>
      <c r="W64" s="84">
        <f>'CC70 - Valores'!N28</f>
        <v>9.5645645838647653E-2</v>
      </c>
      <c r="X64" s="84">
        <f>'CC70 - Valores'!O28</f>
        <v>9.6140113140628827E-2</v>
      </c>
      <c r="Y64" s="84">
        <f>'CC70 - Valores'!P28</f>
        <v>9.8007943370025954E-2</v>
      </c>
      <c r="Z64" s="84">
        <f>'CC70 - Valores'!Q28</f>
        <v>0.10004296485990399</v>
      </c>
      <c r="AA64" s="84">
        <f>'CC70 - Valores'!R28</f>
        <v>0.10178615441889768</v>
      </c>
      <c r="AB64" s="84">
        <f>'CC70 - Valores'!S28</f>
        <v>0.10348885734912237</v>
      </c>
      <c r="AC64" s="84">
        <f>'CC70 - Valores'!T28</f>
        <v>0.10474692624129889</v>
      </c>
      <c r="AD64" s="84">
        <f>'CC70 - Valores'!U28</f>
        <v>0.10621378464042737</v>
      </c>
      <c r="AE64" s="84">
        <f>'CC70 - Valores'!V28</f>
        <v>0.10756209223396783</v>
      </c>
      <c r="AF64" s="84">
        <f>'CC70 - Valores'!W28</f>
        <v>0.10909549791282033</v>
      </c>
      <c r="AG64" s="84">
        <f>'CC70 - Valores'!X28</f>
        <v>0.11051708233495591</v>
      </c>
      <c r="AH64" s="84">
        <f>'CC70 - Valores'!Y28</f>
        <v>0.11190232309011044</v>
      </c>
      <c r="AI64" s="84">
        <f>'CC70 - Valores'!Z28</f>
        <v>0.1133043731900403</v>
      </c>
      <c r="AJ64" s="84">
        <f>'CC70 - Valores'!AA28</f>
        <v>0.11454924155576893</v>
      </c>
      <c r="AK64" s="84">
        <f>'CC70 - Valores'!AB28</f>
        <v>0.11589078808327129</v>
      </c>
      <c r="AL64" s="84">
        <f>'CC70 - Valores'!AC28</f>
        <v>0.11714010756474741</v>
      </c>
      <c r="AM64" s="84">
        <f>'CC70 - Valores'!AD28</f>
        <v>0.11851663098488162</v>
      </c>
      <c r="AN64" s="84">
        <f>'CC70 - Valores'!AE28</f>
        <v>0.11976337924107107</v>
      </c>
      <c r="AO64" s="84">
        <f>'CC70 - Valores'!AF28</f>
        <v>0.12097587621637329</v>
      </c>
      <c r="AP64" s="84">
        <f>'CC70 - Valores'!AG28</f>
        <v>0.12218424658192423</v>
      </c>
      <c r="AQ64" s="84">
        <f>'CC70 - Valores'!AH28</f>
        <v>0.12337721559622004</v>
      </c>
      <c r="AR64" s="84">
        <f>'CC70 - Valores'!AI28</f>
        <v>0.1246191923475139</v>
      </c>
      <c r="AS64" s="84">
        <f>'CC70 - Valores'!AJ28</f>
        <v>0.12579096096584719</v>
      </c>
      <c r="AT64" s="84">
        <f>'CC70 - Valores'!AK28</f>
        <v>0.1269413890183668</v>
      </c>
      <c r="AU64" s="84">
        <f>'CC70 - Valores'!AL28</f>
        <v>0.12808421257903205</v>
      </c>
      <c r="AV64" s="84">
        <f>'CC70 - Valores'!AM28</f>
        <v>0.12920840041092327</v>
      </c>
      <c r="AW64" s="84">
        <f>'CC70 - Valores'!AN28</f>
        <v>0.13032319610424581</v>
      </c>
      <c r="AX64" s="84">
        <f>'CC70 - Valores'!AO28</f>
        <v>0.13139774418256239</v>
      </c>
      <c r="AY64" s="84">
        <f>'CC70 - Valores'!AP28</f>
        <v>0.13245274084109362</v>
      </c>
      <c r="AZ64" s="84">
        <f>'CC70 - Valores'!AQ28</f>
        <v>0.13348741725861288</v>
      </c>
      <c r="BA64" s="84">
        <f>'CC70 - Valores'!AR28</f>
        <v>0.1344987781034695</v>
      </c>
      <c r="BB64" s="84">
        <f>'CC70 - Valores'!AS28</f>
        <v>0.13548409416638191</v>
      </c>
      <c r="BC64" s="84">
        <f>'CC70 - Valores'!AT28</f>
        <v>0.13644431577280774</v>
      </c>
      <c r="BD64" s="84">
        <f>'CC70 - Valores'!AU28</f>
        <v>0.13737953507811046</v>
      </c>
      <c r="BE64" s="84">
        <f>'CC70 - Valores'!AV28</f>
        <v>0.1382893678326465</v>
      </c>
      <c r="BF64" s="84">
        <f>'CC70 - Valores'!AW28</f>
        <v>0.13917196862096345</v>
      </c>
      <c r="BG64" s="84">
        <f>'CC70 - Valores'!AX28</f>
        <v>0.14002676544114856</v>
      </c>
      <c r="BH64" s="84">
        <f>'CC70 - Valores'!AY28</f>
        <v>0.14085268969332659</v>
      </c>
      <c r="BI64" s="84">
        <f>'CC70 - Valores'!AZ28</f>
        <v>0.14165025362815473</v>
      </c>
      <c r="BJ64" s="84">
        <f>'CC70 - Valores'!BA28</f>
        <v>0.14241873136567623</v>
      </c>
      <c r="BK64" s="84">
        <f>'CC70 - Valores'!BB28</f>
        <v>0.14315741953275152</v>
      </c>
    </row>
    <row r="65" spans="1:63" x14ac:dyDescent="0.3">
      <c r="A65" s="386"/>
      <c r="B65" t="s">
        <v>402</v>
      </c>
      <c r="C65" s="278"/>
      <c r="D65" s="278"/>
      <c r="E65" s="278"/>
      <c r="F65" s="278"/>
      <c r="G65" s="278"/>
      <c r="H65" s="279"/>
      <c r="I65" s="279"/>
      <c r="J65" s="279"/>
      <c r="K65" s="82">
        <f t="shared" si="34"/>
        <v>1.1358975848035</v>
      </c>
      <c r="L65" s="82">
        <f t="shared" si="34"/>
        <v>1.1918002202970002</v>
      </c>
      <c r="M65" s="82">
        <f t="shared" si="34"/>
        <v>1.2854633564094</v>
      </c>
      <c r="N65" s="82">
        <f t="shared" si="34"/>
        <v>1.5159054211035998</v>
      </c>
      <c r="O65" s="82">
        <f t="shared" ref="O65" si="43">O49</f>
        <v>1.7484062297790823</v>
      </c>
      <c r="P65" s="84">
        <f>'CC70 - Valores'!G29</f>
        <v>1.913714433990465</v>
      </c>
      <c r="Q65" s="84">
        <f>'CC70 - Valores'!H29</f>
        <v>2.0736290904567616</v>
      </c>
      <c r="R65" s="84">
        <f>'CC70 - Valores'!I29</f>
        <v>2.2339014134157242</v>
      </c>
      <c r="S65" s="84">
        <f>'CC70 - Valores'!J29</f>
        <v>2.3939355007355374</v>
      </c>
      <c r="T65" s="84">
        <f>'CC70 - Valores'!K29</f>
        <v>2.5542181241280106</v>
      </c>
      <c r="U65" s="84">
        <f>'CC70 - Valores'!L29</f>
        <v>2.7145668361868283</v>
      </c>
      <c r="V65" s="84">
        <f>'CC70 - Valores'!M29</f>
        <v>2.8750076275840661</v>
      </c>
      <c r="W65" s="84">
        <f>'CC70 - Valores'!N29</f>
        <v>3.0354951769329728</v>
      </c>
      <c r="X65" s="84">
        <f>'CC70 - Valores'!O29</f>
        <v>3.1879590734487815</v>
      </c>
      <c r="Y65" s="84">
        <f>'CC70 - Valores'!P29</f>
        <v>3.3401850617413307</v>
      </c>
      <c r="Z65" s="84">
        <f>'CC70 - Valores'!Q29</f>
        <v>3.4923817759124707</v>
      </c>
      <c r="AA65" s="84">
        <f>'CC70 - Valores'!R29</f>
        <v>3.6446236909808514</v>
      </c>
      <c r="AB65" s="84">
        <f>'CC70 - Valores'!S29</f>
        <v>3.7968714624931228</v>
      </c>
      <c r="AC65" s="84">
        <f>'CC70 - Valores'!T29</f>
        <v>3.9491237823629159</v>
      </c>
      <c r="AD65" s="84">
        <f>'CC70 - Valores'!U29</f>
        <v>4.1013930623261965</v>
      </c>
      <c r="AE65" s="84">
        <f>'CC70 - Valores'!V29</f>
        <v>4.2536764989738991</v>
      </c>
      <c r="AF65" s="84">
        <f>'CC70 - Valores'!W29</f>
        <v>4.4059201687005629</v>
      </c>
      <c r="AG65" s="84">
        <f>'CC70 - Valores'!X29</f>
        <v>4.5581736186960651</v>
      </c>
      <c r="AH65" s="84">
        <f>'CC70 - Valores'!Y29</f>
        <v>4.7104341037584714</v>
      </c>
      <c r="AI65" s="84">
        <f>'CC70 - Valores'!Z29</f>
        <v>4.8626988146802042</v>
      </c>
      <c r="AJ65" s="84">
        <f>'CC70 - Valores'!AA29</f>
        <v>5.0149796328821399</v>
      </c>
      <c r="AK65" s="84">
        <f>'CC70 - Valores'!AB29</f>
        <v>5.1672488513572281</v>
      </c>
      <c r="AL65" s="84">
        <f>'CC70 - Valores'!AC29</f>
        <v>5.3195275435583946</v>
      </c>
      <c r="AM65" s="84">
        <f>'CC70 - Valores'!AD29</f>
        <v>5.4717900445785137</v>
      </c>
      <c r="AN65" s="84">
        <f>'CC70 - Valores'!AE29</f>
        <v>5.6240683766597312</v>
      </c>
      <c r="AO65" s="84">
        <f>'CC70 - Valores'!AF29</f>
        <v>5.7763505133072686</v>
      </c>
      <c r="AP65" s="84">
        <f>'CC70 - Valores'!AG29</f>
        <v>5.9286328082041049</v>
      </c>
      <c r="AQ65" s="84">
        <f>'CC70 - Valores'!AH29</f>
        <v>6.0809166268044725</v>
      </c>
      <c r="AR65" s="84">
        <f>'CC70 - Valores'!AI29</f>
        <v>6.2331939600329616</v>
      </c>
      <c r="AS65" s="84">
        <f>'CC70 - Valores'!AJ29</f>
        <v>6.3854789861872492</v>
      </c>
      <c r="AT65" s="84">
        <f>'CC70 - Valores'!AK29</f>
        <v>6.5377656920126634</v>
      </c>
      <c r="AU65" s="84">
        <f>'CC70 - Valores'!AL29</f>
        <v>6.6900527075845311</v>
      </c>
      <c r="AV65" s="84">
        <f>'CC70 - Valores'!AM29</f>
        <v>6.8423412526633687</v>
      </c>
      <c r="AW65" s="84">
        <f>'CC70 - Valores'!AN29</f>
        <v>6.9946299406149262</v>
      </c>
      <c r="AX65" s="84">
        <f>'CC70 - Valores'!AO29</f>
        <v>7.1469226365408227</v>
      </c>
      <c r="AY65" s="84">
        <f>'CC70 - Valores'!AP29</f>
        <v>7.2992165918549006</v>
      </c>
      <c r="AZ65" s="84">
        <f>'CC70 - Valores'!AQ29</f>
        <v>7.4515118635434465</v>
      </c>
      <c r="BA65" s="84">
        <f>'CC70 - Valores'!AR29</f>
        <v>7.6038088106576387</v>
      </c>
      <c r="BB65" s="84">
        <f>'CC70 - Valores'!AS29</f>
        <v>7.7561077598957189</v>
      </c>
      <c r="BC65" s="84">
        <f>'CC70 - Valores'!AT29</f>
        <v>7.9084084858039283</v>
      </c>
      <c r="BD65" s="84">
        <f>'CC70 - Valores'!AU29</f>
        <v>8.0607108934475882</v>
      </c>
      <c r="BE65" s="84">
        <f>'CC70 - Valores'!AV29</f>
        <v>8.2130149707643003</v>
      </c>
      <c r="BF65" s="84">
        <f>'CC70 - Valores'!AW29</f>
        <v>8.365320919810511</v>
      </c>
      <c r="BG65" s="84">
        <f>'CC70 - Valores'!AX29</f>
        <v>8.5176287683294767</v>
      </c>
      <c r="BH65" s="84">
        <f>'CC70 - Valores'!AY29</f>
        <v>8.6699386195597103</v>
      </c>
      <c r="BI65" s="84">
        <f>'CC70 - Valores'!AZ29</f>
        <v>8.8222503404294752</v>
      </c>
      <c r="BJ65" s="84">
        <f>'CC70 - Valores'!BA29</f>
        <v>8.9745639768661949</v>
      </c>
      <c r="BK65" s="84">
        <f>'CC70 - Valores'!BB29</f>
        <v>9.1268795791867774</v>
      </c>
    </row>
    <row r="66" spans="1:63" x14ac:dyDescent="0.3">
      <c r="A66" s="386"/>
      <c r="B66" t="s">
        <v>403</v>
      </c>
      <c r="C66" s="278"/>
      <c r="D66" s="278"/>
      <c r="E66" s="278"/>
      <c r="F66" s="278"/>
      <c r="G66" s="278"/>
      <c r="H66" s="279"/>
      <c r="I66" s="279"/>
      <c r="J66" s="279"/>
      <c r="K66" s="82">
        <f t="shared" si="34"/>
        <v>0.35613556000000002</v>
      </c>
      <c r="L66" s="82">
        <f t="shared" si="34"/>
        <v>0.35728204999999996</v>
      </c>
      <c r="M66" s="82">
        <f t="shared" si="34"/>
        <v>0.48066439999999999</v>
      </c>
      <c r="N66" s="82">
        <f t="shared" si="34"/>
        <v>0.35422895999999998</v>
      </c>
      <c r="O66" s="82">
        <f t="shared" ref="O66" si="44">O50</f>
        <v>0.41322952625484877</v>
      </c>
      <c r="P66" s="84">
        <f>'CC70 - Valores'!G30</f>
        <v>0.44412708293298853</v>
      </c>
      <c r="Q66" s="84">
        <f>'CC70 - Valores'!H30</f>
        <v>0.47203112628862354</v>
      </c>
      <c r="R66" s="84">
        <f>'CC70 - Valores'!I30</f>
        <v>0.47479879403821479</v>
      </c>
      <c r="S66" s="84">
        <f>'CC70 - Valores'!J30</f>
        <v>0.50399512527479207</v>
      </c>
      <c r="T66" s="84">
        <f>'CC70 - Valores'!K30</f>
        <v>0.51796926494501638</v>
      </c>
      <c r="U66" s="84">
        <f>'CC70 - Valores'!L30</f>
        <v>0.53250741234814836</v>
      </c>
      <c r="V66" s="84">
        <f>'CC70 - Valores'!M30</f>
        <v>0.5456998497344806</v>
      </c>
      <c r="W66" s="84">
        <f>'CC70 - Valores'!N30</f>
        <v>0.56080348010440018</v>
      </c>
      <c r="X66" s="84">
        <f>'CC70 - Valores'!O30</f>
        <v>0.55628521577569667</v>
      </c>
      <c r="Y66" s="84">
        <f>'CC70 - Valores'!P30</f>
        <v>0.56812613075359542</v>
      </c>
      <c r="Z66" s="84">
        <f>'CC70 - Valores'!Q30</f>
        <v>0.58203311038632932</v>
      </c>
      <c r="AA66" s="84">
        <f>'CC70 - Valores'!R30</f>
        <v>0.59276809514145057</v>
      </c>
      <c r="AB66" s="84">
        <f>'CC70 - Valores'!S30</f>
        <v>0.60314498074506995</v>
      </c>
      <c r="AC66" s="84">
        <f>'CC70 - Valores'!T30</f>
        <v>0.61191741345079542</v>
      </c>
      <c r="AD66" s="84">
        <f>'CC70 - Valores'!U30</f>
        <v>0.62060851495456271</v>
      </c>
      <c r="AE66" s="84">
        <f>'CC70 - Valores'!V30</f>
        <v>0.62829907862846013</v>
      </c>
      <c r="AF66" s="84">
        <f>'CC70 - Valores'!W30</f>
        <v>0.63858135053602072</v>
      </c>
      <c r="AG66" s="84">
        <f>'CC70 - Valores'!X30</f>
        <v>0.64808223129082732</v>
      </c>
      <c r="AH66" s="84">
        <f>'CC70 - Valores'!Y30</f>
        <v>0.65718544798074929</v>
      </c>
      <c r="AI66" s="84">
        <f>'CC70 - Valores'!Z30</f>
        <v>0.66620056307994446</v>
      </c>
      <c r="AJ66" s="84">
        <f>'CC70 - Valores'!AA30</f>
        <v>0.67400380555601014</v>
      </c>
      <c r="AK66" s="84">
        <f>'CC70 - Valores'!AB30</f>
        <v>0.68272740546922828</v>
      </c>
      <c r="AL66" s="84">
        <f>'CC70 - Valores'!AC30</f>
        <v>0.69076452377741382</v>
      </c>
      <c r="AM66" s="84">
        <f>'CC70 - Valores'!AD30</f>
        <v>0.70002508675923092</v>
      </c>
      <c r="AN66" s="84">
        <f>'CC70 - Valores'!AE30</f>
        <v>0.70818141748610552</v>
      </c>
      <c r="AO66" s="84">
        <f>'CC70 - Valores'!AF30</f>
        <v>0.71610545213295917</v>
      </c>
      <c r="AP66" s="84">
        <f>'CC70 - Valores'!AG30</f>
        <v>0.72406319604313674</v>
      </c>
      <c r="AQ66" s="84">
        <f>'CC70 - Valores'!AH30</f>
        <v>0.73195484085260132</v>
      </c>
      <c r="AR66" s="84">
        <f>'CC70 - Valores'!AI30</f>
        <v>0.74035195519772945</v>
      </c>
      <c r="AS66" s="84">
        <f>'CC70 - Valores'!AJ30</f>
        <v>0.74822054508839619</v>
      </c>
      <c r="AT66" s="84">
        <f>'CC70 - Valores'!AK30</f>
        <v>0.75599248728266821</v>
      </c>
      <c r="AU66" s="84">
        <f>'CC70 - Valores'!AL30</f>
        <v>0.76377265355767654</v>
      </c>
      <c r="AV66" s="84">
        <f>'CC70 - Valores'!AM30</f>
        <v>0.7714689952578011</v>
      </c>
      <c r="AW66" s="84">
        <f>'CC70 - Valores'!AN30</f>
        <v>0.77917188012793204</v>
      </c>
      <c r="AX66" s="84">
        <f>'CC70 - Valores'!AO30</f>
        <v>0.78660858275756451</v>
      </c>
      <c r="AY66" s="84">
        <f>'CC70 - Valores'!AP30</f>
        <v>0.79396745743954733</v>
      </c>
      <c r="AZ66" s="84">
        <f>'CC70 - Valores'!AQ30</f>
        <v>0.80124226240861984</v>
      </c>
      <c r="BA66" s="84">
        <f>'CC70 - Valores'!AR30</f>
        <v>0.808406439521697</v>
      </c>
      <c r="BB66" s="84">
        <f>'CC70 - Valores'!AS30</f>
        <v>0.81543599871449957</v>
      </c>
      <c r="BC66" s="84">
        <f>'CC70 - Valores'!AT30</f>
        <v>0.8223429798869295</v>
      </c>
      <c r="BD66" s="84">
        <f>'CC70 - Valores'!AU30</f>
        <v>0.82913086918121859</v>
      </c>
      <c r="BE66" s="84">
        <f>'CC70 - Valores'!AV30</f>
        <v>0.83579800612843091</v>
      </c>
      <c r="BF66" s="84">
        <f>'CC70 - Valores'!AW30</f>
        <v>0.84232888512935211</v>
      </c>
      <c r="BG66" s="84">
        <f>'CC70 - Valores'!AX30</f>
        <v>0.84871969073704434</v>
      </c>
      <c r="BH66" s="84">
        <f>'CC70 - Valores'!AY30</f>
        <v>0.85496185121403201</v>
      </c>
      <c r="BI66" s="84">
        <f>'CC70 - Valores'!AZ30</f>
        <v>0.86106194081905474</v>
      </c>
      <c r="BJ66" s="84">
        <f>'CC70 - Valores'!BA30</f>
        <v>0.86701495352786451</v>
      </c>
      <c r="BK66" s="84">
        <f>'CC70 - Valores'!BB30</f>
        <v>0.87281582857450379</v>
      </c>
    </row>
    <row r="67" spans="1:63" x14ac:dyDescent="0.3">
      <c r="A67" s="386"/>
      <c r="B67" t="s">
        <v>404</v>
      </c>
      <c r="C67" s="278"/>
      <c r="D67" s="278"/>
      <c r="E67" s="278"/>
      <c r="F67" s="278"/>
      <c r="G67" s="278"/>
      <c r="H67" s="279"/>
      <c r="I67" s="279"/>
      <c r="J67" s="279"/>
      <c r="K67" s="82">
        <f t="shared" si="34"/>
        <v>0.81041011424000009</v>
      </c>
      <c r="L67" s="82">
        <f t="shared" si="34"/>
        <v>0.94249586699999999</v>
      </c>
      <c r="M67" s="82">
        <f t="shared" si="34"/>
        <v>0.91618988825000036</v>
      </c>
      <c r="N67" s="82">
        <f t="shared" si="34"/>
        <v>0.94511519049370374</v>
      </c>
      <c r="O67" s="82">
        <f t="shared" ref="O67" si="45">O51</f>
        <v>1.1656097110748405</v>
      </c>
      <c r="P67" s="84">
        <f>'CC70 - Valores'!G31</f>
        <v>0.86192715459303659</v>
      </c>
      <c r="Q67" s="84">
        <f>'CC70 - Valores'!H31</f>
        <v>0.88747830617921841</v>
      </c>
      <c r="R67" s="84">
        <f>'CC70 - Valores'!I31</f>
        <v>0.90180141269646763</v>
      </c>
      <c r="S67" s="84">
        <f>'CC70 - Valores'!J31</f>
        <v>0.9247506545520503</v>
      </c>
      <c r="T67" s="84">
        <f>'CC70 - Valores'!K31</f>
        <v>0.94116948910550946</v>
      </c>
      <c r="U67" s="84">
        <f>'CC70 - Valores'!L31</f>
        <v>0.95720286734146809</v>
      </c>
      <c r="V67" s="84">
        <f>'CC70 - Valores'!M31</f>
        <v>0.97282000838682436</v>
      </c>
      <c r="W67" s="84">
        <f>'CC70 - Valores'!N31</f>
        <v>0.9879046986147979</v>
      </c>
      <c r="X67" s="84">
        <f>'CC70 - Valores'!O31</f>
        <v>1.0062337477853429</v>
      </c>
      <c r="Y67" s="84">
        <f>'CC70 - Valores'!P31</f>
        <v>1.0219122555796616</v>
      </c>
      <c r="Z67" s="84">
        <f>'CC70 - Valores'!Q31</f>
        <v>1.0372390396153293</v>
      </c>
      <c r="AA67" s="84">
        <f>'CC70 - Valores'!R31</f>
        <v>1.0525358185891112</v>
      </c>
      <c r="AB67" s="84">
        <f>'CC70 - Valores'!S31</f>
        <v>1.0677309513605926</v>
      </c>
      <c r="AC67" s="84">
        <f>'CC70 - Valores'!T31</f>
        <v>1.0820417918811371</v>
      </c>
      <c r="AD67" s="84">
        <f>'CC70 - Valores'!U31</f>
        <v>1.0970089602931083</v>
      </c>
      <c r="AE67" s="84">
        <f>'CC70 - Valores'!V31</f>
        <v>1.1119703747930458</v>
      </c>
      <c r="AF67" s="84">
        <f>'CC70 - Valores'!W31</f>
        <v>1.1261682444055634</v>
      </c>
      <c r="AG67" s="84">
        <f>'CC70 - Valores'!X31</f>
        <v>1.1402012764555063</v>
      </c>
      <c r="AH67" s="84">
        <f>'CC70 - Valores'!Y31</f>
        <v>1.154168916991662</v>
      </c>
      <c r="AI67" s="84">
        <f>'CC70 - Valores'!Z31</f>
        <v>1.1681045888330313</v>
      </c>
      <c r="AJ67" s="84">
        <f>'CC70 - Valores'!AA31</f>
        <v>1.1820300875074561</v>
      </c>
      <c r="AK67" s="84">
        <f>'CC70 - Valores'!AB31</f>
        <v>1.1956162908257024</v>
      </c>
      <c r="AL67" s="84">
        <f>'CC70 - Valores'!AC31</f>
        <v>1.2091191207368581</v>
      </c>
      <c r="AM67" s="84">
        <f>'CC70 - Valores'!AD31</f>
        <v>1.2221586559057891</v>
      </c>
      <c r="AN67" s="84">
        <f>'CC70 - Valores'!AE31</f>
        <v>1.2352384073146787</v>
      </c>
      <c r="AO67" s="84">
        <f>'CC70 - Valores'!AF31</f>
        <v>1.2481655249542771</v>
      </c>
      <c r="AP67" s="84">
        <f>'CC70 - Valores'!AG31</f>
        <v>1.2608759947460517</v>
      </c>
      <c r="AQ67" s="84">
        <f>'CC70 - Valores'!AH31</f>
        <v>1.2733917261247911</v>
      </c>
      <c r="AR67" s="84">
        <f>'CC70 - Valores'!AI31</f>
        <v>1.2855440580438739</v>
      </c>
      <c r="AS67" s="84">
        <f>'CC70 - Valores'!AJ31</f>
        <v>1.2975916983042555</v>
      </c>
      <c r="AT67" s="84">
        <f>'CC70 - Valores'!AK31</f>
        <v>1.3094115270218851</v>
      </c>
      <c r="AU67" s="84">
        <f>'CC70 - Valores'!AL31</f>
        <v>1.3209700375436575</v>
      </c>
      <c r="AV67" s="84">
        <f>'CC70 - Valores'!AM31</f>
        <v>1.3322819761259788</v>
      </c>
      <c r="AW67" s="84">
        <f>'CC70 - Valores'!AN31</f>
        <v>1.3433023038026803</v>
      </c>
      <c r="AX67" s="84">
        <f>'CC70 - Valores'!AO31</f>
        <v>1.3541148276724551</v>
      </c>
      <c r="AY67" s="84">
        <f>'CC70 - Valores'!AP31</f>
        <v>1.3646443896115654</v>
      </c>
      <c r="AZ67" s="84">
        <f>'CC70 - Valores'!AQ31</f>
        <v>1.3748828763388281</v>
      </c>
      <c r="BA67" s="84">
        <f>'CC70 - Valores'!AR31</f>
        <v>1.38483079362488</v>
      </c>
      <c r="BB67" s="84">
        <f>'CC70 - Valores'!AS31</f>
        <v>1.3944888174475789</v>
      </c>
      <c r="BC67" s="84">
        <f>'CC70 - Valores'!AT31</f>
        <v>1.4038416052523779</v>
      </c>
      <c r="BD67" s="84">
        <f>'CC70 - Valores'!AU31</f>
        <v>1.4128773306323579</v>
      </c>
      <c r="BE67" s="84">
        <f>'CC70 - Valores'!AV31</f>
        <v>1.4215867458950027</v>
      </c>
      <c r="BF67" s="84">
        <f>'CC70 - Valores'!AW31</f>
        <v>1.4299675786758086</v>
      </c>
      <c r="BG67" s="84">
        <f>'CC70 - Valores'!AX31</f>
        <v>1.4380125419576659</v>
      </c>
      <c r="BH67" s="84">
        <f>'CC70 - Valores'!AY31</f>
        <v>1.4457170778918464</v>
      </c>
      <c r="BI67" s="84">
        <f>'CC70 - Valores'!AZ31</f>
        <v>1.4530687441095878</v>
      </c>
      <c r="BJ67" s="84">
        <f>'CC70 - Valores'!BA31</f>
        <v>1.4600610874115767</v>
      </c>
      <c r="BK67" s="84">
        <f>'CC70 - Valores'!BB31</f>
        <v>1.4666881175331843</v>
      </c>
    </row>
    <row r="68" spans="1:63" x14ac:dyDescent="0.3">
      <c r="A68" s="386"/>
      <c r="B68" t="s">
        <v>405</v>
      </c>
      <c r="C68" s="278"/>
      <c r="D68" s="278"/>
      <c r="E68" s="278"/>
      <c r="F68" s="278"/>
      <c r="G68" s="278"/>
      <c r="H68" s="279"/>
      <c r="I68" s="279"/>
      <c r="J68" s="279"/>
      <c r="K68" s="82">
        <f t="shared" si="34"/>
        <v>0.18250613814913397</v>
      </c>
      <c r="L68" s="82">
        <f t="shared" si="34"/>
        <v>0.19112520351487278</v>
      </c>
      <c r="M68" s="82">
        <f t="shared" si="34"/>
        <v>0.15689085289981208</v>
      </c>
      <c r="N68" s="82">
        <f t="shared" si="34"/>
        <v>0.14502291746577867</v>
      </c>
      <c r="O68" s="82">
        <f t="shared" ref="O68" si="46">O52</f>
        <v>0.15313606994131015</v>
      </c>
      <c r="P68" s="84">
        <f>'CC70 - Valores'!G32</f>
        <v>0.11202173983846433</v>
      </c>
      <c r="Q68" s="84">
        <f>'CC70 - Valores'!H32</f>
        <v>0.11371868433315646</v>
      </c>
      <c r="R68" s="84">
        <f>'CC70 - Valores'!I32</f>
        <v>0.11622745983670546</v>
      </c>
      <c r="S68" s="84">
        <f>'CC70 - Valores'!J32</f>
        <v>0.11729428501429927</v>
      </c>
      <c r="T68" s="84">
        <f>'CC70 - Valores'!K32</f>
        <v>0.11890309804674101</v>
      </c>
      <c r="U68" s="84">
        <f>'CC70 - Valores'!L32</f>
        <v>0.12037798354925565</v>
      </c>
      <c r="V68" s="84">
        <f>'CC70 - Valores'!M32</f>
        <v>0.12193496769292118</v>
      </c>
      <c r="W68" s="84">
        <f>'CC70 - Valores'!N32</f>
        <v>0.12317415630071481</v>
      </c>
      <c r="X68" s="84">
        <f>'CC70 - Valores'!O32</f>
        <v>0.12730341200508116</v>
      </c>
      <c r="Y68" s="84">
        <f>'CC70 - Valores'!P32</f>
        <v>0.12903934701898268</v>
      </c>
      <c r="Z68" s="84">
        <f>'CC70 - Valores'!Q32</f>
        <v>0.13047452343321606</v>
      </c>
      <c r="AA68" s="84">
        <f>'CC70 - Valores'!R32</f>
        <v>0.13227436406080334</v>
      </c>
      <c r="AB68" s="84">
        <f>'CC70 - Valores'!S32</f>
        <v>0.13410010493844776</v>
      </c>
      <c r="AC68" s="84">
        <f>'CC70 - Valores'!T32</f>
        <v>0.13590579665513233</v>
      </c>
      <c r="AD68" s="84">
        <f>'CC70 - Valores'!U32</f>
        <v>0.13787897421656115</v>
      </c>
      <c r="AE68" s="84">
        <f>'CC70 - Valores'!V32</f>
        <v>0.13996523454488122</v>
      </c>
      <c r="AF68" s="84">
        <f>'CC70 - Valores'!W32</f>
        <v>0.14161204179032272</v>
      </c>
      <c r="AG68" s="84">
        <f>'CC70 - Valores'!X32</f>
        <v>0.1433162763388518</v>
      </c>
      <c r="AH68" s="84">
        <f>'CC70 - Valores'!Y32</f>
        <v>0.14505835138428827</v>
      </c>
      <c r="AI68" s="84">
        <f>'CC70 - Valores'!Z32</f>
        <v>0.1468128063944987</v>
      </c>
      <c r="AJ68" s="84">
        <f>'CC70 - Valores'!AA32</f>
        <v>0.14870009951230811</v>
      </c>
      <c r="AK68" s="84">
        <f>'CC70 - Valores'!AB32</f>
        <v>0.15042714961913342</v>
      </c>
      <c r="AL68" s="84">
        <f>'CC70 - Valores'!AC32</f>
        <v>0.15221643147025027</v>
      </c>
      <c r="AM68" s="84">
        <f>'CC70 - Valores'!AD32</f>
        <v>0.15378950502892597</v>
      </c>
      <c r="AN68" s="84">
        <f>'CC70 - Valores'!AE32</f>
        <v>0.15549455102552148</v>
      </c>
      <c r="AO68" s="84">
        <f>'CC70 - Valores'!AF32</f>
        <v>0.15720010622772257</v>
      </c>
      <c r="AP68" s="84">
        <f>'CC70 - Valores'!AG32</f>
        <v>0.15886538103470982</v>
      </c>
      <c r="AQ68" s="84">
        <f>'CC70 - Valores'!AH32</f>
        <v>0.16050529061795193</v>
      </c>
      <c r="AR68" s="84">
        <f>'CC70 - Valores'!AI32</f>
        <v>0.1620268311594204</v>
      </c>
      <c r="AS68" s="84">
        <f>'CC70 - Valores'!AJ32</f>
        <v>0.1635894445912599</v>
      </c>
      <c r="AT68" s="84">
        <f>'CC70 - Valores'!AK32</f>
        <v>0.16512358506660332</v>
      </c>
      <c r="AU68" s="84">
        <f>'CC70 - Valores'!AL32</f>
        <v>0.16661201396723418</v>
      </c>
      <c r="AV68" s="84">
        <f>'CC70 - Valores'!AM32</f>
        <v>0.16806729431570375</v>
      </c>
      <c r="AW68" s="84">
        <f>'CC70 - Valores'!AN32</f>
        <v>0.1694712753786714</v>
      </c>
      <c r="AX68" s="84">
        <f>'CC70 - Valores'!AO32</f>
        <v>0.17086865316914374</v>
      </c>
      <c r="AY68" s="84">
        <f>'CC70 - Valores'!AP32</f>
        <v>0.17222522547968269</v>
      </c>
      <c r="AZ68" s="84">
        <f>'CC70 - Valores'!AQ32</f>
        <v>0.17354013528413328</v>
      </c>
      <c r="BA68" s="84">
        <f>'CC70 - Valores'!AR32</f>
        <v>0.17481628186647033</v>
      </c>
      <c r="BB68" s="84">
        <f>'CC70 - Valores'!AS32</f>
        <v>0.17605629728100303</v>
      </c>
      <c r="BC68" s="84">
        <f>'CC70 - Valores'!AT32</f>
        <v>0.17725596400632812</v>
      </c>
      <c r="BD68" s="84">
        <f>'CC70 - Valores'!AU32</f>
        <v>0.1784126412968183</v>
      </c>
      <c r="BE68" s="84">
        <f>'CC70 - Valores'!AV32</f>
        <v>0.17952472283337059</v>
      </c>
      <c r="BF68" s="84">
        <f>'CC70 - Valores'!AW32</f>
        <v>0.18059336070056217</v>
      </c>
      <c r="BG68" s="84">
        <f>'CC70 - Valores'!AX32</f>
        <v>0.18161753007890583</v>
      </c>
      <c r="BH68" s="84">
        <f>'CC70 - Valores'!AY32</f>
        <v>0.18259721014305763</v>
      </c>
      <c r="BI68" s="84">
        <f>'CC70 - Valores'!AZ32</f>
        <v>0.18352931045336629</v>
      </c>
      <c r="BJ68" s="84">
        <f>'CC70 - Valores'!BA32</f>
        <v>0.18441307117657948</v>
      </c>
      <c r="BK68" s="84">
        <f>'CC70 - Valores'!BB32</f>
        <v>0.18524782129553674</v>
      </c>
    </row>
    <row r="69" spans="1:63" x14ac:dyDescent="0.3">
      <c r="A69" s="386"/>
      <c r="B69" t="s">
        <v>406</v>
      </c>
      <c r="C69" s="278"/>
      <c r="D69" s="278"/>
      <c r="E69" s="278"/>
      <c r="F69" s="278"/>
      <c r="G69" s="278"/>
      <c r="H69" s="279"/>
      <c r="I69" s="279"/>
      <c r="J69" s="279"/>
      <c r="K69" s="82">
        <f t="shared" si="34"/>
        <v>0.35244185919999993</v>
      </c>
      <c r="L69" s="82">
        <f t="shared" si="34"/>
        <v>0.3674134261</v>
      </c>
      <c r="M69" s="82">
        <f t="shared" si="34"/>
        <v>0.2407493235</v>
      </c>
      <c r="N69" s="82">
        <f t="shared" si="34"/>
        <v>0.27267457750000001</v>
      </c>
      <c r="O69" s="82">
        <f t="shared" ref="O69" si="47">O53</f>
        <v>0.17626938160177008</v>
      </c>
      <c r="P69" s="84">
        <f>'CC70 - Valores'!G33</f>
        <v>0.25307560935042928</v>
      </c>
      <c r="Q69" s="84">
        <f>'CC70 - Valores'!H33</f>
        <v>0.25243096921953534</v>
      </c>
      <c r="R69" s="84">
        <f>'CC70 - Valores'!I33</f>
        <v>0.25996063723550611</v>
      </c>
      <c r="S69" s="84">
        <f>'CC70 - Valores'!J33</f>
        <v>0.25707793487445219</v>
      </c>
      <c r="T69" s="84">
        <f>'CC70 - Valores'!K33</f>
        <v>0.25930255608510155</v>
      </c>
      <c r="U69" s="84">
        <f>'CC70 - Valores'!L33</f>
        <v>0.26099020533721673</v>
      </c>
      <c r="V69" s="84">
        <f>'CC70 - Valores'!M33</f>
        <v>0.2632422513720028</v>
      </c>
      <c r="W69" s="84">
        <f>'CC70 - Valores'!N33</f>
        <v>0.2640829649475927</v>
      </c>
      <c r="X69" s="84">
        <f>'CC70 - Valores'!O33</f>
        <v>0.27832917211462221</v>
      </c>
      <c r="Y69" s="84">
        <f>'CC70 - Valores'!P33</f>
        <v>0.28145994720707318</v>
      </c>
      <c r="Z69" s="84">
        <f>'CC70 - Valores'!Q33</f>
        <v>0.28319938054564048</v>
      </c>
      <c r="AA69" s="84">
        <f>'CC70 - Valores'!R33</f>
        <v>0.28679024207098774</v>
      </c>
      <c r="AB69" s="84">
        <f>'CC70 - Valores'!S33</f>
        <v>0.29054838258011767</v>
      </c>
      <c r="AC69" s="84">
        <f>'CC70 - Valores'!T33</f>
        <v>0.29441332223685091</v>
      </c>
      <c r="AD69" s="84">
        <f>'CC70 - Valores'!U33</f>
        <v>0.29896887949501366</v>
      </c>
      <c r="AE69" s="84">
        <f>'CC70 - Valores'!V33</f>
        <v>0.30408646477182244</v>
      </c>
      <c r="AF69" s="84">
        <f>'CC70 - Valores'!W33</f>
        <v>0.30725741115988942</v>
      </c>
      <c r="AG69" s="84">
        <f>'CC70 - Valores'!X33</f>
        <v>0.31076465494809741</v>
      </c>
      <c r="AH69" s="84">
        <f>'CC70 - Valores'!Y33</f>
        <v>0.31448921287267884</v>
      </c>
      <c r="AI69" s="84">
        <f>'CC70 - Valores'!Z33</f>
        <v>0.31830085324182045</v>
      </c>
      <c r="AJ69" s="84">
        <f>'CC70 - Valores'!AA33</f>
        <v>0.32276752402674214</v>
      </c>
      <c r="AK69" s="84">
        <f>'CC70 - Valores'!AB33</f>
        <v>0.32656257792665117</v>
      </c>
      <c r="AL69" s="84">
        <f>'CC70 - Valores'!AC33</f>
        <v>0.33069197710215548</v>
      </c>
      <c r="AM69" s="84">
        <f>'CC70 - Valores'!AD33</f>
        <v>0.33391623089751638</v>
      </c>
      <c r="AN69" s="84">
        <f>'CC70 - Valores'!AE33</f>
        <v>0.33777972607068418</v>
      </c>
      <c r="AO69" s="84">
        <f>'CC70 - Valores'!AF33</f>
        <v>0.34170004047776487</v>
      </c>
      <c r="AP69" s="84">
        <f>'CC70 - Valores'!AG33</f>
        <v>0.34549850084330469</v>
      </c>
      <c r="AQ69" s="84">
        <f>'CC70 - Valores'!AH33</f>
        <v>0.34924105727619309</v>
      </c>
      <c r="AR69" s="84">
        <f>'CC70 - Valores'!AI33</f>
        <v>0.35252851439699112</v>
      </c>
      <c r="AS69" s="84">
        <f>'CC70 - Valores'!AJ33</f>
        <v>0.35605527364239942</v>
      </c>
      <c r="AT69" s="84">
        <f>'CC70 - Valores'!AK33</f>
        <v>0.35952180507300807</v>
      </c>
      <c r="AU69" s="84">
        <f>'CC70 - Valores'!AL33</f>
        <v>0.36285583813783695</v>
      </c>
      <c r="AV69" s="84">
        <f>'CC70 - Valores'!AM33</f>
        <v>0.36611396764040632</v>
      </c>
      <c r="AW69" s="84">
        <f>'CC70 - Valores'!AN33</f>
        <v>0.36922233946242111</v>
      </c>
      <c r="AX69" s="84">
        <f>'CC70 - Valores'!AO33</f>
        <v>0.37237171594012564</v>
      </c>
      <c r="AY69" s="84">
        <f>'CC70 - Valores'!AP33</f>
        <v>0.37541990772079226</v>
      </c>
      <c r="AZ69" s="84">
        <f>'CC70 - Valores'!AQ33</f>
        <v>0.37836562845696092</v>
      </c>
      <c r="BA69" s="84">
        <f>'CC70 - Valores'!AR33</f>
        <v>0.38122307174867115</v>
      </c>
      <c r="BB69" s="84">
        <f>'CC70 - Valores'!AS33</f>
        <v>0.38400502817769105</v>
      </c>
      <c r="BC69" s="84">
        <f>'CC70 - Valores'!AT33</f>
        <v>0.38669604407723079</v>
      </c>
      <c r="BD69" s="84">
        <f>'CC70 - Valores'!AU33</f>
        <v>0.38928723765973505</v>
      </c>
      <c r="BE69" s="84">
        <f>'CC70 - Valores'!AV33</f>
        <v>0.39177395282848143</v>
      </c>
      <c r="BF69" s="84">
        <f>'CC70 - Valores'!AW33</f>
        <v>0.3941626847732852</v>
      </c>
      <c r="BG69" s="84">
        <f>'CC70 - Valores'!AX33</f>
        <v>0.39645095862870994</v>
      </c>
      <c r="BH69" s="84">
        <f>'CC70 - Valores'!AY33</f>
        <v>0.39864028785211059</v>
      </c>
      <c r="BI69" s="84">
        <f>'CC70 - Valores'!AZ33</f>
        <v>0.40071981087755715</v>
      </c>
      <c r="BJ69" s="84">
        <f>'CC70 - Valores'!BA33</f>
        <v>0.40268804412043169</v>
      </c>
      <c r="BK69" s="84">
        <f>'CC70 - Valores'!BB33</f>
        <v>0.40454378447419481</v>
      </c>
    </row>
    <row r="70" spans="1:63" x14ac:dyDescent="0.3">
      <c r="A70" s="386"/>
      <c r="B70" t="s">
        <v>407</v>
      </c>
      <c r="C70" s="278"/>
      <c r="D70" s="278"/>
      <c r="E70" s="278"/>
      <c r="F70" s="278"/>
      <c r="G70" s="278"/>
      <c r="H70" s="279"/>
      <c r="I70" s="279"/>
      <c r="J70" s="279"/>
      <c r="K70" s="82">
        <f t="shared" si="34"/>
        <v>1.31871490227</v>
      </c>
      <c r="L70" s="82">
        <f t="shared" si="34"/>
        <v>1.0708886317799999</v>
      </c>
      <c r="M70" s="82">
        <f t="shared" si="34"/>
        <v>1.293475982486</v>
      </c>
      <c r="N70" s="82">
        <f t="shared" si="34"/>
        <v>1.4857295651099998</v>
      </c>
      <c r="O70" s="82">
        <f t="shared" ref="O70" si="48">O54</f>
        <v>1.5429257600703721</v>
      </c>
      <c r="P70" s="84">
        <f>'CC70 - Valores'!G34</f>
        <v>1.4375667486337971</v>
      </c>
      <c r="Q70" s="84">
        <f>'CC70 - Valores'!H34</f>
        <v>1.5342759244259199</v>
      </c>
      <c r="R70" s="84">
        <f>'CC70 - Valores'!I34</f>
        <v>1.5489698821615043</v>
      </c>
      <c r="S70" s="84">
        <f>'CC70 - Valores'!J34</f>
        <v>1.6516688846693641</v>
      </c>
      <c r="T70" s="84">
        <f>'CC70 - Valores'!K34</f>
        <v>1.7046113531386069</v>
      </c>
      <c r="U70" s="84">
        <f>'CC70 - Valores'!L34</f>
        <v>1.760018966469187</v>
      </c>
      <c r="V70" s="84">
        <f>'CC70 - Valores'!M34</f>
        <v>1.8114928731581974</v>
      </c>
      <c r="W70" s="84">
        <f>'CC70 - Valores'!N34</f>
        <v>1.8700094682138875</v>
      </c>
      <c r="X70" s="84">
        <f>'CC70 - Valores'!O34</f>
        <v>1.8620245113329545</v>
      </c>
      <c r="Y70" s="84">
        <f>'CC70 - Valores'!P34</f>
        <v>1.910201434163378</v>
      </c>
      <c r="Z70" s="84">
        <f>'CC70 - Valores'!Q34</f>
        <v>1.9660290822853121</v>
      </c>
      <c r="AA70" s="84">
        <f>'CC70 - Valores'!R34</f>
        <v>2.0114162388684966</v>
      </c>
      <c r="AB70" s="84">
        <f>'CC70 - Valores'!S34</f>
        <v>2.0560129060524481</v>
      </c>
      <c r="AC70" s="84">
        <f>'CC70 - Valores'!T34</f>
        <v>2.1001340859949336</v>
      </c>
      <c r="AD70" s="84">
        <f>'CC70 - Valores'!U34</f>
        <v>2.1409645586639292</v>
      </c>
      <c r="AE70" s="84">
        <f>'CC70 - Valores'!V34</f>
        <v>2.1791170047896244</v>
      </c>
      <c r="AF70" s="84">
        <f>'CC70 - Valores'!W34</f>
        <v>2.2271367832778228</v>
      </c>
      <c r="AG70" s="84">
        <f>'CC70 - Valores'!X34</f>
        <v>2.2734202864633479</v>
      </c>
      <c r="AH70" s="84">
        <f>'CC70 - Valores'!Y34</f>
        <v>2.318642883107076</v>
      </c>
      <c r="AI70" s="84">
        <f>'CC70 - Valores'!Z34</f>
        <v>2.3634635600984115</v>
      </c>
      <c r="AJ70" s="84">
        <f>'CC70 - Valores'!AA34</f>
        <v>2.405153075242203</v>
      </c>
      <c r="AK70" s="84">
        <f>'CC70 - Valores'!AB34</f>
        <v>2.4500461967688598</v>
      </c>
      <c r="AL70" s="84">
        <f>'CC70 - Valores'!AC34</f>
        <v>2.493312299476429</v>
      </c>
      <c r="AM70" s="84">
        <f>'CC70 - Valores'!AD34</f>
        <v>2.5407869355732347</v>
      </c>
      <c r="AN70" s="84">
        <f>'CC70 - Valores'!AE34</f>
        <v>2.585182051549566</v>
      </c>
      <c r="AO70" s="84">
        <f>'CC70 - Valores'!AF34</f>
        <v>2.6292243054450517</v>
      </c>
      <c r="AP70" s="84">
        <f>'CC70 - Valores'!AG34</f>
        <v>2.6737339419183206</v>
      </c>
      <c r="AQ70" s="84">
        <f>'CC70 - Valores'!AH34</f>
        <v>2.7184001153920061</v>
      </c>
      <c r="AR70" s="84">
        <f>'CC70 - Valores'!AI34</f>
        <v>2.765002837096155</v>
      </c>
      <c r="AS70" s="84">
        <f>'CC70 - Valores'!AJ34</f>
        <v>2.8103449070310829</v>
      </c>
      <c r="AT70" s="84">
        <f>'CC70 - Valores'!AK34</f>
        <v>2.8557624343411123</v>
      </c>
      <c r="AU70" s="84">
        <f>'CC70 - Valores'!AL34</f>
        <v>2.9015451111720698</v>
      </c>
      <c r="AV70" s="84">
        <f>'CC70 - Valores'!AM34</f>
        <v>2.9474050676612418</v>
      </c>
      <c r="AW70" s="84">
        <f>'CC70 - Valores'!AN34</f>
        <v>2.9936324276356987</v>
      </c>
      <c r="AX70" s="84">
        <f>'CC70 - Valores'!AO34</f>
        <v>3.0393579548645193</v>
      </c>
      <c r="AY70" s="84">
        <f>'CC70 - Valores'!AP34</f>
        <v>3.0851731348850966</v>
      </c>
      <c r="AZ70" s="84">
        <f>'CC70 - Valores'!AQ34</f>
        <v>3.1310485539864827</v>
      </c>
      <c r="BA70" s="84">
        <f>'CC70 - Valores'!AR34</f>
        <v>3.1768888192628904</v>
      </c>
      <c r="BB70" s="84">
        <f>'CC70 - Valores'!AS34</f>
        <v>3.2226062724682887</v>
      </c>
      <c r="BC70" s="84">
        <f>'CC70 - Valores'!AT34</f>
        <v>3.2682335393647075</v>
      </c>
      <c r="BD70" s="84">
        <f>'CC70 - Valores'!AU34</f>
        <v>3.3137742862158825</v>
      </c>
      <c r="BE70" s="84">
        <f>'CC70 - Valores'!AV34</f>
        <v>3.3592139187661161</v>
      </c>
      <c r="BF70" s="84">
        <f>'CC70 - Valores'!AW34</f>
        <v>3.4044916463087369</v>
      </c>
      <c r="BG70" s="84">
        <f>'CC70 - Valores'!AX34</f>
        <v>3.449584393155936</v>
      </c>
      <c r="BH70" s="84">
        <f>'CC70 - Valores'!AY34</f>
        <v>3.4944528982986292</v>
      </c>
      <c r="BI70" s="84">
        <f>'CC70 - Valores'!AZ34</f>
        <v>3.5391083478194312</v>
      </c>
      <c r="BJ70" s="84">
        <f>'CC70 - Valores'!BA34</f>
        <v>3.5835234790363106</v>
      </c>
      <c r="BK70" s="84">
        <f>'CC70 - Valores'!BB34</f>
        <v>3.6276701303437191</v>
      </c>
    </row>
    <row r="71" spans="1:63" x14ac:dyDescent="0.3">
      <c r="A71" s="357"/>
      <c r="C71" s="278"/>
      <c r="D71" s="278"/>
      <c r="E71" s="278"/>
      <c r="F71" s="278"/>
      <c r="G71" s="278"/>
      <c r="H71" s="279"/>
      <c r="I71" s="279"/>
      <c r="J71" s="279"/>
      <c r="K71" s="84"/>
      <c r="L71" s="84"/>
      <c r="M71" s="84"/>
      <c r="N71" s="84"/>
      <c r="O71" s="84"/>
      <c r="P71" s="84"/>
      <c r="Q71" s="84"/>
      <c r="R71" s="84"/>
      <c r="S71" s="84"/>
    </row>
    <row r="72" spans="1:63" s="85" customFormat="1" ht="19.8" x14ac:dyDescent="0.4">
      <c r="B72" s="85" t="s">
        <v>408</v>
      </c>
      <c r="C72" s="280"/>
      <c r="D72" s="280"/>
      <c r="E72" s="280"/>
      <c r="F72" s="280"/>
      <c r="G72" s="280"/>
      <c r="H72" s="281"/>
      <c r="I72" s="281"/>
      <c r="J72" s="281"/>
      <c r="K72" s="86"/>
      <c r="L72" s="86"/>
      <c r="M72" s="86"/>
      <c r="N72" s="86"/>
      <c r="O72" s="86"/>
      <c r="P72" s="86"/>
      <c r="Q72" s="86"/>
      <c r="R72" s="86"/>
      <c r="S72" s="86"/>
    </row>
    <row r="73" spans="1:63" s="80" customFormat="1" ht="15.6" x14ac:dyDescent="0.3">
      <c r="C73" s="103"/>
      <c r="D73" s="103"/>
      <c r="E73" s="103"/>
      <c r="F73" s="103"/>
      <c r="G73" s="103"/>
      <c r="H73" s="359"/>
      <c r="I73" s="359"/>
      <c r="J73" s="359"/>
      <c r="K73" s="81">
        <v>2018</v>
      </c>
      <c r="L73" s="81">
        <v>2019</v>
      </c>
      <c r="M73" s="81">
        <v>2020</v>
      </c>
      <c r="N73" s="81">
        <v>2021</v>
      </c>
      <c r="O73" s="81">
        <v>2022</v>
      </c>
      <c r="P73" s="81">
        <v>2023</v>
      </c>
      <c r="Q73" s="81">
        <v>2024</v>
      </c>
      <c r="R73" s="81">
        <v>2025</v>
      </c>
      <c r="S73" s="81">
        <v>2026</v>
      </c>
      <c r="T73" s="80">
        <v>2027</v>
      </c>
      <c r="U73" s="80">
        <v>2028</v>
      </c>
      <c r="V73" s="80">
        <v>2029</v>
      </c>
      <c r="W73" s="80">
        <v>2030</v>
      </c>
      <c r="X73" s="80">
        <v>2031</v>
      </c>
      <c r="Y73" s="80">
        <v>2032</v>
      </c>
      <c r="Z73" s="80">
        <v>2033</v>
      </c>
      <c r="AA73" s="80">
        <v>2034</v>
      </c>
      <c r="AB73" s="80">
        <v>2035</v>
      </c>
      <c r="AC73" s="80">
        <v>2036</v>
      </c>
      <c r="AD73" s="80">
        <v>2037</v>
      </c>
      <c r="AE73" s="80">
        <v>2038</v>
      </c>
      <c r="AF73" s="80">
        <v>2039</v>
      </c>
      <c r="AG73" s="80">
        <v>2040</v>
      </c>
      <c r="AH73" s="80">
        <v>2041</v>
      </c>
      <c r="AI73" s="80">
        <v>2042</v>
      </c>
      <c r="AJ73" s="80">
        <v>2043</v>
      </c>
      <c r="AK73" s="80">
        <v>2044</v>
      </c>
      <c r="AL73" s="80">
        <v>2045</v>
      </c>
      <c r="AM73" s="80">
        <v>2046</v>
      </c>
      <c r="AN73" s="80">
        <v>2047</v>
      </c>
      <c r="AO73" s="80">
        <v>2048</v>
      </c>
      <c r="AP73" s="80">
        <v>2049</v>
      </c>
      <c r="AQ73" s="80">
        <v>2050</v>
      </c>
      <c r="AR73" s="80">
        <v>2051</v>
      </c>
      <c r="AS73" s="80">
        <v>2052</v>
      </c>
      <c r="AT73" s="80">
        <v>2053</v>
      </c>
      <c r="AU73" s="80">
        <v>2054</v>
      </c>
      <c r="AV73" s="80">
        <v>2055</v>
      </c>
      <c r="AW73" s="80">
        <v>2056</v>
      </c>
      <c r="AX73" s="80">
        <v>2057</v>
      </c>
      <c r="AY73" s="80">
        <v>2058</v>
      </c>
      <c r="AZ73" s="80">
        <v>2059</v>
      </c>
      <c r="BA73" s="80">
        <v>2060</v>
      </c>
      <c r="BB73" s="80">
        <v>2061</v>
      </c>
      <c r="BC73" s="80">
        <v>2062</v>
      </c>
      <c r="BD73" s="80">
        <v>2063</v>
      </c>
      <c r="BE73" s="80">
        <v>2064</v>
      </c>
      <c r="BF73" s="80">
        <v>2065</v>
      </c>
      <c r="BG73" s="80">
        <v>2066</v>
      </c>
      <c r="BH73" s="80">
        <v>2067</v>
      </c>
      <c r="BI73" s="80">
        <v>2068</v>
      </c>
      <c r="BJ73" s="80">
        <v>2069</v>
      </c>
      <c r="BK73" s="80">
        <v>2070</v>
      </c>
    </row>
    <row r="74" spans="1:63" x14ac:dyDescent="0.3">
      <c r="A74" s="386" t="s">
        <v>672</v>
      </c>
      <c r="B74" t="s">
        <v>409</v>
      </c>
      <c r="C74" s="103"/>
      <c r="D74" s="103"/>
      <c r="E74" s="103"/>
      <c r="F74" s="103"/>
      <c r="G74" s="103"/>
      <c r="H74" s="359"/>
      <c r="I74" s="359"/>
      <c r="J74" s="359"/>
      <c r="K74" s="82">
        <f>Tendencial!O155</f>
        <v>6.4412943479101799</v>
      </c>
      <c r="L74" s="82">
        <f>Tendencial!P155</f>
        <v>6.4224338951767495</v>
      </c>
      <c r="M74" s="82">
        <f>Tendencial!Q155</f>
        <v>6.4986761916816302</v>
      </c>
      <c r="N74" s="82">
        <f>Tendencial!R155</f>
        <v>6.55878148572834</v>
      </c>
      <c r="O74" s="82">
        <f>Tendencial!S155</f>
        <v>5.9578210989000002</v>
      </c>
      <c r="P74" s="82">
        <f>Tendencial!T155</f>
        <v>6.017399309889</v>
      </c>
      <c r="Q74" s="82">
        <f>Tendencial!U155</f>
        <v>6.07757330298789</v>
      </c>
      <c r="R74" s="82">
        <f>Tendencial!V155</f>
        <v>6.138349036017769</v>
      </c>
      <c r="S74" s="82">
        <f>Tendencial!W155</f>
        <v>6.138349036017769</v>
      </c>
      <c r="T74" s="82">
        <f>Tendencial!X155</f>
        <v>6.138349036017769</v>
      </c>
      <c r="U74" s="82">
        <f>Tendencial!Y155</f>
        <v>6.138349036017769</v>
      </c>
      <c r="V74" s="82">
        <f>Tendencial!Z155</f>
        <v>6.138349036017769</v>
      </c>
      <c r="W74" s="82">
        <f>Tendencial!AA155</f>
        <v>6.138349036017769</v>
      </c>
      <c r="X74" s="82">
        <f>Tendencial!AB155</f>
        <v>6.138349036017769</v>
      </c>
      <c r="Y74" s="82">
        <f>Tendencial!AC155</f>
        <v>6.138349036017769</v>
      </c>
      <c r="Z74" s="82">
        <f>Tendencial!AD155</f>
        <v>6.138349036017769</v>
      </c>
      <c r="AA74" s="82">
        <f>Tendencial!AE155</f>
        <v>6.138349036017769</v>
      </c>
      <c r="AB74" s="82">
        <f>Tendencial!AF155</f>
        <v>6.138349036017769</v>
      </c>
      <c r="AC74" s="82">
        <f>Tendencial!AG155</f>
        <v>6.138349036017769</v>
      </c>
      <c r="AD74" s="82">
        <f>Tendencial!AH155</f>
        <v>6.138349036017769</v>
      </c>
      <c r="AE74" s="82">
        <f>Tendencial!AI155</f>
        <v>6.138349036017769</v>
      </c>
      <c r="AF74" s="82">
        <f>Tendencial!AJ155</f>
        <v>6.138349036017769</v>
      </c>
      <c r="AG74" s="82">
        <f>Tendencial!AK155</f>
        <v>6.138349036017769</v>
      </c>
      <c r="AH74" s="82">
        <f>Tendencial!AL155</f>
        <v>6.138349036017769</v>
      </c>
      <c r="AI74" s="82">
        <f>Tendencial!AM155</f>
        <v>6.138349036017769</v>
      </c>
      <c r="AJ74" s="82">
        <f>Tendencial!AN155</f>
        <v>6.138349036017769</v>
      </c>
      <c r="AK74" s="82">
        <f>Tendencial!AO155</f>
        <v>6.138349036017769</v>
      </c>
      <c r="AL74" s="82">
        <f>Tendencial!AP155</f>
        <v>6.138349036017769</v>
      </c>
      <c r="AM74" s="82">
        <f>Tendencial!AQ155</f>
        <v>6.138349036017769</v>
      </c>
      <c r="AN74" s="82">
        <f>Tendencial!AR155</f>
        <v>6.138349036017769</v>
      </c>
      <c r="AO74" s="82">
        <f>Tendencial!AS155</f>
        <v>6.138349036017769</v>
      </c>
      <c r="AP74" s="82">
        <f>Tendencial!AT155</f>
        <v>6.138349036017769</v>
      </c>
      <c r="AQ74" s="82">
        <f>Tendencial!AU155</f>
        <v>6.138349036017769</v>
      </c>
      <c r="AR74" s="82">
        <f>Tendencial!AV155</f>
        <v>6.138349036017769</v>
      </c>
      <c r="AS74" s="82">
        <f>Tendencial!AW155</f>
        <v>6.138349036017769</v>
      </c>
      <c r="AT74" s="82">
        <f>Tendencial!AX155</f>
        <v>6.138349036017769</v>
      </c>
      <c r="AU74" s="82">
        <f>Tendencial!AY155</f>
        <v>6.138349036017769</v>
      </c>
      <c r="AV74" s="82">
        <f>Tendencial!AZ155</f>
        <v>6.138349036017769</v>
      </c>
      <c r="AW74" s="82">
        <f>Tendencial!BA155</f>
        <v>6.138349036017769</v>
      </c>
      <c r="AX74" s="82">
        <f>Tendencial!BB155</f>
        <v>6.138349036017769</v>
      </c>
      <c r="AY74" s="82">
        <f>Tendencial!BC155</f>
        <v>6.138349036017769</v>
      </c>
      <c r="AZ74" s="82">
        <f>Tendencial!BD155</f>
        <v>6.138349036017769</v>
      </c>
      <c r="BA74" s="82">
        <f>Tendencial!BE155</f>
        <v>6.138349036017769</v>
      </c>
      <c r="BB74" s="82">
        <f>Tendencial!BF155</f>
        <v>6.138349036017769</v>
      </c>
      <c r="BC74" s="82">
        <f>Tendencial!BG155</f>
        <v>6.138349036017769</v>
      </c>
      <c r="BD74" s="82">
        <f>Tendencial!BH155</f>
        <v>6.138349036017769</v>
      </c>
      <c r="BE74" s="82">
        <f>Tendencial!BI155</f>
        <v>6.138349036017769</v>
      </c>
      <c r="BF74" s="82">
        <f>Tendencial!BJ155</f>
        <v>6.138349036017769</v>
      </c>
      <c r="BG74" s="82">
        <f>Tendencial!BK155</f>
        <v>6.138349036017769</v>
      </c>
      <c r="BH74" s="82">
        <f>Tendencial!BL155</f>
        <v>6.138349036017769</v>
      </c>
      <c r="BI74" s="82">
        <f>Tendencial!BM155</f>
        <v>6.138349036017769</v>
      </c>
      <c r="BJ74" s="82">
        <f>Tendencial!BN155</f>
        <v>6.138349036017769</v>
      </c>
      <c r="BK74" s="82">
        <f>Tendencial!BO155</f>
        <v>6.138349036017769</v>
      </c>
    </row>
    <row r="75" spans="1:63" x14ac:dyDescent="0.3">
      <c r="A75" s="386"/>
      <c r="B75" t="s">
        <v>394</v>
      </c>
      <c r="C75" s="103"/>
      <c r="D75" s="103"/>
      <c r="E75" s="103"/>
      <c r="F75" s="103"/>
      <c r="G75" s="103"/>
      <c r="H75" s="359"/>
      <c r="I75" s="359"/>
      <c r="J75" s="359"/>
      <c r="K75" s="82">
        <f>Tendencial!O156</f>
        <v>0.15438395645991049</v>
      </c>
      <c r="L75" s="82">
        <f>Tendencial!P156</f>
        <v>0.2012267057146741</v>
      </c>
      <c r="M75" s="82">
        <f>Tendencial!Q156</f>
        <v>0.24391120485460657</v>
      </c>
      <c r="N75" s="82">
        <f>Tendencial!R156</f>
        <v>0.2146640968001953</v>
      </c>
      <c r="O75" s="82">
        <f>Tendencial!S156</f>
        <v>0.21361056392682454</v>
      </c>
      <c r="P75" s="82">
        <f>Tendencial!T156</f>
        <v>0.20308375212409918</v>
      </c>
      <c r="Q75" s="82">
        <f>Tendencial!U156</f>
        <v>0.2393607880567398</v>
      </c>
      <c r="R75" s="82">
        <f>Tendencial!V156</f>
        <v>0.23341465749310975</v>
      </c>
      <c r="S75" s="82">
        <f>Tendencial!W156</f>
        <v>0.23574880406804086</v>
      </c>
      <c r="T75" s="82">
        <f>Tendencial!X156</f>
        <v>0.23810629210872128</v>
      </c>
      <c r="U75" s="82">
        <f>Tendencial!Y156</f>
        <v>0.2404873550298085</v>
      </c>
      <c r="V75" s="82">
        <f>Tendencial!Z156</f>
        <v>0.24289222858010659</v>
      </c>
      <c r="W75" s="82">
        <f>Tendencial!AA156</f>
        <v>0.24532115086590767</v>
      </c>
      <c r="X75" s="82">
        <f>Tendencial!AB156</f>
        <v>0.24777436237456674</v>
      </c>
      <c r="Y75" s="82">
        <f>Tendencial!AC156</f>
        <v>0.25025210599831238</v>
      </c>
      <c r="Z75" s="82">
        <f>Tendencial!AD156</f>
        <v>0.25275462705829549</v>
      </c>
      <c r="AA75" s="82">
        <f>Tendencial!AE156</f>
        <v>0.25528217332887843</v>
      </c>
      <c r="AB75" s="82">
        <f>Tendencial!AF156</f>
        <v>0.25783499506216723</v>
      </c>
      <c r="AC75" s="82">
        <f>Tendencial!AG156</f>
        <v>0.26442319261586417</v>
      </c>
      <c r="AD75" s="82">
        <f>Tendencial!AH156</f>
        <v>0.26944644125972717</v>
      </c>
      <c r="AE75" s="82">
        <f>Tendencial!AI156</f>
        <v>0.27320158401019423</v>
      </c>
      <c r="AF75" s="82">
        <f>Tendencial!AJ156</f>
        <v>0.28130781924425075</v>
      </c>
      <c r="AG75" s="82">
        <f>Tendencial!AK156</f>
        <v>0.28859768756985871</v>
      </c>
      <c r="AH75" s="82">
        <f>Tendencial!AL156</f>
        <v>0.29535890757322503</v>
      </c>
      <c r="AI75" s="82">
        <f>Tendencial!AM156</f>
        <v>0.30188471643059656</v>
      </c>
      <c r="AJ75" s="82">
        <f>Tendencial!AN156</f>
        <v>0.30694334815927832</v>
      </c>
      <c r="AK75" s="82">
        <f>Tendencial!AO156</f>
        <v>0.31341033727897438</v>
      </c>
      <c r="AL75" s="82">
        <f>Tendencial!AP156</f>
        <v>0.31909988281386342</v>
      </c>
      <c r="AM75" s="82">
        <f>Tendencial!AQ156</f>
        <v>0.32666868318353931</v>
      </c>
      <c r="AN75" s="82">
        <f>Tendencial!AR156</f>
        <v>0.33280253373059726</v>
      </c>
      <c r="AO75" s="82">
        <f>Tendencial!AS156</f>
        <v>0.33874705808284311</v>
      </c>
      <c r="AP75" s="82">
        <f>Tendencial!AT156</f>
        <v>0.34487883278384729</v>
      </c>
      <c r="AQ75" s="82">
        <f>Tendencial!AU156</f>
        <v>0.35105663719161195</v>
      </c>
      <c r="AR75" s="82">
        <f>Tendencial!AV156</f>
        <v>0.35810466410428549</v>
      </c>
      <c r="AS75" s="82">
        <f>Tendencial!AW156</f>
        <v>0.36456250825699243</v>
      </c>
      <c r="AT75" s="82">
        <f>Tendencial!AX156</f>
        <v>0.37104959467767096</v>
      </c>
      <c r="AU75" s="82">
        <f>Tendencial!AY156</f>
        <v>0.37770642722132913</v>
      </c>
      <c r="AV75" s="82">
        <f>Tendencial!AZ156</f>
        <v>0.38440745630198248</v>
      </c>
      <c r="AW75" s="82">
        <f>Tendencial!BA156</f>
        <v>0.39129458243461984</v>
      </c>
      <c r="AX75" s="82">
        <f>Tendencial!BB156</f>
        <v>0.39797175855918726</v>
      </c>
      <c r="AY75" s="82">
        <f>Tendencial!BC156</f>
        <v>0.40472057819084878</v>
      </c>
      <c r="AZ75" s="82">
        <f>Tendencial!BD156</f>
        <v>0.4115350142096868</v>
      </c>
      <c r="BA75" s="82">
        <f>Tendencial!BE156</f>
        <v>0.41837824224718523</v>
      </c>
      <c r="BB75" s="82">
        <f>Tendencial!BF156</f>
        <v>0.42521687744617587</v>
      </c>
      <c r="BC75" s="82">
        <f>Tendencial!BG156</f>
        <v>0.43207389246963934</v>
      </c>
      <c r="BD75" s="82">
        <f>Tendencial!BH156</f>
        <v>0.43895889293993379</v>
      </c>
      <c r="BE75" s="82">
        <f>Tendencial!BI156</f>
        <v>0.44587302439938631</v>
      </c>
      <c r="BF75" s="82">
        <f>Tendencial!BJ156</f>
        <v>0.45279568554072197</v>
      </c>
      <c r="BG75" s="82">
        <f>Tendencial!BK156</f>
        <v>0.45972403741408635</v>
      </c>
      <c r="BH75" s="82">
        <f>Tendencial!BL156</f>
        <v>0.46664760050298321</v>
      </c>
      <c r="BI75" s="82">
        <f>Tendencial!BM156</f>
        <v>0.47357986243178296</v>
      </c>
      <c r="BJ75" s="82">
        <f>Tendencial!BN156</f>
        <v>0.48051615245046136</v>
      </c>
      <c r="BK75" s="82">
        <f>Tendencial!BO156</f>
        <v>0.48745137401845479</v>
      </c>
    </row>
    <row r="76" spans="1:63" x14ac:dyDescent="0.3">
      <c r="A76" s="386"/>
      <c r="B76" t="s">
        <v>395</v>
      </c>
      <c r="C76" s="103"/>
      <c r="D76" s="103"/>
      <c r="E76" s="103"/>
      <c r="F76" s="103"/>
      <c r="G76" s="103"/>
      <c r="H76" s="359"/>
      <c r="I76" s="359"/>
      <c r="J76" s="359"/>
      <c r="K76" s="82">
        <f>Tendencial!O157</f>
        <v>4.5782228497500002E-3</v>
      </c>
      <c r="L76" s="82">
        <f>Tendencial!P157</f>
        <v>1.83901200912E-3</v>
      </c>
      <c r="M76" s="82">
        <f>Tendencial!Q157</f>
        <v>1.9353822414299999E-3</v>
      </c>
      <c r="N76" s="82">
        <f>Tendencial!R157</f>
        <v>4.0226835042900004E-3</v>
      </c>
      <c r="O76" s="82">
        <f>Tendencial!S157</f>
        <v>4.0029408953763147E-3</v>
      </c>
      <c r="P76" s="82">
        <f>Tendencial!T157</f>
        <v>3.8056744086987435E-3</v>
      </c>
      <c r="Q76" s="82">
        <f>Tendencial!U157</f>
        <v>4.4854855005675362E-3</v>
      </c>
      <c r="R76" s="82">
        <f>Tendencial!V157</f>
        <v>4.3740583840202688E-3</v>
      </c>
      <c r="S76" s="82">
        <f>Tendencial!W157</f>
        <v>5.1477137832883439E-3</v>
      </c>
      <c r="T76" s="82">
        <f>Tendencial!X157</f>
        <v>5.4377728313434329E-3</v>
      </c>
      <c r="U76" s="82">
        <f>Tendencial!Y157</f>
        <v>5.7571744392741521E-3</v>
      </c>
      <c r="V76" s="82">
        <f>Tendencial!Z157</f>
        <v>6.0330377329810411E-3</v>
      </c>
      <c r="W76" s="82">
        <f>Tendencial!AA157</f>
        <v>6.392300531200921E-3</v>
      </c>
      <c r="X76" s="82">
        <f>Tendencial!AB157</f>
        <v>5.9485286303006726E-3</v>
      </c>
      <c r="Y76" s="82">
        <f>Tendencial!AC157</f>
        <v>6.1758059284482145E-3</v>
      </c>
      <c r="Z76" s="82">
        <f>Tendencial!AD157</f>
        <v>6.490119439948411E-3</v>
      </c>
      <c r="AA76" s="82">
        <f>Tendencial!AE157</f>
        <v>6.6836545585732257E-3</v>
      </c>
      <c r="AB76" s="82">
        <f>Tendencial!AF157</f>
        <v>6.8663108153792602E-3</v>
      </c>
      <c r="AC76" s="82">
        <f>Tendencial!AG157</f>
        <v>7.0417587296776954E-3</v>
      </c>
      <c r="AD76" s="82">
        <f>Tendencial!AH157</f>
        <v>7.1755310536532656E-3</v>
      </c>
      <c r="AE76" s="82">
        <f>Tendencial!AI157</f>
        <v>7.2755329066779423E-3</v>
      </c>
      <c r="AF76" s="82">
        <f>Tendencial!AJ157</f>
        <v>7.4914071352565354E-3</v>
      </c>
      <c r="AG76" s="82">
        <f>Tendencial!AK157</f>
        <v>7.6855409909604286E-3</v>
      </c>
      <c r="AH76" s="82">
        <f>Tendencial!AL157</f>
        <v>7.8655966037490619E-3</v>
      </c>
      <c r="AI76" s="82">
        <f>Tendencial!AM157</f>
        <v>8.0393830671640232E-3</v>
      </c>
      <c r="AJ76" s="82">
        <f>Tendencial!AN157</f>
        <v>8.1740976653173637E-3</v>
      </c>
      <c r="AK76" s="82">
        <f>Tendencial!AO157</f>
        <v>8.3463177215002057E-3</v>
      </c>
      <c r="AL76" s="82">
        <f>Tendencial!AP157</f>
        <v>8.4978339578101053E-3</v>
      </c>
      <c r="AM76" s="82">
        <f>Tendencial!AQ157</f>
        <v>8.6993959522368956E-3</v>
      </c>
      <c r="AN76" s="82">
        <f>Tendencial!AR157</f>
        <v>8.862744315173544E-3</v>
      </c>
      <c r="AO76" s="82">
        <f>Tendencial!AS157</f>
        <v>9.0210508004598799E-3</v>
      </c>
      <c r="AP76" s="82">
        <f>Tendencial!AT157</f>
        <v>9.1843438822885211E-3</v>
      </c>
      <c r="AQ76" s="82">
        <f>Tendencial!AU157</f>
        <v>9.348862764646226E-3</v>
      </c>
      <c r="AR76" s="82">
        <f>Tendencial!AV157</f>
        <v>9.5365562288554032E-3</v>
      </c>
      <c r="AS76" s="82">
        <f>Tendencial!AW157</f>
        <v>9.7085327487187126E-3</v>
      </c>
      <c r="AT76" s="82">
        <f>Tendencial!AX157</f>
        <v>9.8812880088798294E-3</v>
      </c>
      <c r="AU76" s="82">
        <f>Tendencial!AY157</f>
        <v>1.0058563716856041E-2</v>
      </c>
      <c r="AV76" s="82">
        <f>Tendencial!AZ157</f>
        <v>1.0237016406878073E-2</v>
      </c>
      <c r="AW76" s="82">
        <f>Tendencial!BA157</f>
        <v>1.0420424980411729E-2</v>
      </c>
      <c r="AX76" s="82">
        <f>Tendencial!BB157</f>
        <v>1.0598242450958173E-2</v>
      </c>
      <c r="AY76" s="82">
        <f>Tendencial!BC157</f>
        <v>1.0777967833917722E-2</v>
      </c>
      <c r="AZ76" s="82">
        <f>Tendencial!BD157</f>
        <v>1.0959440623232361E-2</v>
      </c>
      <c r="BA76" s="82">
        <f>Tendencial!BE157</f>
        <v>1.1141680162417695E-2</v>
      </c>
      <c r="BB76" s="82">
        <f>Tendencial!BF157</f>
        <v>1.1323797391376242E-2</v>
      </c>
      <c r="BC76" s="82">
        <f>Tendencial!BG157</f>
        <v>1.1506404086815213E-2</v>
      </c>
      <c r="BD76" s="82">
        <f>Tendencial!BH157</f>
        <v>1.1689756052601221E-2</v>
      </c>
      <c r="BE76" s="82">
        <f>Tendencial!BI157</f>
        <v>1.1873883795259063E-2</v>
      </c>
      <c r="BF76" s="82">
        <f>Tendencial!BJ157</f>
        <v>1.2058238688800562E-2</v>
      </c>
      <c r="BG76" s="82">
        <f>Tendencial!BK157</f>
        <v>1.224274513017546E-2</v>
      </c>
      <c r="BH76" s="82">
        <f>Tendencial!BL157</f>
        <v>1.2427124043157349E-2</v>
      </c>
      <c r="BI76" s="82">
        <f>Tendencial!BM157</f>
        <v>1.2611734611809144E-2</v>
      </c>
      <c r="BJ76" s="82">
        <f>Tendencial!BN157</f>
        <v>1.2796452451070551E-2</v>
      </c>
      <c r="BK76" s="82">
        <f>Tendencial!BO157</f>
        <v>1.2981141836806894E-2</v>
      </c>
    </row>
    <row r="77" spans="1:63" ht="25.8" x14ac:dyDescent="0.3">
      <c r="A77" s="386"/>
      <c r="B77" t="s">
        <v>396</v>
      </c>
      <c r="C77" s="104"/>
      <c r="D77" s="103"/>
      <c r="E77" s="103"/>
      <c r="F77" s="103"/>
      <c r="G77" s="103"/>
      <c r="H77" s="359"/>
      <c r="I77" s="359"/>
      <c r="J77" s="359"/>
      <c r="K77" s="82">
        <f>Tendencial!O158</f>
        <v>3.8965876210799999E-3</v>
      </c>
      <c r="L77" s="82">
        <f>Tendencial!P158</f>
        <v>5.9730357952980005E-2</v>
      </c>
      <c r="M77" s="82">
        <f>Tendencial!Q158</f>
        <v>3.4368561859499998E-2</v>
      </c>
      <c r="N77" s="82">
        <f>Tendencial!R158</f>
        <v>2.1661270735499998E-2</v>
      </c>
      <c r="O77" s="82">
        <f>Tendencial!S158</f>
        <v>2.1554961105063407E-2</v>
      </c>
      <c r="P77" s="82">
        <f>Tendencial!T158</f>
        <v>2.0492724225028781E-2</v>
      </c>
      <c r="Q77" s="82">
        <f>Tendencial!U158</f>
        <v>2.4153358250614352E-2</v>
      </c>
      <c r="R77" s="82">
        <f>Tendencial!V158</f>
        <v>2.3553347601943529E-2</v>
      </c>
      <c r="S77" s="82">
        <f>Tendencial!W158</f>
        <v>2.7719312695059884E-2</v>
      </c>
      <c r="T77" s="82">
        <f>Tendencial!X158</f>
        <v>2.7691593382364824E-2</v>
      </c>
      <c r="U77" s="82">
        <f>Tendencial!Y158</f>
        <v>2.766390178898246E-2</v>
      </c>
      <c r="V77" s="82">
        <f>Tendencial!Z158</f>
        <v>2.7636237887193479E-2</v>
      </c>
      <c r="W77" s="82">
        <f>Tendencial!AA158</f>
        <v>2.7608601649306286E-2</v>
      </c>
      <c r="X77" s="82">
        <f>Tendencial!AB158</f>
        <v>2.7580993047656981E-2</v>
      </c>
      <c r="Y77" s="82">
        <f>Tendencial!AC158</f>
        <v>2.7553412054609323E-2</v>
      </c>
      <c r="Z77" s="82">
        <f>Tendencial!AD158</f>
        <v>2.7525858642554715E-2</v>
      </c>
      <c r="AA77" s="82">
        <f>Tendencial!AE158</f>
        <v>2.7498332783912161E-2</v>
      </c>
      <c r="AB77" s="82">
        <f>Tendencial!AF158</f>
        <v>2.7470834451128249E-2</v>
      </c>
      <c r="AC77" s="82">
        <f>Tendencial!AG158</f>
        <v>2.7443363616677121E-2</v>
      </c>
      <c r="AD77" s="82">
        <f>Tendencial!AH158</f>
        <v>2.7415920253060444E-2</v>
      </c>
      <c r="AE77" s="82">
        <f>Tendencial!AI158</f>
        <v>2.7388504332807383E-2</v>
      </c>
      <c r="AF77" s="82">
        <f>Tendencial!AJ158</f>
        <v>2.7361115828474575E-2</v>
      </c>
      <c r="AG77" s="82">
        <f>Tendencial!AK158</f>
        <v>2.73337547126461E-2</v>
      </c>
      <c r="AH77" s="82">
        <f>Tendencial!AL158</f>
        <v>2.7306420957933453E-2</v>
      </c>
      <c r="AI77" s="82">
        <f>Tendencial!AM158</f>
        <v>2.727911453697552E-2</v>
      </c>
      <c r="AJ77" s="82">
        <f>Tendencial!AN158</f>
        <v>2.7251835422438545E-2</v>
      </c>
      <c r="AK77" s="82">
        <f>Tendencial!AO158</f>
        <v>2.7224583587016106E-2</v>
      </c>
      <c r="AL77" s="82">
        <f>Tendencial!AP158</f>
        <v>2.7197359003429091E-2</v>
      </c>
      <c r="AM77" s="82">
        <f>Tendencial!AQ158</f>
        <v>2.717016164442566E-2</v>
      </c>
      <c r="AN77" s="82">
        <f>Tendencial!AR158</f>
        <v>2.7142991482781233E-2</v>
      </c>
      <c r="AO77" s="82">
        <f>Tendencial!AS158</f>
        <v>2.7115848491298451E-2</v>
      </c>
      <c r="AP77" s="82">
        <f>Tendencial!AT158</f>
        <v>2.7088732642807152E-2</v>
      </c>
      <c r="AQ77" s="82">
        <f>Tendencial!AU158</f>
        <v>2.7061643910164346E-2</v>
      </c>
      <c r="AR77" s="82">
        <f>Tendencial!AV158</f>
        <v>2.7034582266254183E-2</v>
      </c>
      <c r="AS77" s="82">
        <f>Tendencial!AW158</f>
        <v>2.7007547683987929E-2</v>
      </c>
      <c r="AT77" s="82">
        <f>Tendencial!AX158</f>
        <v>2.6980540136303941E-2</v>
      </c>
      <c r="AU77" s="82">
        <f>Tendencial!AY158</f>
        <v>2.6953559596167638E-2</v>
      </c>
      <c r="AV77" s="82">
        <f>Tendencial!AZ158</f>
        <v>2.692660603657147E-2</v>
      </c>
      <c r="AW77" s="82">
        <f>Tendencial!BA158</f>
        <v>2.6899679430534899E-2</v>
      </c>
      <c r="AX77" s="82">
        <f>Tendencial!BB158</f>
        <v>2.6872779751104362E-2</v>
      </c>
      <c r="AY77" s="82">
        <f>Tendencial!BC158</f>
        <v>2.6845906971353257E-2</v>
      </c>
      <c r="AZ77" s="82">
        <f>Tendencial!BD158</f>
        <v>2.6819061064381904E-2</v>
      </c>
      <c r="BA77" s="82">
        <f>Tendencial!BE158</f>
        <v>2.6792242003317521E-2</v>
      </c>
      <c r="BB77" s="82">
        <f>Tendencial!BF158</f>
        <v>2.6765449761314203E-2</v>
      </c>
      <c r="BC77" s="82">
        <f>Tendencial!BG158</f>
        <v>2.673868431155289E-2</v>
      </c>
      <c r="BD77" s="82">
        <f>Tendencial!BH158</f>
        <v>2.6711945627241336E-2</v>
      </c>
      <c r="BE77" s="82">
        <f>Tendencial!BI158</f>
        <v>2.6685233681614094E-2</v>
      </c>
      <c r="BF77" s="82">
        <f>Tendencial!BJ158</f>
        <v>2.665854844793248E-2</v>
      </c>
      <c r="BG77" s="82">
        <f>Tendencial!BK158</f>
        <v>2.6631889899484548E-2</v>
      </c>
      <c r="BH77" s="82">
        <f>Tendencial!BL158</f>
        <v>2.6605258009585065E-2</v>
      </c>
      <c r="BI77" s="82">
        <f>Tendencial!BM158</f>
        <v>2.657865275157548E-2</v>
      </c>
      <c r="BJ77" s="82">
        <f>Tendencial!BN158</f>
        <v>2.6552074098823906E-2</v>
      </c>
      <c r="BK77" s="82">
        <f>Tendencial!BO158</f>
        <v>2.6525522024725082E-2</v>
      </c>
    </row>
    <row r="78" spans="1:63" x14ac:dyDescent="0.3">
      <c r="A78" s="386"/>
      <c r="B78" t="s">
        <v>397</v>
      </c>
      <c r="C78" s="103"/>
      <c r="D78" s="103"/>
      <c r="E78" s="103"/>
      <c r="F78" s="103"/>
      <c r="G78" s="103"/>
      <c r="H78" s="359"/>
      <c r="I78" s="359"/>
      <c r="J78" s="359"/>
      <c r="K78" s="82">
        <f>Tendencial!O159</f>
        <v>4.4549999999999999E-5</v>
      </c>
      <c r="L78" s="82">
        <f>Tendencial!P159</f>
        <v>5.1915600000000004E-3</v>
      </c>
      <c r="M78" s="82">
        <f>Tendencial!Q159</f>
        <v>9.9000000000000001E-6</v>
      </c>
      <c r="N78" s="82">
        <f>Tendencial!R159</f>
        <v>4.6064700000000005E-3</v>
      </c>
      <c r="O78" s="82">
        <f>Tendencial!S159</f>
        <v>4.5838622717047873E-3</v>
      </c>
      <c r="P78" s="82">
        <f>Tendencial!T159</f>
        <v>4.3579677533026953E-3</v>
      </c>
      <c r="Q78" s="82">
        <f>Tendencial!U159</f>
        <v>5.1364355092226458E-3</v>
      </c>
      <c r="R78" s="82">
        <f>Tendencial!V159</f>
        <v>5.0088376832902563E-3</v>
      </c>
      <c r="S78" s="82">
        <f>Tendencial!W159</f>
        <v>5.8947687746291012E-3</v>
      </c>
      <c r="T78" s="82">
        <f>Tendencial!X159</f>
        <v>6.2269222492112768E-3</v>
      </c>
      <c r="U78" s="82">
        <f>Tendencial!Y159</f>
        <v>6.5926765829329168E-3</v>
      </c>
      <c r="V78" s="82">
        <f>Tendencial!Z159</f>
        <v>6.9085741635421727E-3</v>
      </c>
      <c r="W78" s="82">
        <f>Tendencial!AA159</f>
        <v>7.319974488810374E-3</v>
      </c>
      <c r="X78" s="82">
        <f>Tendencial!AB159</f>
        <v>6.8118007917845197E-3</v>
      </c>
      <c r="Y78" s="82">
        <f>Tendencial!AC159</f>
        <v>7.0720614000280438E-3</v>
      </c>
      <c r="Z78" s="82">
        <f>Tendencial!AD159</f>
        <v>7.4319892342154022E-3</v>
      </c>
      <c r="AA78" s="82">
        <f>Tendencial!AE159</f>
        <v>7.6536108748294085E-3</v>
      </c>
      <c r="AB78" s="82">
        <f>Tendencial!AF159</f>
        <v>7.8627748735362376E-3</v>
      </c>
      <c r="AC78" s="82">
        <f>Tendencial!AG159</f>
        <v>8.0636844287911846E-3</v>
      </c>
      <c r="AD78" s="82">
        <f>Tendencial!AH159</f>
        <v>8.216870280118185E-3</v>
      </c>
      <c r="AE78" s="82">
        <f>Tendencial!AI159</f>
        <v>8.3313847666323035E-3</v>
      </c>
      <c r="AF78" s="82">
        <f>Tendencial!AJ159</f>
        <v>8.5785874502786637E-3</v>
      </c>
      <c r="AG78" s="82">
        <f>Tendencial!AK159</f>
        <v>8.8008947188794907E-3</v>
      </c>
      <c r="AH78" s="82">
        <f>Tendencial!AL159</f>
        <v>9.0070806586278994E-3</v>
      </c>
      <c r="AI78" s="82">
        <f>Tendencial!AM159</f>
        <v>9.2060876471899804E-3</v>
      </c>
      <c r="AJ78" s="82">
        <f>Tendencial!AN159</f>
        <v>9.3603525189586943E-3</v>
      </c>
      <c r="AK78" s="82">
        <f>Tendencial!AO159</f>
        <v>9.557565777560454E-3</v>
      </c>
      <c r="AL78" s="82">
        <f>Tendencial!AP159</f>
        <v>9.7310706024690326E-3</v>
      </c>
      <c r="AM78" s="82">
        <f>Tendencial!AQ159</f>
        <v>9.9618840083651183E-3</v>
      </c>
      <c r="AN78" s="82">
        <f>Tendencial!AR159</f>
        <v>1.014893808125311E-2</v>
      </c>
      <c r="AO78" s="82">
        <f>Tendencial!AS159</f>
        <v>1.0330218580824913E-2</v>
      </c>
      <c r="AP78" s="82">
        <f>Tendencial!AT159</f>
        <v>1.0517209350008964E-2</v>
      </c>
      <c r="AQ78" s="82">
        <f>Tendencial!AU159</f>
        <v>1.070560381236378E-2</v>
      </c>
      <c r="AR78" s="82">
        <f>Tendencial!AV159</f>
        <v>1.0920536036376331E-2</v>
      </c>
      <c r="AS78" s="82">
        <f>Tendencial!AW159</f>
        <v>1.1117470415780003E-2</v>
      </c>
      <c r="AT78" s="82">
        <f>Tendencial!AX159</f>
        <v>1.1315296549112567E-2</v>
      </c>
      <c r="AU78" s="82">
        <f>Tendencial!AY159</f>
        <v>1.1518299154127429E-2</v>
      </c>
      <c r="AV78" s="82">
        <f>Tendencial!AZ159</f>
        <v>1.1722649549113544E-2</v>
      </c>
      <c r="AW78" s="82">
        <f>Tendencial!BA159</f>
        <v>1.1932675043494241E-2</v>
      </c>
      <c r="AX78" s="82">
        <f>Tendencial!BB159</f>
        <v>1.2136298033638639E-2</v>
      </c>
      <c r="AY78" s="82">
        <f>Tendencial!BC159</f>
        <v>1.2342105819401242E-2</v>
      </c>
      <c r="AZ78" s="82">
        <f>Tendencial!BD159</f>
        <v>1.2549914601499734E-2</v>
      </c>
      <c r="BA78" s="82">
        <f>Tendencial!BE159</f>
        <v>1.2758601407005511E-2</v>
      </c>
      <c r="BB78" s="82">
        <f>Tendencial!BF159</f>
        <v>1.2967148152178481E-2</v>
      </c>
      <c r="BC78" s="82">
        <f>Tendencial!BG159</f>
        <v>1.317625539699197E-2</v>
      </c>
      <c r="BD78" s="82">
        <f>Tendencial!BH159</f>
        <v>1.3386216068502304E-2</v>
      </c>
      <c r="BE78" s="82">
        <f>Tendencial!BI159</f>
        <v>1.3597065100452378E-2</v>
      </c>
      <c r="BF78" s="82">
        <f>Tendencial!BJ159</f>
        <v>1.3808174248250472E-2</v>
      </c>
      <c r="BG78" s="82">
        <f>Tendencial!BK159</f>
        <v>1.4019456937056047E-2</v>
      </c>
      <c r="BH78" s="82">
        <f>Tendencial!BL159</f>
        <v>1.4230593590083288E-2</v>
      </c>
      <c r="BI78" s="82">
        <f>Tendencial!BM159</f>
        <v>1.4441995517495802E-2</v>
      </c>
      <c r="BJ78" s="82">
        <f>Tendencial!BN159</f>
        <v>1.4653520283019873E-2</v>
      </c>
      <c r="BK78" s="82">
        <f>Tendencial!BO159</f>
        <v>1.4865012465739591E-2</v>
      </c>
    </row>
    <row r="79" spans="1:63" x14ac:dyDescent="0.3">
      <c r="A79" s="386"/>
      <c r="B79" t="s">
        <v>398</v>
      </c>
      <c r="C79" s="103"/>
      <c r="D79" s="103"/>
      <c r="E79" s="103"/>
      <c r="F79" s="103"/>
      <c r="G79" s="103"/>
      <c r="H79" s="359"/>
      <c r="I79" s="359"/>
      <c r="J79" s="359"/>
      <c r="K79" s="82">
        <f>Tendencial!O160</f>
        <v>0.28023870444768001</v>
      </c>
      <c r="L79" s="82">
        <f>Tendencial!P160</f>
        <v>0.18561949282305001</v>
      </c>
      <c r="M79" s="82">
        <f>Tendencial!Q160</f>
        <v>0.16102851381539998</v>
      </c>
      <c r="N79" s="82">
        <f>Tendencial!R160</f>
        <v>0.11199071555099999</v>
      </c>
      <c r="O79" s="82">
        <f>Tendencial!S160</f>
        <v>0.11144108521176765</v>
      </c>
      <c r="P79" s="82">
        <f>Tendencial!T160</f>
        <v>0.10594922512043983</v>
      </c>
      <c r="Q79" s="82">
        <f>Tendencial!U160</f>
        <v>0.12487503187026268</v>
      </c>
      <c r="R79" s="82">
        <f>Tendencial!V160</f>
        <v>0.12177292291722049</v>
      </c>
      <c r="S79" s="82">
        <f>Tendencial!W160</f>
        <v>0.14331133668045254</v>
      </c>
      <c r="T79" s="82">
        <f>Tendencial!X160</f>
        <v>0.15138652338333103</v>
      </c>
      <c r="U79" s="82">
        <f>Tendencial!Y160</f>
        <v>0.16027860116726658</v>
      </c>
      <c r="V79" s="82">
        <f>Tendencial!Z160</f>
        <v>0.16795858086826543</v>
      </c>
      <c r="W79" s="82">
        <f>Tendencial!AA160</f>
        <v>0.17796038632986616</v>
      </c>
      <c r="X79" s="82">
        <f>Tendencial!AB160</f>
        <v>0.16560586411347869</v>
      </c>
      <c r="Y79" s="82">
        <f>Tendencial!AC160</f>
        <v>0.17193321927848154</v>
      </c>
      <c r="Z79" s="82">
        <f>Tendencial!AD160</f>
        <v>0.18068364546108207</v>
      </c>
      <c r="AA79" s="82">
        <f>Tendencial!AE160</f>
        <v>0.18607162500158686</v>
      </c>
      <c r="AB79" s="82">
        <f>Tendencial!AF160</f>
        <v>0.19115673917419324</v>
      </c>
      <c r="AC79" s="82">
        <f>Tendencial!AG160</f>
        <v>0.19604117451275715</v>
      </c>
      <c r="AD79" s="82">
        <f>Tendencial!AH160</f>
        <v>0.19976536963448807</v>
      </c>
      <c r="AE79" s="82">
        <f>Tendencial!AI160</f>
        <v>0.20254940150393938</v>
      </c>
      <c r="AF79" s="82">
        <f>Tendencial!AJ160</f>
        <v>0.20855929746064447</v>
      </c>
      <c r="AG79" s="82">
        <f>Tendencial!AK160</f>
        <v>0.21396394572336949</v>
      </c>
      <c r="AH79" s="82">
        <f>Tendencial!AL160</f>
        <v>0.21897665847933656</v>
      </c>
      <c r="AI79" s="82">
        <f>Tendencial!AM160</f>
        <v>0.22381483935291593</v>
      </c>
      <c r="AJ79" s="82">
        <f>Tendencial!AN160</f>
        <v>0.22756526720195469</v>
      </c>
      <c r="AK79" s="82">
        <f>Tendencial!AO160</f>
        <v>0.23235983960706216</v>
      </c>
      <c r="AL79" s="82">
        <f>Tendencial!AP160</f>
        <v>0.23657802174936696</v>
      </c>
      <c r="AM79" s="82">
        <f>Tendencial!AQ160</f>
        <v>0.24218946792942805</v>
      </c>
      <c r="AN79" s="82">
        <f>Tendencial!AR160</f>
        <v>0.24673705414391661</v>
      </c>
      <c r="AO79" s="82">
        <f>Tendencial!AS160</f>
        <v>0.25114427547879753</v>
      </c>
      <c r="AP79" s="82">
        <f>Tendencial!AT160</f>
        <v>0.25569032267813974</v>
      </c>
      <c r="AQ79" s="82">
        <f>Tendencial!AU160</f>
        <v>0.26027049592250295</v>
      </c>
      <c r="AR79" s="82">
        <f>Tendencial!AV160</f>
        <v>0.26549584495595663</v>
      </c>
      <c r="AS79" s="82">
        <f>Tendencial!AW160</f>
        <v>0.2702836373579498</v>
      </c>
      <c r="AT79" s="82">
        <f>Tendencial!AX160</f>
        <v>0.27509310973627882</v>
      </c>
      <c r="AU79" s="82">
        <f>Tendencial!AY160</f>
        <v>0.28002843049042059</v>
      </c>
      <c r="AV79" s="82">
        <f>Tendencial!AZ160</f>
        <v>0.28499651819263605</v>
      </c>
      <c r="AW79" s="82">
        <f>Tendencial!BA160</f>
        <v>0.29010257671459466</v>
      </c>
      <c r="AX79" s="82">
        <f>Tendencial!BB160</f>
        <v>0.29505298003186481</v>
      </c>
      <c r="AY79" s="82">
        <f>Tendencial!BC160</f>
        <v>0.30005649925450617</v>
      </c>
      <c r="AZ79" s="82">
        <f>Tendencial!BD160</f>
        <v>0.30510866592551283</v>
      </c>
      <c r="BA79" s="82">
        <f>Tendencial!BE160</f>
        <v>0.31018217876172893</v>
      </c>
      <c r="BB79" s="82">
        <f>Tendencial!BF160</f>
        <v>0.31525228650534887</v>
      </c>
      <c r="BC79" s="82">
        <f>Tendencial!BG160</f>
        <v>0.32033602089926888</v>
      </c>
      <c r="BD79" s="82">
        <f>Tendencial!BH160</f>
        <v>0.32544050347269515</v>
      </c>
      <c r="BE79" s="82">
        <f>Tendencial!BI160</f>
        <v>0.33056658352126256</v>
      </c>
      <c r="BF79" s="82">
        <f>Tendencial!BJ160</f>
        <v>0.33569898740564047</v>
      </c>
      <c r="BG79" s="82">
        <f>Tendencial!BK160</f>
        <v>0.34083561035181742</v>
      </c>
      <c r="BH79" s="82">
        <f>Tendencial!BL160</f>
        <v>0.34596868293267952</v>
      </c>
      <c r="BI79" s="82">
        <f>Tendencial!BM160</f>
        <v>0.35110820476171306</v>
      </c>
      <c r="BJ79" s="82">
        <f>Tendencial!BN160</f>
        <v>0.35625071298336614</v>
      </c>
      <c r="BK79" s="82">
        <f>Tendencial!BO160</f>
        <v>0.36139242906449204</v>
      </c>
    </row>
    <row r="80" spans="1:63" x14ac:dyDescent="0.3">
      <c r="A80" s="386"/>
      <c r="B80" t="s">
        <v>399</v>
      </c>
      <c r="C80" s="276"/>
      <c r="D80" s="276"/>
      <c r="E80" s="276"/>
      <c r="F80" s="276"/>
      <c r="G80" s="276"/>
      <c r="H80" s="128"/>
      <c r="I80" s="359"/>
      <c r="J80" s="359"/>
      <c r="K80" s="82">
        <f>Tendencial!O161</f>
        <v>8.6801219999999999E-7</v>
      </c>
      <c r="L80" s="82">
        <f>Tendencial!P161</f>
        <v>4.6549205999999994E-6</v>
      </c>
      <c r="M80" s="82">
        <f>Tendencial!Q161</f>
        <v>4.9500000000000003E-7</v>
      </c>
      <c r="N80" s="82">
        <f>Tendencial!R161</f>
        <v>8.9170784999999992E-6</v>
      </c>
      <c r="O80" s="82">
        <f>Tendencial!S161</f>
        <v>8.873315078569905E-6</v>
      </c>
      <c r="P80" s="82">
        <f>Tendencial!T161</f>
        <v>8.4360346548808007E-6</v>
      </c>
      <c r="Q80" s="82">
        <f>Tendencial!U161</f>
        <v>9.942971222199602E-6</v>
      </c>
      <c r="R80" s="82">
        <f>Tendencial!V161</f>
        <v>9.695970844411739E-6</v>
      </c>
      <c r="S80" s="82">
        <f>Tendencial!W161</f>
        <v>1.1410931994068451E-5</v>
      </c>
      <c r="T80" s="82">
        <f>Tendencial!X161</f>
        <v>1.2053905595741101E-5</v>
      </c>
      <c r="U80" s="82">
        <f>Tendencial!Y161</f>
        <v>1.2761922820538193E-5</v>
      </c>
      <c r="V80" s="82">
        <f>Tendencial!Z161</f>
        <v>1.3373428707747445E-5</v>
      </c>
      <c r="W80" s="82">
        <f>Tendencial!AA161</f>
        <v>1.4169806193184686E-5</v>
      </c>
      <c r="X80" s="82">
        <f>Tendencial!AB161</f>
        <v>1.3186097464371786E-5</v>
      </c>
      <c r="Y80" s="82">
        <f>Tendencial!AC161</f>
        <v>1.3689902823826043E-5</v>
      </c>
      <c r="Z80" s="82">
        <f>Tendencial!AD161</f>
        <v>1.4386641270355306E-5</v>
      </c>
      <c r="AA80" s="82">
        <f>Tendencial!AE161</f>
        <v>1.4815650374214419E-5</v>
      </c>
      <c r="AB80" s="82">
        <f>Tendencial!AF161</f>
        <v>1.5220544315962154E-5</v>
      </c>
      <c r="AC80" s="82">
        <f>Tendencial!AG161</f>
        <v>1.5609459532083924E-5</v>
      </c>
      <c r="AD80" s="82">
        <f>Tendencial!AH161</f>
        <v>1.5905992508825808E-5</v>
      </c>
      <c r="AE80" s="82">
        <f>Tendencial!AI161</f>
        <v>1.6127666516392032E-5</v>
      </c>
      <c r="AF80" s="82">
        <f>Tendencial!AJ161</f>
        <v>1.6606194702939487E-5</v>
      </c>
      <c r="AG80" s="82">
        <f>Tendencial!AK161</f>
        <v>1.7036531026682866E-5</v>
      </c>
      <c r="AH80" s="82">
        <f>Tendencial!AL161</f>
        <v>1.7435660123438695E-5</v>
      </c>
      <c r="AI80" s="82">
        <f>Tendencial!AM161</f>
        <v>1.7820892403049043E-5</v>
      </c>
      <c r="AJ80" s="82">
        <f>Tendencial!AN161</f>
        <v>1.8119514118018218E-5</v>
      </c>
      <c r="AK80" s="82">
        <f>Tendencial!AO161</f>
        <v>1.8501274144284033E-5</v>
      </c>
      <c r="AL80" s="82">
        <f>Tendencial!AP161</f>
        <v>1.8837140033747886E-5</v>
      </c>
      <c r="AM80" s="82">
        <f>Tendencial!AQ161</f>
        <v>1.9283942305167816E-5</v>
      </c>
      <c r="AN80" s="82">
        <f>Tendencial!AR161</f>
        <v>1.9646036457889301E-5</v>
      </c>
      <c r="AO80" s="82">
        <f>Tendencial!AS161</f>
        <v>1.9996954285466813E-5</v>
      </c>
      <c r="AP80" s="82">
        <f>Tendencial!AT161</f>
        <v>2.0358925896611481E-5</v>
      </c>
      <c r="AQ80" s="82">
        <f>Tendencial!AU161</f>
        <v>2.0723614738562732E-5</v>
      </c>
      <c r="AR80" s="82">
        <f>Tendencial!AV161</f>
        <v>2.1139674652922211E-5</v>
      </c>
      <c r="AS80" s="82">
        <f>Tendencial!AW161</f>
        <v>2.1520894832472132E-5</v>
      </c>
      <c r="AT80" s="82">
        <f>Tendencial!AX161</f>
        <v>2.1903841244861213E-5</v>
      </c>
      <c r="AU80" s="82">
        <f>Tendencial!AY161</f>
        <v>2.2296808129400137E-5</v>
      </c>
      <c r="AV80" s="82">
        <f>Tendencial!AZ161</f>
        <v>2.2692384028862674E-5</v>
      </c>
      <c r="AW80" s="82">
        <f>Tendencial!BA161</f>
        <v>2.309894563034797E-5</v>
      </c>
      <c r="AX80" s="82">
        <f>Tendencial!BB161</f>
        <v>2.349311343943439E-5</v>
      </c>
      <c r="AY80" s="82">
        <f>Tendencial!BC161</f>
        <v>2.3891510516058425E-5</v>
      </c>
      <c r="AZ80" s="82">
        <f>Tendencial!BD161</f>
        <v>2.4293781066601824E-5</v>
      </c>
      <c r="BA80" s="82">
        <f>Tendencial!BE161</f>
        <v>2.4697751270816601E-5</v>
      </c>
      <c r="BB80" s="82">
        <f>Tendencial!BF161</f>
        <v>2.5101450350074011E-5</v>
      </c>
      <c r="BC80" s="82">
        <f>Tendencial!BG161</f>
        <v>2.5506234429188951E-5</v>
      </c>
      <c r="BD80" s="82">
        <f>Tendencial!BH161</f>
        <v>2.5912670548336663E-5</v>
      </c>
      <c r="BE80" s="82">
        <f>Tendencial!BI161</f>
        <v>2.6320826331300147E-5</v>
      </c>
      <c r="BF80" s="82">
        <f>Tendencial!BJ161</f>
        <v>2.6729485639400213E-5</v>
      </c>
      <c r="BG80" s="82">
        <f>Tendencial!BK161</f>
        <v>2.7138480883430976E-5</v>
      </c>
      <c r="BH80" s="82">
        <f>Tendencial!BL161</f>
        <v>2.7547193435400526E-5</v>
      </c>
      <c r="BI80" s="82">
        <f>Tendencial!BM161</f>
        <v>2.7956419498261826E-5</v>
      </c>
      <c r="BJ80" s="82">
        <f>Tendencial!BN161</f>
        <v>2.8365883347776149E-5</v>
      </c>
      <c r="BK80" s="82">
        <f>Tendencial!BO161</f>
        <v>2.8775284124389927E-5</v>
      </c>
    </row>
    <row r="81" spans="1:63" x14ac:dyDescent="0.3">
      <c r="A81" s="386"/>
      <c r="B81" t="s">
        <v>400</v>
      </c>
      <c r="C81" s="276"/>
      <c r="D81" s="276"/>
      <c r="E81" s="276"/>
      <c r="F81" s="276"/>
      <c r="G81" s="276"/>
      <c r="H81" s="128"/>
      <c r="I81" s="359"/>
      <c r="J81" s="359"/>
      <c r="K81" s="82">
        <f>Tendencial!O162</f>
        <v>3.0641323775039996E-2</v>
      </c>
      <c r="L81" s="82">
        <f>Tendencial!P162</f>
        <v>5.4142762469399995E-2</v>
      </c>
      <c r="M81" s="82">
        <f>Tendencial!Q162</f>
        <v>6.0311352231899998E-2</v>
      </c>
      <c r="N81" s="82">
        <f>Tendencial!R162</f>
        <v>6.5032651292400004E-2</v>
      </c>
      <c r="O81" s="82">
        <f>Tendencial!S162</f>
        <v>6.4713482707619049E-2</v>
      </c>
      <c r="P81" s="82">
        <f>Tendencial!T162</f>
        <v>6.1524377070524286E-2</v>
      </c>
      <c r="Q81" s="82">
        <f>Tendencial!U162</f>
        <v>7.251453268059431E-2</v>
      </c>
      <c r="R81" s="82">
        <f>Tendencial!V162</f>
        <v>7.0713147906672102E-2</v>
      </c>
      <c r="S81" s="82">
        <f>Tendencial!W162</f>
        <v>8.3220436075733109E-2</v>
      </c>
      <c r="T81" s="82">
        <f>Tendencial!X162</f>
        <v>8.7909671235858258E-2</v>
      </c>
      <c r="U81" s="82">
        <f>Tendencial!Y162</f>
        <v>9.3073272441033472E-2</v>
      </c>
      <c r="V81" s="82">
        <f>Tendencial!Z162</f>
        <v>9.7533012155798682E-2</v>
      </c>
      <c r="W81" s="82">
        <f>Tendencial!AA162</f>
        <v>0.10334102868358391</v>
      </c>
      <c r="X81" s="82">
        <f>Tendencial!AB162</f>
        <v>9.6166797040991625E-2</v>
      </c>
      <c r="Y81" s="82">
        <f>Tendencial!AC162</f>
        <v>9.9841072002306699E-2</v>
      </c>
      <c r="Z81" s="82">
        <f>Tendencial!AD162</f>
        <v>0.10492241657442705</v>
      </c>
      <c r="AA81" s="82">
        <f>Tendencial!AE162</f>
        <v>0.10805119910701715</v>
      </c>
      <c r="AB81" s="82">
        <f>Tendencial!AF162</f>
        <v>0.11100410868654879</v>
      </c>
      <c r="AC81" s="82">
        <f>Tendencial!AG162</f>
        <v>0.11384048470727748</v>
      </c>
      <c r="AD81" s="82">
        <f>Tendencial!AH162</f>
        <v>0.11600311293502633</v>
      </c>
      <c r="AE81" s="82">
        <f>Tendencial!AI162</f>
        <v>0.11761979136110982</v>
      </c>
      <c r="AF81" s="82">
        <f>Tendencial!AJ162</f>
        <v>0.12110971877279798</v>
      </c>
      <c r="AG81" s="82">
        <f>Tendencial!AK162</f>
        <v>0.12424818077921146</v>
      </c>
      <c r="AH81" s="82">
        <f>Tendencial!AL162</f>
        <v>0.12715904708704676</v>
      </c>
      <c r="AI81" s="82">
        <f>Tendencial!AM162</f>
        <v>0.12996856328750145</v>
      </c>
      <c r="AJ81" s="82">
        <f>Tendencial!AN162</f>
        <v>0.13214642477632077</v>
      </c>
      <c r="AK81" s="82">
        <f>Tendencial!AO162</f>
        <v>0.13493061767823614</v>
      </c>
      <c r="AL81" s="82">
        <f>Tendencial!AP162</f>
        <v>0.13738010259311206</v>
      </c>
      <c r="AM81" s="82">
        <f>Tendencial!AQ162</f>
        <v>0.14063865149047844</v>
      </c>
      <c r="AN81" s="82">
        <f>Tendencial!AR162</f>
        <v>0.14327942029933813</v>
      </c>
      <c r="AO81" s="82">
        <f>Tendencial!AS162</f>
        <v>0.14583867967034567</v>
      </c>
      <c r="AP81" s="82">
        <f>Tendencial!AT162</f>
        <v>0.14847855477801902</v>
      </c>
      <c r="AQ81" s="82">
        <f>Tendencial!AU162</f>
        <v>0.15113824677118079</v>
      </c>
      <c r="AR81" s="82">
        <f>Tendencial!AV162</f>
        <v>0.15417259028708521</v>
      </c>
      <c r="AS81" s="82">
        <f>Tendencial!AW162</f>
        <v>0.15695284606281895</v>
      </c>
      <c r="AT81" s="82">
        <f>Tendencial!AX162</f>
        <v>0.15974569133165614</v>
      </c>
      <c r="AU81" s="82">
        <f>Tendencial!AY162</f>
        <v>0.16261161635089655</v>
      </c>
      <c r="AV81" s="82">
        <f>Tendencial!AZ162</f>
        <v>0.16549656903236332</v>
      </c>
      <c r="AW81" s="82">
        <f>Tendencial!BA162</f>
        <v>0.16846164092875551</v>
      </c>
      <c r="AX81" s="82">
        <f>Tendencial!BB162</f>
        <v>0.17133632434429419</v>
      </c>
      <c r="AY81" s="82">
        <f>Tendencial!BC162</f>
        <v>0.17424185199665279</v>
      </c>
      <c r="AZ81" s="82">
        <f>Tendencial!BD162</f>
        <v>0.17717562906710144</v>
      </c>
      <c r="BA81" s="82">
        <f>Tendencial!BE162</f>
        <v>0.18012180178759718</v>
      </c>
      <c r="BB81" s="82">
        <f>Tendencial!BF162</f>
        <v>0.18306599718168393</v>
      </c>
      <c r="BC81" s="82">
        <f>Tendencial!BG162</f>
        <v>0.18601810552813361</v>
      </c>
      <c r="BD81" s="82">
        <f>Tendencial!BH162</f>
        <v>0.18898226227624002</v>
      </c>
      <c r="BE81" s="82">
        <f>Tendencial!BI162</f>
        <v>0.19195896060926926</v>
      </c>
      <c r="BF81" s="82">
        <f>Tendencial!BJ162</f>
        <v>0.19493933117358189</v>
      </c>
      <c r="BG81" s="82">
        <f>Tendencial!BK162</f>
        <v>0.19792215173362324</v>
      </c>
      <c r="BH81" s="82">
        <f>Tendencial!BL162</f>
        <v>0.20090291060785123</v>
      </c>
      <c r="BI81" s="82">
        <f>Tendencial!BM162</f>
        <v>0.20388741453992054</v>
      </c>
      <c r="BJ81" s="82">
        <f>Tendencial!BN162</f>
        <v>0.20687365266065802</v>
      </c>
      <c r="BK81" s="82">
        <f>Tendencial!BO162</f>
        <v>0.20985943078791813</v>
      </c>
    </row>
    <row r="82" spans="1:63" x14ac:dyDescent="0.3">
      <c r="A82" s="386"/>
      <c r="B82" t="s">
        <v>401</v>
      </c>
      <c r="C82" s="277"/>
      <c r="D82" s="277"/>
      <c r="E82" s="277"/>
      <c r="F82" s="277"/>
      <c r="G82" s="277"/>
      <c r="H82" s="356"/>
      <c r="I82" s="356"/>
      <c r="J82" s="356"/>
      <c r="K82" s="82">
        <f>Tendencial!O163</f>
        <v>9.3159000000000002E-3</v>
      </c>
      <c r="L82" s="82">
        <f>Tendencial!P163</f>
        <v>2.4482699999999998E-3</v>
      </c>
      <c r="M82" s="82">
        <f>Tendencial!Q163</f>
        <v>1.0963260000000001E-2</v>
      </c>
      <c r="N82" s="82">
        <f>Tendencial!R163</f>
        <v>1.1109780000000001E-2</v>
      </c>
      <c r="O82" s="82">
        <f>Tendencial!S163</f>
        <v>1.1055255193009053E-2</v>
      </c>
      <c r="P82" s="82">
        <f>Tendencial!T163</f>
        <v>1.0510447910501363E-2</v>
      </c>
      <c r="Q82" s="82">
        <f>Tendencial!U163</f>
        <v>1.2387938810336669E-2</v>
      </c>
      <c r="R82" s="82">
        <f>Tendencial!V163</f>
        <v>1.2080201264105576E-2</v>
      </c>
      <c r="S82" s="82">
        <f>Tendencial!W163</f>
        <v>1.4216869802039064E-2</v>
      </c>
      <c r="T82" s="82">
        <f>Tendencial!X163</f>
        <v>1.5017950028078431E-2</v>
      </c>
      <c r="U82" s="82">
        <f>Tendencial!Y163</f>
        <v>1.5900068045061933E-2</v>
      </c>
      <c r="V82" s="82">
        <f>Tendencial!Z163</f>
        <v>1.6661942674246775E-2</v>
      </c>
      <c r="W82" s="82">
        <f>Tendencial!AA163</f>
        <v>1.7654148659666882E-2</v>
      </c>
      <c r="X82" s="82">
        <f>Tendencial!AB163</f>
        <v>1.6428546848357161E-2</v>
      </c>
      <c r="Y82" s="82">
        <f>Tendencial!AC163</f>
        <v>1.7056237487881949E-2</v>
      </c>
      <c r="Z82" s="82">
        <f>Tendencial!AD163</f>
        <v>1.7924303285270844E-2</v>
      </c>
      <c r="AA82" s="82">
        <f>Tendencial!AE163</f>
        <v>1.8458805337918681E-2</v>
      </c>
      <c r="AB82" s="82">
        <f>Tendencial!AF163</f>
        <v>1.8963262332005942E-2</v>
      </c>
      <c r="AC82" s="82">
        <f>Tendencial!AG163</f>
        <v>1.9447811446356041E-2</v>
      </c>
      <c r="AD82" s="82">
        <f>Tendencial!AH163</f>
        <v>1.9817261612612564E-2</v>
      </c>
      <c r="AE82" s="82">
        <f>Tendencial!AI163</f>
        <v>2.009344505719916E-2</v>
      </c>
      <c r="AF82" s="82">
        <f>Tendencial!AJ163</f>
        <v>2.0689642889969297E-2</v>
      </c>
      <c r="AG82" s="82">
        <f>Tendencial!AK163</f>
        <v>2.1225798524664864E-2</v>
      </c>
      <c r="AH82" s="82">
        <f>Tendencial!AL163</f>
        <v>2.1723073103615355E-2</v>
      </c>
      <c r="AI82" s="82">
        <f>Tendencial!AM163</f>
        <v>2.2203033650712641E-2</v>
      </c>
      <c r="AJ82" s="82">
        <f>Tendencial!AN163</f>
        <v>2.2575086174028459E-2</v>
      </c>
      <c r="AK82" s="82">
        <f>Tendencial!AO163</f>
        <v>2.3050720643839107E-2</v>
      </c>
      <c r="AL82" s="82">
        <f>Tendencial!AP163</f>
        <v>2.3469175650313225E-2</v>
      </c>
      <c r="AM82" s="82">
        <f>Tendencial!AQ163</f>
        <v>2.4025846194256031E-2</v>
      </c>
      <c r="AN82" s="82">
        <f>Tendencial!AR163</f>
        <v>2.447697897008862E-2</v>
      </c>
      <c r="AO82" s="82">
        <f>Tendencial!AS163</f>
        <v>2.4914187172580513E-2</v>
      </c>
      <c r="AP82" s="82">
        <f>Tendencial!AT163</f>
        <v>2.53651672739739E-2</v>
      </c>
      <c r="AQ82" s="82">
        <f>Tendencial!AU163</f>
        <v>2.5819532770760004E-2</v>
      </c>
      <c r="AR82" s="82">
        <f>Tendencial!AV163</f>
        <v>2.6337901439977465E-2</v>
      </c>
      <c r="AS82" s="82">
        <f>Tendencial!AW163</f>
        <v>2.6812863315255352E-2</v>
      </c>
      <c r="AT82" s="82">
        <f>Tendencial!AX163</f>
        <v>2.7289975902458883E-2</v>
      </c>
      <c r="AU82" s="82">
        <f>Tendencial!AY163</f>
        <v>2.7779572986808072E-2</v>
      </c>
      <c r="AV82" s="82">
        <f>Tendencial!AZ163</f>
        <v>2.8272420640479721E-2</v>
      </c>
      <c r="AW82" s="82">
        <f>Tendencial!BA163</f>
        <v>2.8778955370318573E-2</v>
      </c>
      <c r="AX82" s="82">
        <f>Tendencial!BB163</f>
        <v>2.9270048685470181E-2</v>
      </c>
      <c r="AY82" s="82">
        <f>Tendencial!BC163</f>
        <v>2.9766411241203671E-2</v>
      </c>
      <c r="AZ82" s="82">
        <f>Tendencial!BD163</f>
        <v>3.0267599754573386E-2</v>
      </c>
      <c r="BA82" s="82">
        <f>Tendencial!BE163</f>
        <v>3.0770905864907758E-2</v>
      </c>
      <c r="BB82" s="82">
        <f>Tendencial!BF163</f>
        <v>3.1273874180904118E-2</v>
      </c>
      <c r="BC82" s="82">
        <f>Tendencial!BG163</f>
        <v>3.1778194297237015E-2</v>
      </c>
      <c r="BD82" s="82">
        <f>Tendencial!BH163</f>
        <v>3.2284572688745496E-2</v>
      </c>
      <c r="BE82" s="82">
        <f>Tendencial!BI163</f>
        <v>3.2793093607839351E-2</v>
      </c>
      <c r="BF82" s="82">
        <f>Tendencial!BJ163</f>
        <v>3.3302241868443307E-2</v>
      </c>
      <c r="BG82" s="82">
        <f>Tendencial!BK163</f>
        <v>3.3811808671318049E-2</v>
      </c>
      <c r="BH82" s="82">
        <f>Tendencial!BL163</f>
        <v>3.4321023268410612E-2</v>
      </c>
      <c r="BI82" s="82">
        <f>Tendencial!BM163</f>
        <v>3.483087764825657E-2</v>
      </c>
      <c r="BJ82" s="82">
        <f>Tendencial!BN163</f>
        <v>3.5341028286277443E-2</v>
      </c>
      <c r="BK82" s="82">
        <f>Tendencial!BO163</f>
        <v>3.5851100341828847E-2</v>
      </c>
    </row>
    <row r="83" spans="1:63" x14ac:dyDescent="0.3">
      <c r="A83" s="386"/>
      <c r="B83" t="s">
        <v>402</v>
      </c>
      <c r="C83" s="277"/>
      <c r="D83" s="277"/>
      <c r="E83" s="277"/>
      <c r="F83" s="277"/>
      <c r="G83" s="277"/>
      <c r="H83" s="356"/>
      <c r="I83" s="356"/>
      <c r="J83" s="356"/>
      <c r="K83" s="82">
        <f>Tendencial!O164</f>
        <v>1.7021578364999998E-3</v>
      </c>
      <c r="L83" s="82">
        <f>Tendencial!P164</f>
        <v>2.3650077329999998E-3</v>
      </c>
      <c r="M83" s="82">
        <f>Tendencial!Q164</f>
        <v>1.7804449574999998E-3</v>
      </c>
      <c r="N83" s="82">
        <f>Tendencial!R164</f>
        <v>1.424885517E-3</v>
      </c>
      <c r="O83" s="82">
        <f>Tendencial!S164</f>
        <v>1.4178924345268436E-3</v>
      </c>
      <c r="P83" s="82">
        <f>Tendencial!T164</f>
        <v>1.3480181430105998E-3</v>
      </c>
      <c r="Q83" s="82">
        <f>Tendencial!U164</f>
        <v>1.5888158538090698E-3</v>
      </c>
      <c r="R83" s="82">
        <f>Tendencial!V164</f>
        <v>1.5493469558955375E-3</v>
      </c>
      <c r="S83" s="82">
        <f>Tendencial!W164</f>
        <v>1.8233855106041807E-3</v>
      </c>
      <c r="T83" s="82">
        <f>Tendencial!X164</f>
        <v>1.9261281042503718E-3</v>
      </c>
      <c r="U83" s="82">
        <f>Tendencial!Y164</f>
        <v>2.0392642047568224E-3</v>
      </c>
      <c r="V83" s="82">
        <f>Tendencial!Z164</f>
        <v>2.1369784821678264E-3</v>
      </c>
      <c r="W83" s="82">
        <f>Tendencial!AA164</f>
        <v>2.2642339218350224E-3</v>
      </c>
      <c r="X83" s="82">
        <f>Tendencial!AB164</f>
        <v>2.1070442861676926E-3</v>
      </c>
      <c r="Y83" s="82">
        <f>Tendencial!AC164</f>
        <v>2.1875487877343605E-3</v>
      </c>
      <c r="Z83" s="82">
        <f>Tendencial!AD164</f>
        <v>2.2988826199526846E-3</v>
      </c>
      <c r="AA83" s="82">
        <f>Tendencial!AE164</f>
        <v>2.3674352135796216E-3</v>
      </c>
      <c r="AB83" s="82">
        <f>Tendencial!AF164</f>
        <v>2.4321343763735108E-3</v>
      </c>
      <c r="AC83" s="82">
        <f>Tendencial!AG164</f>
        <v>2.494280252827647E-3</v>
      </c>
      <c r="AD83" s="82">
        <f>Tendencial!AH164</f>
        <v>2.5416641066170254E-3</v>
      </c>
      <c r="AE83" s="82">
        <f>Tendencial!AI164</f>
        <v>2.5770860312839959E-3</v>
      </c>
      <c r="AF83" s="82">
        <f>Tendencial!AJ164</f>
        <v>2.6535514209839683E-3</v>
      </c>
      <c r="AG83" s="82">
        <f>Tendencial!AK164</f>
        <v>2.7223160948781099E-3</v>
      </c>
      <c r="AH83" s="82">
        <f>Tendencial!AL164</f>
        <v>2.7860940765770119E-3</v>
      </c>
      <c r="AI83" s="82">
        <f>Tendencial!AM164</f>
        <v>2.8476514460560043E-3</v>
      </c>
      <c r="AJ83" s="82">
        <f>Tendencial!AN164</f>
        <v>2.8953690653100322E-3</v>
      </c>
      <c r="AK83" s="82">
        <f>Tendencial!AO164</f>
        <v>2.956371593480632E-3</v>
      </c>
      <c r="AL83" s="82">
        <f>Tendencial!AP164</f>
        <v>3.0100405660652479E-3</v>
      </c>
      <c r="AM83" s="82">
        <f>Tendencial!AQ164</f>
        <v>3.0814363809062812E-3</v>
      </c>
      <c r="AN83" s="82">
        <f>Tendencial!AR164</f>
        <v>3.1392964428092053E-3</v>
      </c>
      <c r="AO83" s="82">
        <f>Tendencial!AS164</f>
        <v>3.1953706077021467E-3</v>
      </c>
      <c r="AP83" s="82">
        <f>Tendencial!AT164</f>
        <v>3.2532110883354832E-3</v>
      </c>
      <c r="AQ83" s="82">
        <f>Tendencial!AU164</f>
        <v>3.3114857630630683E-3</v>
      </c>
      <c r="AR83" s="82">
        <f>Tendencial!AV164</f>
        <v>3.3779691686061596E-3</v>
      </c>
      <c r="AS83" s="82">
        <f>Tendencial!AW164</f>
        <v>3.4388854331236047E-3</v>
      </c>
      <c r="AT83" s="82">
        <f>Tendencial!AX164</f>
        <v>3.500077537331313E-3</v>
      </c>
      <c r="AU83" s="82">
        <f>Tendencial!AY164</f>
        <v>3.5628708414880638E-3</v>
      </c>
      <c r="AV83" s="82">
        <f>Tendencial!AZ164</f>
        <v>3.6260810476131324E-3</v>
      </c>
      <c r="AW83" s="82">
        <f>Tendencial!BA164</f>
        <v>3.6910466905335942E-3</v>
      </c>
      <c r="AX83" s="82">
        <f>Tendencial!BB164</f>
        <v>3.7540318938639071E-3</v>
      </c>
      <c r="AY83" s="82">
        <f>Tendencial!BC164</f>
        <v>3.8176929039690356E-3</v>
      </c>
      <c r="AZ83" s="82">
        <f>Tendencial!BD164</f>
        <v>3.8819728675675287E-3</v>
      </c>
      <c r="BA83" s="82">
        <f>Tendencial!BE164</f>
        <v>3.9465244236949271E-3</v>
      </c>
      <c r="BB83" s="82">
        <f>Tendencial!BF164</f>
        <v>4.011032655988735E-3</v>
      </c>
      <c r="BC83" s="82">
        <f>Tendencial!BG164</f>
        <v>4.0757142635178224E-3</v>
      </c>
      <c r="BD83" s="82">
        <f>Tendencial!BH164</f>
        <v>4.1406598552561104E-3</v>
      </c>
      <c r="BE83" s="82">
        <f>Tendencial!BI164</f>
        <v>4.2058802370015967E-3</v>
      </c>
      <c r="BF83" s="82">
        <f>Tendencial!BJ164</f>
        <v>4.2711810784710333E-3</v>
      </c>
      <c r="BG83" s="82">
        <f>Tendencial!BK164</f>
        <v>4.3365356001051443E-3</v>
      </c>
      <c r="BH83" s="82">
        <f>Tendencial!BL164</f>
        <v>4.4018449495650059E-3</v>
      </c>
      <c r="BI83" s="82">
        <f>Tendencial!BM164</f>
        <v>4.4672363544012422E-3</v>
      </c>
      <c r="BJ83" s="82">
        <f>Tendencial!BN164</f>
        <v>4.5326657558479181E-3</v>
      </c>
      <c r="BK83" s="82">
        <f>Tendencial!BO164</f>
        <v>4.5980850786951407E-3</v>
      </c>
    </row>
    <row r="84" spans="1:63" x14ac:dyDescent="0.3">
      <c r="A84" s="386"/>
      <c r="B84" t="s">
        <v>403</v>
      </c>
      <c r="C84" s="277"/>
      <c r="D84" s="277"/>
      <c r="E84" s="277"/>
      <c r="F84" s="277"/>
      <c r="G84" s="277"/>
      <c r="H84" s="356"/>
      <c r="I84" s="356"/>
      <c r="J84" s="356"/>
      <c r="K84" s="82">
        <f>Tendencial!O165</f>
        <v>3.5837999999999999E-4</v>
      </c>
      <c r="L84" s="82">
        <f>Tendencial!P165</f>
        <v>2.1185999999999999E-4</v>
      </c>
      <c r="M84" s="82">
        <f>Tendencial!Q165</f>
        <v>1.1662199999999999E-3</v>
      </c>
      <c r="N84" s="82">
        <f>Tendencial!R165</f>
        <v>5.3361000000000001E-4</v>
      </c>
      <c r="O84" s="82">
        <f>Tendencial!S165</f>
        <v>5.309911378570556E-4</v>
      </c>
      <c r="P84" s="82">
        <f>Tendencial!T165</f>
        <v>5.0482368773482737E-4</v>
      </c>
      <c r="Q84" s="82">
        <f>Tendencial!U165</f>
        <v>5.9500080366881687E-4</v>
      </c>
      <c r="R84" s="82">
        <f>Tendencial!V165</f>
        <v>5.8021996804071506E-4</v>
      </c>
      <c r="S84" s="82">
        <f>Tendencial!W165</f>
        <v>6.8284555545348904E-4</v>
      </c>
      <c r="T84" s="82">
        <f>Tendencial!X165</f>
        <v>7.2132196267459209E-4</v>
      </c>
      <c r="U84" s="82">
        <f>Tendencial!Y165</f>
        <v>7.6369066799932103E-4</v>
      </c>
      <c r="V84" s="82">
        <f>Tendencial!Z165</f>
        <v>8.0028400476020401E-4</v>
      </c>
      <c r="W84" s="82">
        <f>Tendencial!AA165</f>
        <v>8.4794030721444002E-4</v>
      </c>
      <c r="X84" s="82">
        <f>Tendencial!AB165</f>
        <v>7.8907385058496764E-4</v>
      </c>
      <c r="Y84" s="82">
        <f>Tendencial!AC165</f>
        <v>8.1922224255643965E-4</v>
      </c>
      <c r="Z84" s="82">
        <f>Tendencial!AD165</f>
        <v>8.6091601058287115E-4</v>
      </c>
      <c r="AA84" s="82">
        <f>Tendencial!AE165</f>
        <v>8.8658849377456453E-4</v>
      </c>
      <c r="AB84" s="82">
        <f>Tendencial!AF165</f>
        <v>9.1081789315195123E-4</v>
      </c>
      <c r="AC84" s="82">
        <f>Tendencial!AG165</f>
        <v>9.3409110404436813E-4</v>
      </c>
      <c r="AD84" s="82">
        <f>Tendencial!AH165</f>
        <v>9.5183603717681031E-4</v>
      </c>
      <c r="AE84" s="82">
        <f>Tendencial!AI165</f>
        <v>9.6510130866426136E-4</v>
      </c>
      <c r="AF84" s="82">
        <f>Tendencial!AJ165</f>
        <v>9.9373708052873338E-4</v>
      </c>
      <c r="AG84" s="82">
        <f>Tendencial!AK165</f>
        <v>1.0194889863477418E-3</v>
      </c>
      <c r="AH84" s="82">
        <f>Tendencial!AL165</f>
        <v>1.0433734096282903E-3</v>
      </c>
      <c r="AI84" s="82">
        <f>Tendencial!AM165</f>
        <v>1.0664262286342997E-3</v>
      </c>
      <c r="AJ84" s="82">
        <f>Tendencial!AN165</f>
        <v>1.0842961546784298E-3</v>
      </c>
      <c r="AK84" s="82">
        <f>Tendencial!AO165</f>
        <v>1.1071411893627944E-3</v>
      </c>
      <c r="AL84" s="82">
        <f>Tendencial!AP165</f>
        <v>1.1272398570235992E-3</v>
      </c>
      <c r="AM84" s="82">
        <f>Tendencial!AQ165</f>
        <v>1.1539771073519874E-3</v>
      </c>
      <c r="AN84" s="82">
        <f>Tendencial!AR165</f>
        <v>1.175645309648705E-3</v>
      </c>
      <c r="AO84" s="82">
        <f>Tendencial!AS165</f>
        <v>1.1966447055801906E-3</v>
      </c>
      <c r="AP84" s="82">
        <f>Tendencial!AT165</f>
        <v>1.2183055748237331E-3</v>
      </c>
      <c r="AQ84" s="82">
        <f>Tendencial!AU165</f>
        <v>1.2401290468222815E-3</v>
      </c>
      <c r="AR84" s="82">
        <f>Tendencial!AV165</f>
        <v>1.2650266330554139E-3</v>
      </c>
      <c r="AS84" s="82">
        <f>Tendencial!AW165</f>
        <v>1.2878393625844445E-3</v>
      </c>
      <c r="AT84" s="82">
        <f>Tendencial!AX165</f>
        <v>1.3107553922139851E-3</v>
      </c>
      <c r="AU84" s="82">
        <f>Tendencial!AY165</f>
        <v>1.3342710604071961E-3</v>
      </c>
      <c r="AV84" s="82">
        <f>Tendencial!AZ165</f>
        <v>1.3579428555710723E-3</v>
      </c>
      <c r="AW84" s="82">
        <f>Tendencial!BA165</f>
        <v>1.3822720499555975E-3</v>
      </c>
      <c r="AX84" s="82">
        <f>Tendencial!BB165</f>
        <v>1.4058595830928919E-3</v>
      </c>
      <c r="AY84" s="82">
        <f>Tendencial!BC165</f>
        <v>1.4297002013017987E-3</v>
      </c>
      <c r="AZ84" s="82">
        <f>Tendencial!BD165</f>
        <v>1.4537726134124988E-3</v>
      </c>
      <c r="BA84" s="82">
        <f>Tendencial!BE165</f>
        <v>1.477946735090473E-3</v>
      </c>
      <c r="BB84" s="82">
        <f>Tendencial!BF165</f>
        <v>1.5021046322854508E-3</v>
      </c>
      <c r="BC84" s="82">
        <f>Tendencial!BG165</f>
        <v>1.5263274573347673E-3</v>
      </c>
      <c r="BD84" s="82">
        <f>Tendencial!BH165</f>
        <v>1.5506491426870283E-3</v>
      </c>
      <c r="BE84" s="82">
        <f>Tendencial!BI165</f>
        <v>1.5750737350405828E-3</v>
      </c>
      <c r="BF84" s="82">
        <f>Tendencial!BJ165</f>
        <v>1.5995284590171943E-3</v>
      </c>
      <c r="BG84" s="82">
        <f>Tendencial!BK165</f>
        <v>1.6240032858528283E-3</v>
      </c>
      <c r="BH84" s="82">
        <f>Tendencial!BL165</f>
        <v>1.6484611960143763E-3</v>
      </c>
      <c r="BI84" s="82">
        <f>Tendencial!BM165</f>
        <v>1.6729498353600341E-3</v>
      </c>
      <c r="BJ84" s="82">
        <f>Tendencial!BN165</f>
        <v>1.6974527041796073E-3</v>
      </c>
      <c r="BK84" s="82">
        <f>Tendencial!BO165</f>
        <v>1.7219517986317731E-3</v>
      </c>
    </row>
    <row r="85" spans="1:63" x14ac:dyDescent="0.3">
      <c r="A85" s="386"/>
      <c r="B85" t="s">
        <v>404</v>
      </c>
      <c r="C85" s="277"/>
      <c r="D85" s="277"/>
      <c r="E85" s="277"/>
      <c r="F85" s="277"/>
      <c r="G85" s="277"/>
      <c r="H85" s="356"/>
      <c r="I85" s="356"/>
      <c r="J85" s="356"/>
      <c r="K85" s="82">
        <f>Tendencial!O166</f>
        <v>0.19069549176</v>
      </c>
      <c r="L85" s="82">
        <f>Tendencial!P166</f>
        <v>7.8028522500000003E-2</v>
      </c>
      <c r="M85" s="82">
        <f>Tendencial!Q166</f>
        <v>0.16121535272449858</v>
      </c>
      <c r="N85" s="82">
        <f>Tendencial!R166</f>
        <v>0.27764344030629629</v>
      </c>
      <c r="O85" s="82">
        <f>Tendencial!S166</f>
        <v>0.27628081611436772</v>
      </c>
      <c r="P85" s="82">
        <f>Tendencial!T166</f>
        <v>0.26266558987052135</v>
      </c>
      <c r="Q85" s="82">
        <f>Tendencial!U166</f>
        <v>0.30958578384142249</v>
      </c>
      <c r="R85" s="82">
        <f>Tendencial!V166</f>
        <v>0.30189514450859878</v>
      </c>
      <c r="S85" s="82">
        <f>Tendencial!W166</f>
        <v>0.35529242183236914</v>
      </c>
      <c r="T85" s="82">
        <f>Tendencial!X166</f>
        <v>0.37531214048736639</v>
      </c>
      <c r="U85" s="82">
        <f>Tendencial!Y166</f>
        <v>0.39735706675876581</v>
      </c>
      <c r="V85" s="82">
        <f>Tendencial!Z166</f>
        <v>0.41639700212462932</v>
      </c>
      <c r="W85" s="82">
        <f>Tendencial!AA166</f>
        <v>0.4411931261959014</v>
      </c>
      <c r="X85" s="82">
        <f>Tendencial!AB166</f>
        <v>0.41056422955369432</v>
      </c>
      <c r="Y85" s="82">
        <f>Tendencial!AC166</f>
        <v>0.4262507857776448</v>
      </c>
      <c r="Z85" s="82">
        <f>Tendencial!AD166</f>
        <v>0.44794453438466325</v>
      </c>
      <c r="AA85" s="82">
        <f>Tendencial!AE166</f>
        <v>0.46130222362314705</v>
      </c>
      <c r="AB85" s="82">
        <f>Tendencial!AF166</f>
        <v>0.47390905970135566</v>
      </c>
      <c r="AC85" s="82">
        <f>Tendencial!AG166</f>
        <v>0.48601837987741048</v>
      </c>
      <c r="AD85" s="82">
        <f>Tendencial!AH166</f>
        <v>0.49525127334435526</v>
      </c>
      <c r="AE85" s="82">
        <f>Tendencial!AI166</f>
        <v>0.50215334716675908</v>
      </c>
      <c r="AF85" s="82">
        <f>Tendencial!AJ166</f>
        <v>0.51705286969496922</v>
      </c>
      <c r="AG85" s="82">
        <f>Tendencial!AK166</f>
        <v>0.53045188344289973</v>
      </c>
      <c r="AH85" s="82">
        <f>Tendencial!AL166</f>
        <v>0.54287922447725678</v>
      </c>
      <c r="AI85" s="82">
        <f>Tendencial!AM166</f>
        <v>0.5548738722117198</v>
      </c>
      <c r="AJ85" s="82">
        <f>Tendencial!AN166</f>
        <v>0.56417180093290442</v>
      </c>
      <c r="AK85" s="82">
        <f>Tendencial!AO166</f>
        <v>0.57605833608719992</v>
      </c>
      <c r="AL85" s="82">
        <f>Tendencial!AP166</f>
        <v>0.58651590478890847</v>
      </c>
      <c r="AM85" s="82">
        <f>Tendencial!AQ166</f>
        <v>0.60042760465492362</v>
      </c>
      <c r="AN85" s="82">
        <f>Tendencial!AR166</f>
        <v>0.61170182033850062</v>
      </c>
      <c r="AO85" s="82">
        <f>Tendencial!AS166</f>
        <v>0.62262804835291508</v>
      </c>
      <c r="AP85" s="82">
        <f>Tendencial!AT166</f>
        <v>0.63389844856430921</v>
      </c>
      <c r="AQ85" s="82">
        <f>Tendencial!AU166</f>
        <v>0.64525345286540003</v>
      </c>
      <c r="AR85" s="82">
        <f>Tendencial!AV166</f>
        <v>0.6582079542748368</v>
      </c>
      <c r="AS85" s="82">
        <f>Tendencial!AW166</f>
        <v>0.67007768068404405</v>
      </c>
      <c r="AT85" s="82">
        <f>Tendencial!AX166</f>
        <v>0.6820011553275227</v>
      </c>
      <c r="AU85" s="82">
        <f>Tendencial!AY166</f>
        <v>0.69423662883488657</v>
      </c>
      <c r="AV85" s="82">
        <f>Tendencial!AZ166</f>
        <v>0.70655333700663103</v>
      </c>
      <c r="AW85" s="82">
        <f>Tendencial!BA166</f>
        <v>0.71921209757858462</v>
      </c>
      <c r="AX85" s="82">
        <f>Tendencial!BB166</f>
        <v>0.73148496324560208</v>
      </c>
      <c r="AY85" s="82">
        <f>Tendencial!BC166</f>
        <v>0.74388951199571884</v>
      </c>
      <c r="AZ85" s="82">
        <f>Tendencial!BD166</f>
        <v>0.75641466578760008</v>
      </c>
      <c r="BA85" s="82">
        <f>Tendencial!BE166</f>
        <v>0.76899274024095698</v>
      </c>
      <c r="BB85" s="82">
        <f>Tendencial!BF166</f>
        <v>0.78156237290859709</v>
      </c>
      <c r="BC85" s="82">
        <f>Tendencial!BG166</f>
        <v>0.79416578828804985</v>
      </c>
      <c r="BD85" s="82">
        <f>Tendencial!BH166</f>
        <v>0.80682064182387003</v>
      </c>
      <c r="BE85" s="82">
        <f>Tendencial!BI166</f>
        <v>0.81952903905990337</v>
      </c>
      <c r="BF85" s="82">
        <f>Tendencial!BJ166</f>
        <v>0.8322531141271009</v>
      </c>
      <c r="BG85" s="82">
        <f>Tendencial!BK166</f>
        <v>0.84498764894381406</v>
      </c>
      <c r="BH85" s="82">
        <f>Tendencial!BL166</f>
        <v>0.85771338181979939</v>
      </c>
      <c r="BI85" s="82">
        <f>Tendencial!BM166</f>
        <v>0.87045510344485988</v>
      </c>
      <c r="BJ85" s="82">
        <f>Tendencial!BN166</f>
        <v>0.88320422882939198</v>
      </c>
      <c r="BK85" s="82">
        <f>Tendencial!BO166</f>
        <v>0.89595139036700977</v>
      </c>
    </row>
    <row r="86" spans="1:63" x14ac:dyDescent="0.3">
      <c r="A86" s="386"/>
      <c r="B86" t="s">
        <v>405</v>
      </c>
      <c r="C86" s="277"/>
      <c r="D86" s="277"/>
      <c r="E86" s="277"/>
      <c r="F86" s="277"/>
      <c r="G86" s="277"/>
      <c r="H86" s="356"/>
      <c r="I86" s="356"/>
      <c r="J86" s="356"/>
      <c r="K86" s="82">
        <f>Tendencial!O167</f>
        <v>7.3270773777959999E-2</v>
      </c>
      <c r="L86" s="82">
        <f>Tendencial!P167</f>
        <v>5.2954798881599999E-2</v>
      </c>
      <c r="M86" s="82">
        <f>Tendencial!Q167</f>
        <v>8.7190961052689989E-2</v>
      </c>
      <c r="N86" s="82">
        <f>Tendencial!R167</f>
        <v>5.2567395942600001E-2</v>
      </c>
      <c r="O86" s="82">
        <f>Tendencial!S167</f>
        <v>5.2309404594635678E-2</v>
      </c>
      <c r="P86" s="82">
        <f>Tendencial!T167</f>
        <v>4.9731576758981537E-2</v>
      </c>
      <c r="Q86" s="82">
        <f>Tendencial!U167</f>
        <v>5.861517368981823E-2</v>
      </c>
      <c r="R86" s="82">
        <f>Tendencial!V167</f>
        <v>5.7159072719399913E-2</v>
      </c>
      <c r="S86" s="82">
        <f>Tendencial!W167</f>
        <v>6.7269002981893491E-2</v>
      </c>
      <c r="T86" s="82">
        <f>Tendencial!X167</f>
        <v>7.1059420202036372E-2</v>
      </c>
      <c r="U86" s="82">
        <f>Tendencial!Y167</f>
        <v>7.5233278466274991E-2</v>
      </c>
      <c r="V86" s="82">
        <f>Tendencial!Z167</f>
        <v>7.8838189210770473E-2</v>
      </c>
      <c r="W86" s="82">
        <f>Tendencial!AA167</f>
        <v>8.3532943282605951E-2</v>
      </c>
      <c r="X86" s="82">
        <f>Tendencial!AB167</f>
        <v>7.7733845939266494E-2</v>
      </c>
      <c r="Y86" s="82">
        <f>Tendencial!AC167</f>
        <v>8.0703847359399311E-2</v>
      </c>
      <c r="Z86" s="82">
        <f>Tendencial!AD167</f>
        <v>8.4811215684926083E-2</v>
      </c>
      <c r="AA86" s="82">
        <f>Tendencial!AE167</f>
        <v>8.7340282960216079E-2</v>
      </c>
      <c r="AB86" s="82">
        <f>Tendencial!AF167</f>
        <v>8.9727188060424984E-2</v>
      </c>
      <c r="AC86" s="82">
        <f>Tendencial!AG167</f>
        <v>9.2019896390173883E-2</v>
      </c>
      <c r="AD86" s="82">
        <f>Tendencial!AH167</f>
        <v>9.3767998798202301E-2</v>
      </c>
      <c r="AE86" s="82">
        <f>Tendencial!AI167</f>
        <v>9.5074797356263285E-2</v>
      </c>
      <c r="AF86" s="82">
        <f>Tendencial!AJ167</f>
        <v>9.7895786388930706E-2</v>
      </c>
      <c r="AG86" s="82">
        <f>Tendencial!AK167</f>
        <v>0.10043267780675337</v>
      </c>
      <c r="AH86" s="82">
        <f>Tendencial!AL167</f>
        <v>0.10278559835818465</v>
      </c>
      <c r="AI86" s="82">
        <f>Tendencial!AM167</f>
        <v>0.10505659527406327</v>
      </c>
      <c r="AJ86" s="82">
        <f>Tendencial!AN167</f>
        <v>0.1068170110792895</v>
      </c>
      <c r="AK86" s="82">
        <f>Tendencial!AO167</f>
        <v>0.10906753858734861</v>
      </c>
      <c r="AL86" s="82">
        <f>Tendencial!AP167</f>
        <v>0.11104751388924372</v>
      </c>
      <c r="AM86" s="82">
        <f>Tendencial!AQ167</f>
        <v>0.11368147431807525</v>
      </c>
      <c r="AN86" s="82">
        <f>Tendencial!AR167</f>
        <v>0.11581606881498482</v>
      </c>
      <c r="AO86" s="82">
        <f>Tendencial!AS167</f>
        <v>0.11788477734834406</v>
      </c>
      <c r="AP86" s="82">
        <f>Tendencial!AT167</f>
        <v>0.12001864944591756</v>
      </c>
      <c r="AQ86" s="82">
        <f>Tendencial!AU167</f>
        <v>0.12216853999030379</v>
      </c>
      <c r="AR86" s="82">
        <f>Tendencial!AV167</f>
        <v>0.12462127002447125</v>
      </c>
      <c r="AS86" s="82">
        <f>Tendencial!AW167</f>
        <v>0.12686861506239033</v>
      </c>
      <c r="AT86" s="82">
        <f>Tendencial!AX167</f>
        <v>0.12912613647872137</v>
      </c>
      <c r="AU86" s="82">
        <f>Tendencial!AY167</f>
        <v>0.13144272994729828</v>
      </c>
      <c r="AV86" s="82">
        <f>Tendencial!AZ167</f>
        <v>0.13377470391527416</v>
      </c>
      <c r="AW86" s="82">
        <f>Tendencial!BA167</f>
        <v>0.1361714400974593</v>
      </c>
      <c r="AX86" s="82">
        <f>Tendencial!BB167</f>
        <v>0.13849511318030511</v>
      </c>
      <c r="AY86" s="82">
        <f>Tendencial!BC167</f>
        <v>0.14084371837305629</v>
      </c>
      <c r="AZ86" s="82">
        <f>Tendencial!BD167</f>
        <v>0.14321515822372741</v>
      </c>
      <c r="BA86" s="82">
        <f>Tendencial!BE167</f>
        <v>0.14559661776498536</v>
      </c>
      <c r="BB86" s="82">
        <f>Tendencial!BF167</f>
        <v>0.14797647898758054</v>
      </c>
      <c r="BC86" s="82">
        <f>Tendencial!BG167</f>
        <v>0.15036273643256051</v>
      </c>
      <c r="BD86" s="82">
        <f>Tendencial!BH167</f>
        <v>0.15275873287922312</v>
      </c>
      <c r="BE86" s="82">
        <f>Tendencial!BI167</f>
        <v>0.15516486697900742</v>
      </c>
      <c r="BF86" s="82">
        <f>Tendencial!BJ167</f>
        <v>0.15757396942825971</v>
      </c>
      <c r="BG86" s="82">
        <f>Tendencial!BK167</f>
        <v>0.15998505226571655</v>
      </c>
      <c r="BH86" s="82">
        <f>Tendencial!BL167</f>
        <v>0.16239446859485324</v>
      </c>
      <c r="BI86" s="82">
        <f>Tendencial!BM167</f>
        <v>0.16480691214084886</v>
      </c>
      <c r="BJ86" s="82">
        <f>Tendencial!BN167</f>
        <v>0.16722075747164869</v>
      </c>
      <c r="BK86" s="82">
        <f>Tendencial!BO167</f>
        <v>0.16963423097908326</v>
      </c>
    </row>
    <row r="87" spans="1:63" x14ac:dyDescent="0.3">
      <c r="A87" s="386"/>
      <c r="B87" t="s">
        <v>406</v>
      </c>
      <c r="C87" s="277"/>
      <c r="D87" s="277"/>
      <c r="E87" s="277"/>
      <c r="F87" s="277"/>
      <c r="G87" s="277"/>
      <c r="H87" s="356"/>
      <c r="I87" s="356"/>
      <c r="J87" s="356"/>
      <c r="K87" s="82">
        <f>Tendencial!O168</f>
        <v>0.15325496999999999</v>
      </c>
      <c r="L87" s="82">
        <f>Tendencial!P168</f>
        <v>0.15681698999999999</v>
      </c>
      <c r="M87" s="82">
        <f>Tendencial!Q168</f>
        <v>0.15137792999999999</v>
      </c>
      <c r="N87" s="82">
        <f>Tendencial!R168</f>
        <v>0.16611704999999999</v>
      </c>
      <c r="O87" s="82">
        <f>Tendencial!S168</f>
        <v>0.16335</v>
      </c>
      <c r="P87" s="82">
        <f>Tendencial!T168</f>
        <v>0.15530004836668918</v>
      </c>
      <c r="Q87" s="82">
        <f>Tendencial!U168</f>
        <v>0.1830414376999753</v>
      </c>
      <c r="R87" s="82">
        <f>Tendencial!V168</f>
        <v>0.17849437593620548</v>
      </c>
      <c r="S87" s="82">
        <f>Tendencial!W168</f>
        <v>0.21006531659546282</v>
      </c>
      <c r="T87" s="82">
        <f>Tendencial!X168</f>
        <v>0.22190190043174365</v>
      </c>
      <c r="U87" s="82">
        <f>Tendencial!Y168</f>
        <v>0.23493588070253604</v>
      </c>
      <c r="V87" s="82">
        <f>Tendencial!Z168</f>
        <v>0.24619317133080149</v>
      </c>
      <c r="W87" s="82">
        <f>Tendencial!AA168</f>
        <v>0.26085378701888312</v>
      </c>
      <c r="X87" s="82">
        <f>Tendencial!AB168</f>
        <v>0.2427445663467051</v>
      </c>
      <c r="Y87" s="82">
        <f>Tendencial!AC168</f>
        <v>0.25201918408969598</v>
      </c>
      <c r="Z87" s="82">
        <f>Tendencial!AD168</f>
        <v>0.26484553187885823</v>
      </c>
      <c r="AA87" s="82">
        <f>Tendencial!AE168</f>
        <v>0.27274321572022592</v>
      </c>
      <c r="AB87" s="82">
        <f>Tendencial!AF168</f>
        <v>0.28019696043669912</v>
      </c>
      <c r="AC87" s="82">
        <f>Tendencial!AG168</f>
        <v>0.28735655073536004</v>
      </c>
      <c r="AD87" s="82">
        <f>Tendencial!AH168</f>
        <v>0.29281546449215562</v>
      </c>
      <c r="AE87" s="82">
        <f>Tendencial!AI168</f>
        <v>0.29689628984494798</v>
      </c>
      <c r="AF87" s="82">
        <f>Tendencial!AJ168</f>
        <v>0.30570557685666594</v>
      </c>
      <c r="AG87" s="82">
        <f>Tendencial!AK168</f>
        <v>0.31362769365980442</v>
      </c>
      <c r="AH87" s="82">
        <f>Tendencial!AL168</f>
        <v>0.32097531260241641</v>
      </c>
      <c r="AI87" s="82">
        <f>Tendencial!AM168</f>
        <v>0.3280671032485446</v>
      </c>
      <c r="AJ87" s="82">
        <f>Tendencial!AN168</f>
        <v>0.33356446885635715</v>
      </c>
      <c r="AK87" s="82">
        <f>Tendencial!AO168</f>
        <v>0.34059233834350394</v>
      </c>
      <c r="AL87" s="82">
        <f>Tendencial!AP168</f>
        <v>0.34677533675594874</v>
      </c>
      <c r="AM87" s="82">
        <f>Tendencial!AQ168</f>
        <v>0.35500057731037388</v>
      </c>
      <c r="AN87" s="82">
        <f>Tendencial!AR168</f>
        <v>0.36166641519884291</v>
      </c>
      <c r="AO87" s="82">
        <f>Tendencial!AS168</f>
        <v>0.36812650667843289</v>
      </c>
      <c r="AP87" s="82">
        <f>Tendencial!AT168</f>
        <v>0.37479008868323316</v>
      </c>
      <c r="AQ87" s="82">
        <f>Tendencial!AU168</f>
        <v>0.38150369253988087</v>
      </c>
      <c r="AR87" s="82">
        <f>Tendencial!AV168</f>
        <v>0.3891629930841341</v>
      </c>
      <c r="AS87" s="82">
        <f>Tendencial!AW168</f>
        <v>0.39618092446356579</v>
      </c>
      <c r="AT87" s="82">
        <f>Tendencial!AX168</f>
        <v>0.40323063428564038</v>
      </c>
      <c r="AU87" s="82">
        <f>Tendencial!AY168</f>
        <v>0.41046481226997256</v>
      </c>
      <c r="AV87" s="82">
        <f>Tendencial!AZ168</f>
        <v>0.41774701994602631</v>
      </c>
      <c r="AW87" s="82">
        <f>Tendencial!BA168</f>
        <v>0.425231464825372</v>
      </c>
      <c r="AX87" s="82">
        <f>Tendencial!BB168</f>
        <v>0.43248775078435586</v>
      </c>
      <c r="AY87" s="82">
        <f>Tendencial!BC168</f>
        <v>0.43982189387409099</v>
      </c>
      <c r="AZ87" s="82">
        <f>Tendencial!BD168</f>
        <v>0.44722734424403937</v>
      </c>
      <c r="BA87" s="82">
        <f>Tendencial!BE168</f>
        <v>0.4546640837573081</v>
      </c>
      <c r="BB87" s="82">
        <f>Tendencial!BF168</f>
        <v>0.46209583209632071</v>
      </c>
      <c r="BC87" s="82">
        <f>Tendencial!BG168</f>
        <v>0.46954755433743856</v>
      </c>
      <c r="BD87" s="82">
        <f>Tendencial!BH168</f>
        <v>0.47702968919627187</v>
      </c>
      <c r="BE87" s="82">
        <f>Tendencial!BI168</f>
        <v>0.48454348156775057</v>
      </c>
      <c r="BF87" s="82">
        <f>Tendencial!BJ168</f>
        <v>0.49206654339831324</v>
      </c>
      <c r="BG87" s="82">
        <f>Tendencial!BK168</f>
        <v>0.49959578951668648</v>
      </c>
      <c r="BH87" s="82">
        <f>Tendencial!BL168</f>
        <v>0.50711983152049933</v>
      </c>
      <c r="BI87" s="82">
        <f>Tendencial!BM168</f>
        <v>0.51465332681244913</v>
      </c>
      <c r="BJ87" s="82">
        <f>Tendencial!BN168</f>
        <v>0.52219119954951687</v>
      </c>
      <c r="BK87" s="82">
        <f>Tendencial!BO168</f>
        <v>0.52972791116943585</v>
      </c>
    </row>
    <row r="88" spans="1:63" x14ac:dyDescent="0.3">
      <c r="A88" s="386"/>
      <c r="B88" t="s">
        <v>407</v>
      </c>
      <c r="C88" s="277"/>
      <c r="D88" s="277"/>
      <c r="E88" s="277"/>
      <c r="F88" s="277"/>
      <c r="G88" s="277"/>
      <c r="H88" s="356"/>
      <c r="I88" s="356"/>
      <c r="J88" s="356"/>
      <c r="K88" s="82">
        <f>Tendencial!O241</f>
        <v>3.1556059040000001E-2</v>
      </c>
      <c r="L88" s="82">
        <f>Tendencial!P241</f>
        <v>2.9026780660000001E-2</v>
      </c>
      <c r="M88" s="82">
        <f>Tendencial!Q241</f>
        <v>4.4062796729000001E-2</v>
      </c>
      <c r="N88" s="82">
        <f>Tendencial!R241</f>
        <v>1.9135541829999998E-2</v>
      </c>
      <c r="O88" s="82">
        <f>Tendencial!S241</f>
        <v>1.9041628023880708E-2</v>
      </c>
      <c r="P88" s="82">
        <f>Tendencial!T241</f>
        <v>1.8103249177160562E-2</v>
      </c>
      <c r="Q88" s="82">
        <f>Tendencial!U241</f>
        <v>2.1337049094822553E-2</v>
      </c>
      <c r="R88" s="82">
        <f>Tendencial!V241</f>
        <v>2.0807000373014684E-2</v>
      </c>
      <c r="S88" s="82">
        <f>Tendencial!W241</f>
        <v>2.4487209178632004E-2</v>
      </c>
      <c r="T88" s="82">
        <f>Tendencial!X241</f>
        <v>2.5866993852546535E-2</v>
      </c>
      <c r="U88" s="82">
        <f>Tendencial!Y241</f>
        <v>2.7386358431591706E-2</v>
      </c>
      <c r="V88" s="82">
        <f>Tendencial!Z241</f>
        <v>2.8698615185189191E-2</v>
      </c>
      <c r="W88" s="82">
        <f>Tendencial!AA241</f>
        <v>3.0407595843490506E-2</v>
      </c>
      <c r="X88" s="82">
        <f>Tendencial!AB241</f>
        <v>2.8296613022296843E-2</v>
      </c>
      <c r="Y88" s="82">
        <f>Tendencial!AC241</f>
        <v>2.9377750586580383E-2</v>
      </c>
      <c r="Z88" s="82">
        <f>Tendencial!AD241</f>
        <v>3.0872911550805373E-2</v>
      </c>
      <c r="AA88" s="82">
        <f>Tendencial!AE241</f>
        <v>3.1793540616967216E-2</v>
      </c>
      <c r="AB88" s="82">
        <f>Tendencial!AF241</f>
        <v>3.2662419920769167E-2</v>
      </c>
      <c r="AC88" s="82">
        <f>Tendencial!AG241</f>
        <v>3.3497009790805818E-2</v>
      </c>
      <c r="AD88" s="82">
        <f>Tendencial!AH241</f>
        <v>3.4133352644624901E-2</v>
      </c>
      <c r="AE88" s="82">
        <f>Tendencial!AI241</f>
        <v>3.4609052420555682E-2</v>
      </c>
      <c r="AF88" s="82">
        <f>Tendencial!AJ241</f>
        <v>3.5635946613593553E-2</v>
      </c>
      <c r="AG88" s="82">
        <f>Tendencial!AK241</f>
        <v>3.6559423817922286E-2</v>
      </c>
      <c r="AH88" s="82">
        <f>Tendencial!AL241</f>
        <v>3.7415932093198913E-2</v>
      </c>
      <c r="AI88" s="82">
        <f>Tendencial!AM241</f>
        <v>3.8242618591557101E-2</v>
      </c>
      <c r="AJ88" s="82">
        <f>Tendencial!AN241</f>
        <v>3.8883443758470117E-2</v>
      </c>
      <c r="AK88" s="82">
        <f>Tendencial!AO241</f>
        <v>3.9702678999208596E-2</v>
      </c>
      <c r="AL88" s="82">
        <f>Tendencial!AP241</f>
        <v>4.0423428040175964E-2</v>
      </c>
      <c r="AM88" s="82">
        <f>Tendencial!AQ241</f>
        <v>4.1382240228999362E-2</v>
      </c>
      <c r="AN88" s="82">
        <f>Tendencial!AR241</f>
        <v>4.2159273626854996E-2</v>
      </c>
      <c r="AO88" s="82">
        <f>Tendencial!AS241</f>
        <v>4.2912323268450306E-2</v>
      </c>
      <c r="AP88" s="82">
        <f>Tendencial!AT241</f>
        <v>4.3689093699071868E-2</v>
      </c>
      <c r="AQ88" s="82">
        <f>Tendencial!AU241</f>
        <v>4.4471695152013262E-2</v>
      </c>
      <c r="AR88" s="82">
        <f>Tendencial!AV241</f>
        <v>4.5364535996131883E-2</v>
      </c>
      <c r="AS88" s="82">
        <f>Tendencial!AW241</f>
        <v>4.6182612756610966E-2</v>
      </c>
      <c r="AT88" s="82">
        <f>Tendencial!AX241</f>
        <v>4.7004393914298399E-2</v>
      </c>
      <c r="AU88" s="82">
        <f>Tendencial!AY241</f>
        <v>4.7847678433650717E-2</v>
      </c>
      <c r="AV88" s="82">
        <f>Tendencial!AZ241</f>
        <v>4.869656175021065E-2</v>
      </c>
      <c r="AW88" s="82">
        <f>Tendencial!BA241</f>
        <v>4.9569019756685942E-2</v>
      </c>
      <c r="AX88" s="82">
        <f>Tendencial!BB241</f>
        <v>5.0414881391616338E-2</v>
      </c>
      <c r="AY88" s="82">
        <f>Tendencial!BC241</f>
        <v>5.1269818793444631E-2</v>
      </c>
      <c r="AZ88" s="82">
        <f>Tendencial!BD241</f>
        <v>5.213306844936056E-2</v>
      </c>
      <c r="BA88" s="82">
        <f>Tendencial!BE241</f>
        <v>5.2999965465106859E-2</v>
      </c>
      <c r="BB88" s="82">
        <f>Tendencial!BF241</f>
        <v>5.3866280662159642E-2</v>
      </c>
      <c r="BC88" s="82">
        <f>Tendencial!BG241</f>
        <v>5.4734924207018192E-2</v>
      </c>
      <c r="BD88" s="82">
        <f>Tendencial!BH241</f>
        <v>5.5607112935554551E-2</v>
      </c>
      <c r="BE88" s="82">
        <f>Tendencial!BI241</f>
        <v>5.6482991964549777E-2</v>
      </c>
      <c r="BF88" s="82">
        <f>Tendencial!BJ241</f>
        <v>5.735995152976698E-2</v>
      </c>
      <c r="BG88" s="82">
        <f>Tendencial!BK241</f>
        <v>5.8237631994329644E-2</v>
      </c>
      <c r="BH88" s="82">
        <f>Tendencial!BL241</f>
        <v>5.9114705817853726E-2</v>
      </c>
      <c r="BI88" s="82">
        <f>Tendencial!BM241</f>
        <v>5.9992881606460796E-2</v>
      </c>
      <c r="BJ88" s="82">
        <f>Tendencial!BN241</f>
        <v>6.0871567671661873E-2</v>
      </c>
      <c r="BK88" s="82">
        <f>Tendencial!BO241</f>
        <v>6.1750118386016066E-2</v>
      </c>
    </row>
    <row r="89" spans="1:63" x14ac:dyDescent="0.3">
      <c r="C89" s="277"/>
      <c r="D89" s="277"/>
      <c r="E89" s="277"/>
      <c r="F89" s="277"/>
      <c r="G89" s="277"/>
      <c r="H89" s="356"/>
      <c r="I89" s="356"/>
      <c r="J89" s="356"/>
    </row>
    <row r="90" spans="1:63" x14ac:dyDescent="0.3">
      <c r="A90" s="386" t="s">
        <v>390</v>
      </c>
      <c r="B90" t="s">
        <v>393</v>
      </c>
      <c r="C90" s="277"/>
      <c r="D90" s="277"/>
      <c r="E90" s="277"/>
      <c r="F90" s="277"/>
      <c r="G90" s="277"/>
      <c r="H90" s="356"/>
      <c r="I90" s="356"/>
      <c r="J90" s="356"/>
      <c r="K90" s="82">
        <f>K74</f>
        <v>6.4412943479101799</v>
      </c>
      <c r="L90" s="82">
        <f t="shared" ref="L90:N90" si="49">L74</f>
        <v>6.4224338951767495</v>
      </c>
      <c r="M90" s="82">
        <f t="shared" si="49"/>
        <v>6.4986761916816302</v>
      </c>
      <c r="N90" s="82">
        <f t="shared" si="49"/>
        <v>6.55878148572834</v>
      </c>
      <c r="O90" s="82">
        <f t="shared" ref="O90" si="50">O74</f>
        <v>5.9578210989000002</v>
      </c>
      <c r="P90" s="84">
        <f>'CC70 - Valores'!G70</f>
        <v>6.017399309889</v>
      </c>
      <c r="Q90" s="84">
        <f>'CC70 - Valores'!H70</f>
        <v>6.07757330298789</v>
      </c>
      <c r="R90" s="84">
        <f>'CC70 - Valores'!I70</f>
        <v>6.138349036017769</v>
      </c>
      <c r="S90" s="84">
        <f>'CC70 - Valores'!J70</f>
        <v>6.138349036017769</v>
      </c>
      <c r="T90" s="84">
        <f>'CC70 - Valores'!K70</f>
        <v>6.138349036017769</v>
      </c>
      <c r="U90" s="84">
        <f>'CC70 - Valores'!L70</f>
        <v>6.138349036017769</v>
      </c>
      <c r="V90" s="84">
        <f>'CC70 - Valores'!M70</f>
        <v>6.138349036017769</v>
      </c>
      <c r="W90" s="84">
        <f>'CC70 - Valores'!N70</f>
        <v>6.138349036017769</v>
      </c>
      <c r="X90" s="84">
        <f>'CC70 - Valores'!O70</f>
        <v>6.138349036017769</v>
      </c>
      <c r="Y90" s="84">
        <f>'CC70 - Valores'!P70</f>
        <v>6.138349036017769</v>
      </c>
      <c r="Z90" s="84">
        <f>'CC70 - Valores'!Q70</f>
        <v>6.138349036017769</v>
      </c>
      <c r="AA90" s="84">
        <f>'CC70 - Valores'!R70</f>
        <v>6.138349036017769</v>
      </c>
      <c r="AB90" s="84">
        <f>'CC70 - Valores'!S70</f>
        <v>6.138349036017769</v>
      </c>
      <c r="AC90" s="84">
        <f>'CC70 - Valores'!T70</f>
        <v>6.138349036017769</v>
      </c>
      <c r="AD90" s="84">
        <f>'CC70 - Valores'!U70</f>
        <v>6.138349036017769</v>
      </c>
      <c r="AE90" s="84">
        <f>'CC70 - Valores'!V70</f>
        <v>6.138349036017769</v>
      </c>
      <c r="AF90" s="84">
        <f>'CC70 - Valores'!W70</f>
        <v>6.138349036017769</v>
      </c>
      <c r="AG90" s="84">
        <f>'CC70 - Valores'!X70</f>
        <v>6.138349036017769</v>
      </c>
      <c r="AH90" s="84">
        <f>'CC70 - Valores'!Y70</f>
        <v>6.138349036017769</v>
      </c>
      <c r="AI90" s="84">
        <f>'CC70 - Valores'!Z70</f>
        <v>6.138349036017769</v>
      </c>
      <c r="AJ90" s="84">
        <f>'CC70 - Valores'!AA70</f>
        <v>6.138349036017769</v>
      </c>
      <c r="AK90" s="84">
        <f>'CC70 - Valores'!AB70</f>
        <v>6.138349036017769</v>
      </c>
      <c r="AL90" s="84">
        <f>'CC70 - Valores'!AC70</f>
        <v>6.138349036017769</v>
      </c>
      <c r="AM90" s="84">
        <f>'CC70 - Valores'!AD70</f>
        <v>6.138349036017769</v>
      </c>
      <c r="AN90" s="84">
        <f>'CC70 - Valores'!AE70</f>
        <v>6.138349036017769</v>
      </c>
      <c r="AO90" s="84">
        <f>'CC70 - Valores'!AF70</f>
        <v>6.138349036017769</v>
      </c>
      <c r="AP90" s="84">
        <f>'CC70 - Valores'!AG70</f>
        <v>6.138349036017769</v>
      </c>
      <c r="AQ90" s="84">
        <f>'CC70 - Valores'!AH70</f>
        <v>6.138349036017769</v>
      </c>
      <c r="AR90" s="84">
        <f>'CC70 - Valores'!AI70</f>
        <v>6.138349036017769</v>
      </c>
      <c r="AS90" s="84">
        <f>'CC70 - Valores'!AJ70</f>
        <v>6.138349036017769</v>
      </c>
      <c r="AT90" s="84">
        <f>'CC70 - Valores'!AK70</f>
        <v>6.138349036017769</v>
      </c>
      <c r="AU90" s="84">
        <f>'CC70 - Valores'!AL70</f>
        <v>6.138349036017769</v>
      </c>
      <c r="AV90" s="84">
        <f>'CC70 - Valores'!AM70</f>
        <v>6.138349036017769</v>
      </c>
      <c r="AW90" s="84">
        <f>'CC70 - Valores'!AN70</f>
        <v>6.138349036017769</v>
      </c>
      <c r="AX90" s="84">
        <f>'CC70 - Valores'!AO70</f>
        <v>6.138349036017769</v>
      </c>
      <c r="AY90" s="84">
        <f>'CC70 - Valores'!AP70</f>
        <v>6.138349036017769</v>
      </c>
      <c r="AZ90" s="84">
        <f>'CC70 - Valores'!AQ70</f>
        <v>6.138349036017769</v>
      </c>
      <c r="BA90" s="84">
        <f>'CC70 - Valores'!AR70</f>
        <v>6.138349036017769</v>
      </c>
      <c r="BB90" s="84">
        <f>'CC70 - Valores'!AS70</f>
        <v>6.138349036017769</v>
      </c>
      <c r="BC90" s="84">
        <f>'CC70 - Valores'!AT70</f>
        <v>6.138349036017769</v>
      </c>
      <c r="BD90" s="84">
        <f>'CC70 - Valores'!AU70</f>
        <v>6.138349036017769</v>
      </c>
      <c r="BE90" s="84">
        <f>'CC70 - Valores'!AV70</f>
        <v>6.138349036017769</v>
      </c>
      <c r="BF90" s="84">
        <f>'CC70 - Valores'!AW70</f>
        <v>6.138349036017769</v>
      </c>
      <c r="BG90" s="84">
        <f>'CC70 - Valores'!AX70</f>
        <v>6.138349036017769</v>
      </c>
      <c r="BH90" s="84">
        <f>'CC70 - Valores'!AY70</f>
        <v>6.138349036017769</v>
      </c>
      <c r="BI90" s="84">
        <f>'CC70 - Valores'!AZ70</f>
        <v>6.138349036017769</v>
      </c>
      <c r="BJ90" s="84">
        <f>'CC70 - Valores'!BA70</f>
        <v>6.138349036017769</v>
      </c>
      <c r="BK90" s="84">
        <f>'CC70 - Valores'!BB70</f>
        <v>6.138349036017769</v>
      </c>
    </row>
    <row r="91" spans="1:63" x14ac:dyDescent="0.3">
      <c r="A91" s="386"/>
      <c r="B91" t="s">
        <v>394</v>
      </c>
      <c r="C91" s="277"/>
      <c r="D91" s="277"/>
      <c r="E91" s="277"/>
      <c r="F91" s="277"/>
      <c r="G91" s="277"/>
      <c r="H91" s="356"/>
      <c r="I91" s="356"/>
      <c r="J91" s="356"/>
      <c r="K91" s="82">
        <f t="shared" ref="K91:N91" si="51">K75</f>
        <v>0.15438395645991049</v>
      </c>
      <c r="L91" s="82">
        <f t="shared" si="51"/>
        <v>0.2012267057146741</v>
      </c>
      <c r="M91" s="82">
        <f t="shared" si="51"/>
        <v>0.24391120485460657</v>
      </c>
      <c r="N91" s="82">
        <f t="shared" si="51"/>
        <v>0.2146640968001953</v>
      </c>
      <c r="O91" s="82">
        <f t="shared" ref="O91" si="52">O75</f>
        <v>0.21361056392682454</v>
      </c>
      <c r="P91" s="84">
        <f>'CC70 - Valores'!G71</f>
        <v>0.20535829014788912</v>
      </c>
      <c r="Q91" s="84">
        <f>'CC70 - Valores'!H71</f>
        <v>0.243382049296093</v>
      </c>
      <c r="R91" s="84">
        <f>'CC70 - Valores'!I71</f>
        <v>0.23864314582095539</v>
      </c>
      <c r="S91" s="84">
        <f>'CC70 - Valores'!J71</f>
        <v>0.24234977058194601</v>
      </c>
      <c r="T91" s="84">
        <f>'CC70 - Valores'!K71</f>
        <v>0.24610666352357433</v>
      </c>
      <c r="U91" s="84">
        <f>'CC70 - Valores'!L71</f>
        <v>0.24991445934697698</v>
      </c>
      <c r="V91" s="84">
        <f>'CC70 - Valores'!M71</f>
        <v>0.25377380042049535</v>
      </c>
      <c r="W91" s="84">
        <f>'CC70 - Valores'!N71</f>
        <v>0.25768533686954942</v>
      </c>
      <c r="X91" s="84">
        <f>'CC70 - Valores'!O71</f>
        <v>0.26164972666754249</v>
      </c>
      <c r="Y91" s="84">
        <f>'CC70 - Valores'!P71</f>
        <v>0.26566763572780844</v>
      </c>
      <c r="Z91" s="84">
        <f>'CC70 - Valores'!Q71</f>
        <v>0.26973973799661294</v>
      </c>
      <c r="AA91" s="84">
        <f>'CC70 - Valores'!R71</f>
        <v>0.27386671554722075</v>
      </c>
      <c r="AB91" s="84">
        <f>'CC70 - Valores'!S71</f>
        <v>0.27804925867504116</v>
      </c>
      <c r="AC91" s="84">
        <f>'CC70 - Valores'!T71</f>
        <v>0.28663474079559675</v>
      </c>
      <c r="AD91" s="84">
        <f>'CC70 - Valores'!U71</f>
        <v>0.29358884239659877</v>
      </c>
      <c r="AE91" s="84">
        <f>'CC70 - Valores'!V71</f>
        <v>0.2992103748079647</v>
      </c>
      <c r="AF91" s="84">
        <f>'CC70 - Valores'!W71</f>
        <v>0.30966364742407121</v>
      </c>
      <c r="AG91" s="84">
        <f>'CC70 - Valores'!X71</f>
        <v>0.31930448152729168</v>
      </c>
      <c r="AH91" s="84">
        <f>'CC70 - Valores'!Y71</f>
        <v>0.32843910522142628</v>
      </c>
      <c r="AI91" s="84">
        <f>'CC70 - Valores'!Z71</f>
        <v>0.33738635908283476</v>
      </c>
      <c r="AJ91" s="84">
        <f>'CC70 - Valores'!AA71</f>
        <v>0.34475876865250138</v>
      </c>
      <c r="AK91" s="84">
        <f>'CC70 - Valores'!AB71</f>
        <v>0.3537775887205063</v>
      </c>
      <c r="AL91" s="84">
        <f>'CC70 - Valores'!AC71</f>
        <v>0.36198690706404668</v>
      </c>
      <c r="AM91" s="84">
        <f>'CC70 - Valores'!AD71</f>
        <v>0.37240229882923487</v>
      </c>
      <c r="AN91" s="84">
        <f>'CC70 - Valores'!AE71</f>
        <v>0.38125858264177226</v>
      </c>
      <c r="AO91" s="84">
        <f>'CC70 - Valores'!AF71</f>
        <v>0.38996561326496909</v>
      </c>
      <c r="AP91" s="84">
        <f>'CC70 - Valores'!AG71</f>
        <v>0.39895583376435456</v>
      </c>
      <c r="AQ91" s="84">
        <f>'CC70 - Valores'!AH71</f>
        <v>0.40806823507152978</v>
      </c>
      <c r="AR91" s="84">
        <f>'CC70 - Valores'!AI71</f>
        <v>0.41826624767380549</v>
      </c>
      <c r="AS91" s="84">
        <f>'CC70 - Valores'!AJ71</f>
        <v>0.42785055969040631</v>
      </c>
      <c r="AT91" s="84">
        <f>'CC70 - Valores'!AK71</f>
        <v>0.43754168204390959</v>
      </c>
      <c r="AU91" s="84">
        <f>'CC70 - Valores'!AL71</f>
        <v>0.44750657497183077</v>
      </c>
      <c r="AV91" s="84">
        <f>'CC70 - Valores'!AM71</f>
        <v>0.45759863598187989</v>
      </c>
      <c r="AW91" s="84">
        <f>'CC70 - Valores'!AN71</f>
        <v>0.46798832059180528</v>
      </c>
      <c r="AX91" s="84">
        <f>'CC70 - Valores'!AO71</f>
        <v>0.47820286508471943</v>
      </c>
      <c r="AY91" s="84">
        <f>'CC70 - Valores'!AP71</f>
        <v>0.48857868199199267</v>
      </c>
      <c r="AZ91" s="84">
        <f>'CC70 - Valores'!AQ71</f>
        <v>0.49910966523350819</v>
      </c>
      <c r="BA91" s="84">
        <f>'CC70 - Valores'!AR71</f>
        <v>0.50975205035397042</v>
      </c>
      <c r="BB91" s="84">
        <f>'CC70 - Valores'!AS71</f>
        <v>0.52046545799411925</v>
      </c>
      <c r="BC91" s="84">
        <f>'CC70 - Valores'!AT71</f>
        <v>0.53127805818066853</v>
      </c>
      <c r="BD91" s="84">
        <f>'CC70 - Valores'!AU71</f>
        <v>0.54220202455940614</v>
      </c>
      <c r="BE91" s="84">
        <f>'CC70 - Valores'!AV71</f>
        <v>0.55323924867475849</v>
      </c>
      <c r="BF91" s="84">
        <f>'CC70 - Valores'!AW71</f>
        <v>0.56436454245795586</v>
      </c>
      <c r="BG91" s="84">
        <f>'CC70 - Valores'!AX71</f>
        <v>0.57557449484243606</v>
      </c>
      <c r="BH91" s="84">
        <f>'CC70 - Valores'!AY71</f>
        <v>0.58685602239255164</v>
      </c>
      <c r="BI91" s="84">
        <f>'CC70 - Valores'!AZ71</f>
        <v>0.59822608222382823</v>
      </c>
      <c r="BJ91" s="84">
        <f>'CC70 - Valores'!BA71</f>
        <v>0.60967889422914534</v>
      </c>
      <c r="BK91" s="84">
        <f>'CC70 - Valores'!BB71</f>
        <v>0.6212080310491187</v>
      </c>
    </row>
    <row r="92" spans="1:63" x14ac:dyDescent="0.3">
      <c r="A92" s="386"/>
      <c r="B92" t="s">
        <v>395</v>
      </c>
      <c r="C92" s="277"/>
      <c r="D92" s="277"/>
      <c r="E92" s="277"/>
      <c r="F92" s="277"/>
      <c r="G92" s="277"/>
      <c r="H92" s="356"/>
      <c r="I92" s="356"/>
      <c r="J92" s="356"/>
      <c r="K92" s="82">
        <f t="shared" ref="K92:N92" si="53">K76</f>
        <v>4.5782228497500002E-3</v>
      </c>
      <c r="L92" s="82">
        <f t="shared" si="53"/>
        <v>1.83901200912E-3</v>
      </c>
      <c r="M92" s="82">
        <f t="shared" si="53"/>
        <v>1.9353822414299999E-3</v>
      </c>
      <c r="N92" s="82">
        <f t="shared" si="53"/>
        <v>4.0226835042900004E-3</v>
      </c>
      <c r="O92" s="82">
        <f t="shared" ref="O92" si="54">O76</f>
        <v>4.0029408953763147E-3</v>
      </c>
      <c r="P92" s="84">
        <f>'CC70 - Valores'!G72</f>
        <v>3.813285757516141E-3</v>
      </c>
      <c r="Q92" s="84">
        <f>'CC70 - Valores'!H72</f>
        <v>4.4989419570692383E-3</v>
      </c>
      <c r="R92" s="84">
        <f>'CC70 - Valores'!I72</f>
        <v>4.3915546175563496E-3</v>
      </c>
      <c r="S92" s="84">
        <f>'CC70 - Valores'!J72</f>
        <v>5.1734523522047847E-3</v>
      </c>
      <c r="T92" s="84">
        <f>'CC70 - Valores'!K72</f>
        <v>5.4703994683314933E-3</v>
      </c>
      <c r="U92" s="84">
        <f>'CC70 - Valores'!L72</f>
        <v>5.7974746603490709E-3</v>
      </c>
      <c r="V92" s="84">
        <f>'CC70 - Valores'!M72</f>
        <v>6.0813020348448894E-3</v>
      </c>
      <c r="W92" s="84">
        <f>'CC70 - Valores'!N72</f>
        <v>6.4498312359817286E-3</v>
      </c>
      <c r="X92" s="84">
        <f>'CC70 - Valores'!O72</f>
        <v>6.0080139166036797E-3</v>
      </c>
      <c r="Y92" s="84">
        <f>'CC70 - Valores'!P72</f>
        <v>6.2437397936611445E-3</v>
      </c>
      <c r="Z92" s="84">
        <f>'CC70 - Valores'!Q72</f>
        <v>6.5680008732277922E-3</v>
      </c>
      <c r="AA92" s="84">
        <f>'CC70 - Valores'!R72</f>
        <v>6.7705420678346772E-3</v>
      </c>
      <c r="AB92" s="84">
        <f>'CC70 - Valores'!S72</f>
        <v>6.9624391667945703E-3</v>
      </c>
      <c r="AC92" s="84">
        <f>'CC70 - Valores'!T72</f>
        <v>7.1473851106228599E-3</v>
      </c>
      <c r="AD92" s="84">
        <f>'CC70 - Valores'!U72</f>
        <v>7.2903395505117177E-3</v>
      </c>
      <c r="AE92" s="84">
        <f>'CC70 - Valores'!V72</f>
        <v>7.3992169660914665E-3</v>
      </c>
      <c r="AF92" s="84">
        <f>'CC70 - Valores'!W72</f>
        <v>7.6262524636911532E-3</v>
      </c>
      <c r="AG92" s="84">
        <f>'CC70 - Valores'!X72</f>
        <v>7.8315662697886756E-3</v>
      </c>
      <c r="AH92" s="84">
        <f>'CC70 - Valores'!Y72</f>
        <v>8.0229085358240436E-3</v>
      </c>
      <c r="AI92" s="84">
        <f>'CC70 - Valores'!Z72</f>
        <v>8.2082101115744672E-3</v>
      </c>
      <c r="AJ92" s="84">
        <f>'CC70 - Valores'!AA72</f>
        <v>8.3539278139543455E-3</v>
      </c>
      <c r="AK92" s="84">
        <f>'CC70 - Valores'!AB72</f>
        <v>8.53828302909471E-3</v>
      </c>
      <c r="AL92" s="84">
        <f>'CC70 - Valores'!AC72</f>
        <v>8.7017819727975478E-3</v>
      </c>
      <c r="AM92" s="84">
        <f>'CC70 - Valores'!AD72</f>
        <v>8.9168808510428181E-3</v>
      </c>
      <c r="AN92" s="84">
        <f>'CC70 - Valores'!AE72</f>
        <v>9.0931756673680569E-3</v>
      </c>
      <c r="AO92" s="84">
        <f>'CC70 - Valores'!AF72</f>
        <v>9.2646191720722956E-3</v>
      </c>
      <c r="AP92" s="84">
        <f>'CC70 - Valores'!AG72</f>
        <v>9.4415055109926E-3</v>
      </c>
      <c r="AQ92" s="84">
        <f>'CC70 - Valores'!AH72</f>
        <v>9.6199797848209659E-3</v>
      </c>
      <c r="AR92" s="84">
        <f>'CC70 - Valores'!AI72</f>
        <v>9.8226529157210661E-3</v>
      </c>
      <c r="AS92" s="84">
        <f>'CC70 - Valores'!AJ72</f>
        <v>1.0009497263928992E-2</v>
      </c>
      <c r="AT92" s="84">
        <f>'CC70 - Valores'!AK72</f>
        <v>1.0197489225163983E-2</v>
      </c>
      <c r="AU92" s="84">
        <f>'CC70 - Valores'!AL72</f>
        <v>1.0390496319512289E-2</v>
      </c>
      <c r="AV92" s="84">
        <f>'CC70 - Valores'!AM72</f>
        <v>1.0585074964711928E-2</v>
      </c>
      <c r="AW92" s="84">
        <f>'CC70 - Valores'!AN72</f>
        <v>1.0785139854726138E-2</v>
      </c>
      <c r="AX92" s="84">
        <f>'CC70 - Valores'!AO72</f>
        <v>1.0979779179192668E-2</v>
      </c>
      <c r="AY92" s="84">
        <f>'CC70 - Valores'!AP72</f>
        <v>1.1176752643772677E-2</v>
      </c>
      <c r="AZ92" s="84">
        <f>'CC70 - Valores'!AQ72</f>
        <v>1.1375899366915191E-2</v>
      </c>
      <c r="BA92" s="84">
        <f>'CC70 - Valores'!AR72</f>
        <v>1.1576205688751983E-2</v>
      </c>
      <c r="BB92" s="84">
        <f>'CC70 - Valores'!AS72</f>
        <v>1.1776749287031292E-2</v>
      </c>
      <c r="BC92" s="84">
        <f>'CC70 - Valores'!AT72</f>
        <v>1.1978166654374636E-2</v>
      </c>
      <c r="BD92" s="84">
        <f>'CC70 - Valores'!AU72</f>
        <v>1.2180725806810472E-2</v>
      </c>
      <c r="BE92" s="84">
        <f>'CC70 - Valores'!AV72</f>
        <v>1.2384460798455203E-2</v>
      </c>
      <c r="BF92" s="84">
        <f>'CC70 - Valores'!AW72</f>
        <v>1.2588801191107788E-2</v>
      </c>
      <c r="BG92" s="84">
        <f>'CC70 - Valores'!AX72</f>
        <v>1.2793668661033354E-2</v>
      </c>
      <c r="BH92" s="84">
        <f>'CC70 - Valores'!AY72</f>
        <v>1.2998771749142587E-2</v>
      </c>
      <c r="BI92" s="84">
        <f>'CC70 - Valores'!AZ72</f>
        <v>1.3204486138564174E-2</v>
      </c>
      <c r="BJ92" s="84">
        <f>'CC70 - Valores'!BA72</f>
        <v>1.3410682168721938E-2</v>
      </c>
      <c r="BK92" s="84">
        <f>'CC70 - Valores'!BB72</f>
        <v>1.3617217786810432E-2</v>
      </c>
    </row>
    <row r="93" spans="1:63" x14ac:dyDescent="0.3">
      <c r="A93" s="386"/>
      <c r="B93" t="s">
        <v>396</v>
      </c>
      <c r="C93" s="277"/>
      <c r="D93" s="277"/>
      <c r="E93" s="277"/>
      <c r="F93" s="277"/>
      <c r="G93" s="277"/>
      <c r="H93" s="356"/>
      <c r="I93" s="356"/>
      <c r="J93" s="356"/>
      <c r="K93" s="82">
        <f t="shared" ref="K93:N93" si="55">K77</f>
        <v>3.8965876210799999E-3</v>
      </c>
      <c r="L93" s="82">
        <f t="shared" si="55"/>
        <v>5.9730357952980005E-2</v>
      </c>
      <c r="M93" s="82">
        <f t="shared" si="55"/>
        <v>3.4368561859499998E-2</v>
      </c>
      <c r="N93" s="82">
        <f t="shared" si="55"/>
        <v>2.1661270735499998E-2</v>
      </c>
      <c r="O93" s="82">
        <f t="shared" ref="O93" si="56">O77</f>
        <v>2.1554961105063407E-2</v>
      </c>
      <c r="P93" s="84">
        <f>'CC70 - Valores'!G73</f>
        <v>2.0492724225028781E-2</v>
      </c>
      <c r="Q93" s="84">
        <f>'CC70 - Valores'!H73</f>
        <v>2.4153358250614352E-2</v>
      </c>
      <c r="R93" s="84">
        <f>'CC70 - Valores'!I73</f>
        <v>2.3553347601943529E-2</v>
      </c>
      <c r="S93" s="84">
        <f>'CC70 - Valores'!J73</f>
        <v>2.7719312695059884E-2</v>
      </c>
      <c r="T93" s="84">
        <f>'CC70 - Valores'!K73</f>
        <v>2.7691593382364824E-2</v>
      </c>
      <c r="U93" s="84">
        <f>'CC70 - Valores'!L73</f>
        <v>2.766390178898246E-2</v>
      </c>
      <c r="V93" s="84">
        <f>'CC70 - Valores'!M73</f>
        <v>2.7636237887193479E-2</v>
      </c>
      <c r="W93" s="84">
        <f>'CC70 - Valores'!N73</f>
        <v>2.7608601649306286E-2</v>
      </c>
      <c r="X93" s="84">
        <f>'CC70 - Valores'!O73</f>
        <v>2.7580993047656981E-2</v>
      </c>
      <c r="Y93" s="84">
        <f>'CC70 - Valores'!P73</f>
        <v>2.7553412054609323E-2</v>
      </c>
      <c r="Z93" s="84">
        <f>'CC70 - Valores'!Q73</f>
        <v>2.7525858642554715E-2</v>
      </c>
      <c r="AA93" s="84">
        <f>'CC70 - Valores'!R73</f>
        <v>2.7498332783912161E-2</v>
      </c>
      <c r="AB93" s="84">
        <f>'CC70 - Valores'!S73</f>
        <v>2.7470834451128249E-2</v>
      </c>
      <c r="AC93" s="84">
        <f>'CC70 - Valores'!T73</f>
        <v>2.7443363616677121E-2</v>
      </c>
      <c r="AD93" s="84">
        <f>'CC70 - Valores'!U73</f>
        <v>2.7415920253060444E-2</v>
      </c>
      <c r="AE93" s="84">
        <f>'CC70 - Valores'!V73</f>
        <v>2.7388504332807383E-2</v>
      </c>
      <c r="AF93" s="84">
        <f>'CC70 - Valores'!W73</f>
        <v>2.7361115828474575E-2</v>
      </c>
      <c r="AG93" s="84">
        <f>'CC70 - Valores'!X73</f>
        <v>2.73337547126461E-2</v>
      </c>
      <c r="AH93" s="84">
        <f>'CC70 - Valores'!Y73</f>
        <v>2.7306420957933453E-2</v>
      </c>
      <c r="AI93" s="84">
        <f>'CC70 - Valores'!Z73</f>
        <v>2.727911453697552E-2</v>
      </c>
      <c r="AJ93" s="84">
        <f>'CC70 - Valores'!AA73</f>
        <v>2.7251835422438545E-2</v>
      </c>
      <c r="AK93" s="84">
        <f>'CC70 - Valores'!AB73</f>
        <v>2.7224583587016106E-2</v>
      </c>
      <c r="AL93" s="84">
        <f>'CC70 - Valores'!AC73</f>
        <v>2.7197359003429091E-2</v>
      </c>
      <c r="AM93" s="84">
        <f>'CC70 - Valores'!AD73</f>
        <v>2.717016164442566E-2</v>
      </c>
      <c r="AN93" s="84">
        <f>'CC70 - Valores'!AE73</f>
        <v>2.7142991482781233E-2</v>
      </c>
      <c r="AO93" s="84">
        <f>'CC70 - Valores'!AF73</f>
        <v>2.7115848491298451E-2</v>
      </c>
      <c r="AP93" s="84">
        <f>'CC70 - Valores'!AG73</f>
        <v>2.7088732642807152E-2</v>
      </c>
      <c r="AQ93" s="84">
        <f>'CC70 - Valores'!AH73</f>
        <v>2.7061643910164346E-2</v>
      </c>
      <c r="AR93" s="84">
        <f>'CC70 - Valores'!AI73</f>
        <v>2.7034582266254183E-2</v>
      </c>
      <c r="AS93" s="84">
        <f>'CC70 - Valores'!AJ73</f>
        <v>2.7007547683987929E-2</v>
      </c>
      <c r="AT93" s="84">
        <f>'CC70 - Valores'!AK73</f>
        <v>2.6980540136303941E-2</v>
      </c>
      <c r="AU93" s="84">
        <f>'CC70 - Valores'!AL73</f>
        <v>2.6953559596167638E-2</v>
      </c>
      <c r="AV93" s="84">
        <f>'CC70 - Valores'!AM73</f>
        <v>2.692660603657147E-2</v>
      </c>
      <c r="AW93" s="84">
        <f>'CC70 - Valores'!AN73</f>
        <v>2.6899679430534899E-2</v>
      </c>
      <c r="AX93" s="84">
        <f>'CC70 - Valores'!AO73</f>
        <v>2.6872779751104362E-2</v>
      </c>
      <c r="AY93" s="84">
        <f>'CC70 - Valores'!AP73</f>
        <v>2.6845906971353257E-2</v>
      </c>
      <c r="AZ93" s="84">
        <f>'CC70 - Valores'!AQ73</f>
        <v>2.6819061064381904E-2</v>
      </c>
      <c r="BA93" s="84">
        <f>'CC70 - Valores'!AR73</f>
        <v>2.6792242003317521E-2</v>
      </c>
      <c r="BB93" s="84">
        <f>'CC70 - Valores'!AS73</f>
        <v>2.6765449761314203E-2</v>
      </c>
      <c r="BC93" s="84">
        <f>'CC70 - Valores'!AT73</f>
        <v>2.673868431155289E-2</v>
      </c>
      <c r="BD93" s="84">
        <f>'CC70 - Valores'!AU73</f>
        <v>2.6711945627241336E-2</v>
      </c>
      <c r="BE93" s="84">
        <f>'CC70 - Valores'!AV73</f>
        <v>2.6685233681614094E-2</v>
      </c>
      <c r="BF93" s="84">
        <f>'CC70 - Valores'!AW73</f>
        <v>2.665854844793248E-2</v>
      </c>
      <c r="BG93" s="84">
        <f>'CC70 - Valores'!AX73</f>
        <v>2.6631889899484548E-2</v>
      </c>
      <c r="BH93" s="84">
        <f>'CC70 - Valores'!AY73</f>
        <v>2.6605258009585065E-2</v>
      </c>
      <c r="BI93" s="84">
        <f>'CC70 - Valores'!AZ73</f>
        <v>2.657865275157548E-2</v>
      </c>
      <c r="BJ93" s="84">
        <f>'CC70 - Valores'!BA73</f>
        <v>2.6552074098823906E-2</v>
      </c>
      <c r="BK93" s="84">
        <f>'CC70 - Valores'!BB73</f>
        <v>2.6525522024725082E-2</v>
      </c>
    </row>
    <row r="94" spans="1:63" x14ac:dyDescent="0.3">
      <c r="A94" s="386"/>
      <c r="B94" t="s">
        <v>397</v>
      </c>
      <c r="C94" s="277"/>
      <c r="D94" s="277"/>
      <c r="E94" s="277"/>
      <c r="F94" s="277"/>
      <c r="G94" s="277"/>
      <c r="H94" s="356"/>
      <c r="I94" s="356"/>
      <c r="J94" s="356"/>
      <c r="K94" s="82">
        <f t="shared" ref="K94:N94" si="57">K78</f>
        <v>4.4549999999999999E-5</v>
      </c>
      <c r="L94" s="82">
        <f t="shared" si="57"/>
        <v>5.1915600000000004E-3</v>
      </c>
      <c r="M94" s="82">
        <f t="shared" si="57"/>
        <v>9.9000000000000001E-6</v>
      </c>
      <c r="N94" s="82">
        <f t="shared" si="57"/>
        <v>4.6064700000000005E-3</v>
      </c>
      <c r="O94" s="82">
        <f t="shared" ref="O94" si="58">O78</f>
        <v>4.5838622717047873E-3</v>
      </c>
      <c r="P94" s="84">
        <f>'CC70 - Valores'!G74</f>
        <v>4.3579677533026953E-3</v>
      </c>
      <c r="Q94" s="84">
        <f>'CC70 - Valores'!H74</f>
        <v>5.1364355092226458E-3</v>
      </c>
      <c r="R94" s="84">
        <f>'CC70 - Valores'!I74</f>
        <v>5.0088376832902563E-3</v>
      </c>
      <c r="S94" s="84">
        <f>'CC70 - Valores'!J74</f>
        <v>5.8947687746291012E-3</v>
      </c>
      <c r="T94" s="84">
        <f>'CC70 - Valores'!K74</f>
        <v>6.2269222492112768E-3</v>
      </c>
      <c r="U94" s="84">
        <f>'CC70 - Valores'!L74</f>
        <v>6.5926765829329168E-3</v>
      </c>
      <c r="V94" s="84">
        <f>'CC70 - Valores'!M74</f>
        <v>6.9085741635421727E-3</v>
      </c>
      <c r="W94" s="84">
        <f>'CC70 - Valores'!N74</f>
        <v>7.319974488810374E-3</v>
      </c>
      <c r="X94" s="84">
        <f>'CC70 - Valores'!O74</f>
        <v>6.8118007917845197E-3</v>
      </c>
      <c r="Y94" s="84">
        <f>'CC70 - Valores'!P74</f>
        <v>7.0720614000280438E-3</v>
      </c>
      <c r="Z94" s="84">
        <f>'CC70 - Valores'!Q74</f>
        <v>7.4319892342154022E-3</v>
      </c>
      <c r="AA94" s="84">
        <f>'CC70 - Valores'!R74</f>
        <v>7.6536108748294085E-3</v>
      </c>
      <c r="AB94" s="84">
        <f>'CC70 - Valores'!S74</f>
        <v>7.8627748735362376E-3</v>
      </c>
      <c r="AC94" s="84">
        <f>'CC70 - Valores'!T74</f>
        <v>8.0636844287911846E-3</v>
      </c>
      <c r="AD94" s="84">
        <f>'CC70 - Valores'!U74</f>
        <v>8.216870280118185E-3</v>
      </c>
      <c r="AE94" s="84">
        <f>'CC70 - Valores'!V74</f>
        <v>8.3313847666323035E-3</v>
      </c>
      <c r="AF94" s="84">
        <f>'CC70 - Valores'!W74</f>
        <v>8.5785874502786637E-3</v>
      </c>
      <c r="AG94" s="84">
        <f>'CC70 - Valores'!X74</f>
        <v>8.8008947188794907E-3</v>
      </c>
      <c r="AH94" s="84">
        <f>'CC70 - Valores'!Y74</f>
        <v>9.0070806586278994E-3</v>
      </c>
      <c r="AI94" s="84">
        <f>'CC70 - Valores'!Z74</f>
        <v>9.2060876471899804E-3</v>
      </c>
      <c r="AJ94" s="84">
        <f>'CC70 - Valores'!AA74</f>
        <v>9.3603525189586943E-3</v>
      </c>
      <c r="AK94" s="84">
        <f>'CC70 - Valores'!AB74</f>
        <v>9.557565777560454E-3</v>
      </c>
      <c r="AL94" s="84">
        <f>'CC70 - Valores'!AC74</f>
        <v>9.7310706024690326E-3</v>
      </c>
      <c r="AM94" s="84">
        <f>'CC70 - Valores'!AD74</f>
        <v>9.9618840083651183E-3</v>
      </c>
      <c r="AN94" s="84">
        <f>'CC70 - Valores'!AE74</f>
        <v>1.014893808125311E-2</v>
      </c>
      <c r="AO94" s="84">
        <f>'CC70 - Valores'!AF74</f>
        <v>1.0330218580824913E-2</v>
      </c>
      <c r="AP94" s="84">
        <f>'CC70 - Valores'!AG74</f>
        <v>1.0517209350008964E-2</v>
      </c>
      <c r="AQ94" s="84">
        <f>'CC70 - Valores'!AH74</f>
        <v>1.070560381236378E-2</v>
      </c>
      <c r="AR94" s="84">
        <f>'CC70 - Valores'!AI74</f>
        <v>1.0920536036376331E-2</v>
      </c>
      <c r="AS94" s="84">
        <f>'CC70 - Valores'!AJ74</f>
        <v>1.1117470415780003E-2</v>
      </c>
      <c r="AT94" s="84">
        <f>'CC70 - Valores'!AK74</f>
        <v>1.1315296549112567E-2</v>
      </c>
      <c r="AU94" s="84">
        <f>'CC70 - Valores'!AL74</f>
        <v>1.1518299154127429E-2</v>
      </c>
      <c r="AV94" s="84">
        <f>'CC70 - Valores'!AM74</f>
        <v>1.1722649549113544E-2</v>
      </c>
      <c r="AW94" s="84">
        <f>'CC70 - Valores'!AN74</f>
        <v>1.1932675043494241E-2</v>
      </c>
      <c r="AX94" s="84">
        <f>'CC70 - Valores'!AO74</f>
        <v>1.2136298033638639E-2</v>
      </c>
      <c r="AY94" s="84">
        <f>'CC70 - Valores'!AP74</f>
        <v>1.2342105819401242E-2</v>
      </c>
      <c r="AZ94" s="84">
        <f>'CC70 - Valores'!AQ74</f>
        <v>1.2549914601499734E-2</v>
      </c>
      <c r="BA94" s="84">
        <f>'CC70 - Valores'!AR74</f>
        <v>1.2758601407005511E-2</v>
      </c>
      <c r="BB94" s="84">
        <f>'CC70 - Valores'!AS74</f>
        <v>1.2967148152178481E-2</v>
      </c>
      <c r="BC94" s="84">
        <f>'CC70 - Valores'!AT74</f>
        <v>1.317625539699197E-2</v>
      </c>
      <c r="BD94" s="84">
        <f>'CC70 - Valores'!AU74</f>
        <v>1.3386216068502304E-2</v>
      </c>
      <c r="BE94" s="84">
        <f>'CC70 - Valores'!AV74</f>
        <v>1.3597065100452378E-2</v>
      </c>
      <c r="BF94" s="84">
        <f>'CC70 - Valores'!AW74</f>
        <v>1.3808174248250472E-2</v>
      </c>
      <c r="BG94" s="84">
        <f>'CC70 - Valores'!AX74</f>
        <v>1.4019456937056047E-2</v>
      </c>
      <c r="BH94" s="84">
        <f>'CC70 - Valores'!AY74</f>
        <v>1.4230593590083288E-2</v>
      </c>
      <c r="BI94" s="84">
        <f>'CC70 - Valores'!AZ74</f>
        <v>1.4441995517495802E-2</v>
      </c>
      <c r="BJ94" s="84">
        <f>'CC70 - Valores'!BA74</f>
        <v>1.4653520283019873E-2</v>
      </c>
      <c r="BK94" s="84">
        <f>'CC70 - Valores'!BB74</f>
        <v>1.4865012465739591E-2</v>
      </c>
    </row>
    <row r="95" spans="1:63" x14ac:dyDescent="0.3">
      <c r="A95" s="386"/>
      <c r="B95" t="s">
        <v>398</v>
      </c>
      <c r="C95" s="277"/>
      <c r="D95" s="277"/>
      <c r="E95" s="277"/>
      <c r="F95" s="277"/>
      <c r="G95" s="277"/>
      <c r="H95" s="356"/>
      <c r="I95" s="356"/>
      <c r="J95" s="356"/>
      <c r="K95" s="82">
        <f t="shared" ref="K95:N95" si="59">K79</f>
        <v>0.28023870444768001</v>
      </c>
      <c r="L95" s="82">
        <f t="shared" si="59"/>
        <v>0.18561949282305001</v>
      </c>
      <c r="M95" s="82">
        <f t="shared" si="59"/>
        <v>0.16102851381539998</v>
      </c>
      <c r="N95" s="82">
        <f t="shared" si="59"/>
        <v>0.11199071555099999</v>
      </c>
      <c r="O95" s="82">
        <f t="shared" ref="O95" si="60">O79</f>
        <v>0.11144108521176765</v>
      </c>
      <c r="P95" s="84">
        <f>'CC70 - Valores'!G75</f>
        <v>0.10629885756333729</v>
      </c>
      <c r="Q95" s="84">
        <f>'CC70 - Valores'!H75</f>
        <v>0.12549316327802049</v>
      </c>
      <c r="R95" s="84">
        <f>'CC70 - Valores'!I75</f>
        <v>0.12257662420847414</v>
      </c>
      <c r="S95" s="84">
        <f>'CC70 - Valores'!J75</f>
        <v>0.14449365520806629</v>
      </c>
      <c r="T95" s="84">
        <f>'CC70 - Valores'!K75</f>
        <v>0.152885249964826</v>
      </c>
      <c r="U95" s="84">
        <f>'CC70 - Valores'!L75</f>
        <v>0.16212981901074849</v>
      </c>
      <c r="V95" s="84">
        <f>'CC70 - Valores'!M75</f>
        <v>0.17017563413572656</v>
      </c>
      <c r="W95" s="84">
        <f>'CC70 - Valores'!N75</f>
        <v>0.18060309806686467</v>
      </c>
      <c r="X95" s="84">
        <f>'CC70 - Valores'!O75</f>
        <v>0.16833836087135109</v>
      </c>
      <c r="Y95" s="84">
        <f>'CC70 - Valores'!P75</f>
        <v>0.17505380720838601</v>
      </c>
      <c r="Z95" s="84">
        <f>'CC70 - Valores'!Q75</f>
        <v>0.1842611816412115</v>
      </c>
      <c r="AA95" s="84">
        <f>'CC70 - Valores'!R75</f>
        <v>0.1900628613578709</v>
      </c>
      <c r="AB95" s="84">
        <f>'CC70 - Valores'!S75</f>
        <v>0.19557245984911709</v>
      </c>
      <c r="AC95" s="84">
        <f>'CC70 - Valores'!T75</f>
        <v>0.2008931935819479</v>
      </c>
      <c r="AD95" s="84">
        <f>'CC70 - Valores'!U75</f>
        <v>0.20503917539283856</v>
      </c>
      <c r="AE95" s="84">
        <f>'CC70 - Valores'!V75</f>
        <v>0.20823091221612486</v>
      </c>
      <c r="AF95" s="84">
        <f>'CC70 - Valores'!W75</f>
        <v>0.21475350859522563</v>
      </c>
      <c r="AG95" s="84">
        <f>'CC70 - Valores'!X75</f>
        <v>0.22067171542179712</v>
      </c>
      <c r="AH95" s="84">
        <f>'CC70 - Valores'!Y75</f>
        <v>0.22620288820915466</v>
      </c>
      <c r="AI95" s="84">
        <f>'CC70 - Valores'!Z75</f>
        <v>0.23157002353649447</v>
      </c>
      <c r="AJ95" s="84">
        <f>'CC70 - Valores'!AA75</f>
        <v>0.23582588640138566</v>
      </c>
      <c r="AK95" s="84">
        <f>'CC70 - Valores'!AB75</f>
        <v>0.24117789552015015</v>
      </c>
      <c r="AL95" s="84">
        <f>'CC70 - Valores'!AC75</f>
        <v>0.24594651141064192</v>
      </c>
      <c r="AM95" s="84">
        <f>'CC70 - Valores'!AD75</f>
        <v>0.25217978348151698</v>
      </c>
      <c r="AN95" s="84">
        <f>'CC70 - Valores'!AE75</f>
        <v>0.25732207376669064</v>
      </c>
      <c r="AO95" s="84">
        <f>'CC70 - Valores'!AF75</f>
        <v>0.26233275295137798</v>
      </c>
      <c r="AP95" s="84">
        <f>'CC70 - Valores'!AG75</f>
        <v>0.26750321558586981</v>
      </c>
      <c r="AQ95" s="84">
        <f>'CC70 - Valores'!AH75</f>
        <v>0.27272443915239469</v>
      </c>
      <c r="AR95" s="84">
        <f>'CC70 - Valores'!AI75</f>
        <v>0.27863788928127653</v>
      </c>
      <c r="AS95" s="84">
        <f>'CC70 - Valores'!AJ75</f>
        <v>0.28410864540880892</v>
      </c>
      <c r="AT95" s="84">
        <f>'CC70 - Valores'!AK75</f>
        <v>0.28961802593035435</v>
      </c>
      <c r="AU95" s="84">
        <f>'CC70 - Valores'!AL75</f>
        <v>0.29527597853062404</v>
      </c>
      <c r="AV95" s="84">
        <f>'CC70 - Valores'!AM75</f>
        <v>0.30098482286324296</v>
      </c>
      <c r="AW95" s="84">
        <f>'CC70 - Valores'!AN75</f>
        <v>0.3068560005198625</v>
      </c>
      <c r="AX95" s="84">
        <f>'CC70 - Valores'!AO75</f>
        <v>0.31257912704575752</v>
      </c>
      <c r="AY95" s="84">
        <f>'CC70 - Valores'!AP75</f>
        <v>0.31837494853399378</v>
      </c>
      <c r="AZ95" s="84">
        <f>'CC70 - Valores'!AQ75</f>
        <v>0.32423897927904249</v>
      </c>
      <c r="BA95" s="84">
        <f>'CC70 - Valores'!AR75</f>
        <v>0.33014240196504618</v>
      </c>
      <c r="BB95" s="84">
        <f>'CC70 - Valores'!AS75</f>
        <v>0.33605893741470189</v>
      </c>
      <c r="BC95" s="84">
        <f>'CC70 - Valores'!AT75</f>
        <v>0.34200675271310443</v>
      </c>
      <c r="BD95" s="84">
        <f>'CC70 - Valores'!AU75</f>
        <v>0.3479935303633529</v>
      </c>
      <c r="BE95" s="84">
        <f>'CC70 - Valores'!AV75</f>
        <v>0.35402028262209617</v>
      </c>
      <c r="BF95" s="84">
        <f>'CC70 - Valores'!AW75</f>
        <v>0.36007073389128996</v>
      </c>
      <c r="BG95" s="84">
        <f>'CC70 - Valores'!AX75</f>
        <v>0.36614265442043986</v>
      </c>
      <c r="BH95" s="84">
        <f>'CC70 - Valores'!AY75</f>
        <v>0.3722277059672699</v>
      </c>
      <c r="BI95" s="84">
        <f>'CC70 - Valores'!AZ75</f>
        <v>0.37833664604098394</v>
      </c>
      <c r="BJ95" s="84">
        <f>'CC70 - Valores'!BA75</f>
        <v>0.38446576945164873</v>
      </c>
      <c r="BK95" s="84">
        <f>'CC70 - Valores'!BB75</f>
        <v>0.39061100695435624</v>
      </c>
    </row>
    <row r="96" spans="1:63" x14ac:dyDescent="0.3">
      <c r="A96" s="386"/>
      <c r="B96" t="s">
        <v>399</v>
      </c>
      <c r="C96" s="282"/>
      <c r="D96" s="282"/>
      <c r="E96" s="282"/>
      <c r="F96" s="282"/>
      <c r="G96" s="282"/>
      <c r="H96" s="283"/>
      <c r="I96" s="283"/>
      <c r="J96" s="283"/>
      <c r="K96" s="82">
        <f t="shared" ref="K96:N96" si="61">K80</f>
        <v>8.6801219999999999E-7</v>
      </c>
      <c r="L96" s="82">
        <f t="shared" si="61"/>
        <v>4.6549205999999994E-6</v>
      </c>
      <c r="M96" s="82">
        <f t="shared" si="61"/>
        <v>4.9500000000000003E-7</v>
      </c>
      <c r="N96" s="82">
        <f t="shared" si="61"/>
        <v>8.9170784999999992E-6</v>
      </c>
      <c r="O96" s="82">
        <f t="shared" ref="O96" si="62">O80</f>
        <v>8.873315078569905E-6</v>
      </c>
      <c r="P96" s="84">
        <f>'CC70 - Valores'!G76</f>
        <v>8.4360346548808007E-6</v>
      </c>
      <c r="Q96" s="84">
        <f>'CC70 - Valores'!H76</f>
        <v>9.942971222199602E-6</v>
      </c>
      <c r="R96" s="84">
        <f>'CC70 - Valores'!I76</f>
        <v>9.695970844411739E-6</v>
      </c>
      <c r="S96" s="84">
        <f>'CC70 - Valores'!J76</f>
        <v>1.1410931994068451E-5</v>
      </c>
      <c r="T96" s="84">
        <f>'CC70 - Valores'!K76</f>
        <v>1.2053905595741101E-5</v>
      </c>
      <c r="U96" s="84">
        <f>'CC70 - Valores'!L76</f>
        <v>1.2761922820538193E-5</v>
      </c>
      <c r="V96" s="84">
        <f>'CC70 - Valores'!M76</f>
        <v>1.3373428707747445E-5</v>
      </c>
      <c r="W96" s="84">
        <f>'CC70 - Valores'!N76</f>
        <v>1.4169806193184686E-5</v>
      </c>
      <c r="X96" s="84">
        <f>'CC70 - Valores'!O76</f>
        <v>1.3186097464371786E-5</v>
      </c>
      <c r="Y96" s="84">
        <f>'CC70 - Valores'!P76</f>
        <v>1.3689902823826043E-5</v>
      </c>
      <c r="Z96" s="84">
        <f>'CC70 - Valores'!Q76</f>
        <v>1.4386641270355306E-5</v>
      </c>
      <c r="AA96" s="84">
        <f>'CC70 - Valores'!R76</f>
        <v>1.4815650374214419E-5</v>
      </c>
      <c r="AB96" s="84">
        <f>'CC70 - Valores'!S76</f>
        <v>1.5220544315962154E-5</v>
      </c>
      <c r="AC96" s="84">
        <f>'CC70 - Valores'!T76</f>
        <v>1.5609459532083924E-5</v>
      </c>
      <c r="AD96" s="84">
        <f>'CC70 - Valores'!U76</f>
        <v>1.5905992508825808E-5</v>
      </c>
      <c r="AE96" s="84">
        <f>'CC70 - Valores'!V76</f>
        <v>1.6127666516392032E-5</v>
      </c>
      <c r="AF96" s="84">
        <f>'CC70 - Valores'!W76</f>
        <v>1.6606194702939487E-5</v>
      </c>
      <c r="AG96" s="84">
        <f>'CC70 - Valores'!X76</f>
        <v>1.7036531026682866E-5</v>
      </c>
      <c r="AH96" s="84">
        <f>'CC70 - Valores'!Y76</f>
        <v>1.7435660123438695E-5</v>
      </c>
      <c r="AI96" s="84">
        <f>'CC70 - Valores'!Z76</f>
        <v>1.7820892403049043E-5</v>
      </c>
      <c r="AJ96" s="84">
        <f>'CC70 - Valores'!AA76</f>
        <v>1.8119514118018218E-5</v>
      </c>
      <c r="AK96" s="84">
        <f>'CC70 - Valores'!AB76</f>
        <v>1.8501274144284033E-5</v>
      </c>
      <c r="AL96" s="84">
        <f>'CC70 - Valores'!AC76</f>
        <v>1.8837140033747886E-5</v>
      </c>
      <c r="AM96" s="84">
        <f>'CC70 - Valores'!AD76</f>
        <v>1.9283942305167816E-5</v>
      </c>
      <c r="AN96" s="84">
        <f>'CC70 - Valores'!AE76</f>
        <v>1.9646036457889301E-5</v>
      </c>
      <c r="AO96" s="84">
        <f>'CC70 - Valores'!AF76</f>
        <v>1.9996954285466813E-5</v>
      </c>
      <c r="AP96" s="84">
        <f>'CC70 - Valores'!AG76</f>
        <v>2.0358925896611481E-5</v>
      </c>
      <c r="AQ96" s="84">
        <f>'CC70 - Valores'!AH76</f>
        <v>2.0723614738562732E-5</v>
      </c>
      <c r="AR96" s="84">
        <f>'CC70 - Valores'!AI76</f>
        <v>2.1139674652922211E-5</v>
      </c>
      <c r="AS96" s="84">
        <f>'CC70 - Valores'!AJ76</f>
        <v>2.1520894832472132E-5</v>
      </c>
      <c r="AT96" s="84">
        <f>'CC70 - Valores'!AK76</f>
        <v>2.1903841244861213E-5</v>
      </c>
      <c r="AU96" s="84">
        <f>'CC70 - Valores'!AL76</f>
        <v>2.2296808129400137E-5</v>
      </c>
      <c r="AV96" s="84">
        <f>'CC70 - Valores'!AM76</f>
        <v>2.2692384028862674E-5</v>
      </c>
      <c r="AW96" s="84">
        <f>'CC70 - Valores'!AN76</f>
        <v>2.309894563034797E-5</v>
      </c>
      <c r="AX96" s="84">
        <f>'CC70 - Valores'!AO76</f>
        <v>2.349311343943439E-5</v>
      </c>
      <c r="AY96" s="84">
        <f>'CC70 - Valores'!AP76</f>
        <v>2.3891510516058425E-5</v>
      </c>
      <c r="AZ96" s="84">
        <f>'CC70 - Valores'!AQ76</f>
        <v>2.4293781066601824E-5</v>
      </c>
      <c r="BA96" s="84">
        <f>'CC70 - Valores'!AR76</f>
        <v>2.4697751270816601E-5</v>
      </c>
      <c r="BB96" s="84">
        <f>'CC70 - Valores'!AS76</f>
        <v>2.5101450350074011E-5</v>
      </c>
      <c r="BC96" s="84">
        <f>'CC70 - Valores'!AT76</f>
        <v>2.5506234429188951E-5</v>
      </c>
      <c r="BD96" s="84">
        <f>'CC70 - Valores'!AU76</f>
        <v>2.5912670548336663E-5</v>
      </c>
      <c r="BE96" s="84">
        <f>'CC70 - Valores'!AV76</f>
        <v>2.6320826331300147E-5</v>
      </c>
      <c r="BF96" s="84">
        <f>'CC70 - Valores'!AW76</f>
        <v>2.6729485639400213E-5</v>
      </c>
      <c r="BG96" s="84">
        <f>'CC70 - Valores'!AX76</f>
        <v>2.7138480883430976E-5</v>
      </c>
      <c r="BH96" s="84">
        <f>'CC70 - Valores'!AY76</f>
        <v>2.7547193435400526E-5</v>
      </c>
      <c r="BI96" s="84">
        <f>'CC70 - Valores'!AZ76</f>
        <v>2.7956419498261826E-5</v>
      </c>
      <c r="BJ96" s="84">
        <f>'CC70 - Valores'!BA76</f>
        <v>2.8365883347776149E-5</v>
      </c>
      <c r="BK96" s="84">
        <f>'CC70 - Valores'!BB76</f>
        <v>2.8775284124389927E-5</v>
      </c>
    </row>
    <row r="97" spans="1:63" x14ac:dyDescent="0.3">
      <c r="A97" s="386"/>
      <c r="B97" t="s">
        <v>400</v>
      </c>
      <c r="C97" s="276"/>
      <c r="D97" s="276"/>
      <c r="E97" s="276"/>
      <c r="F97" s="276"/>
      <c r="G97" s="276"/>
      <c r="H97" s="128"/>
      <c r="I97" s="359"/>
      <c r="J97" s="359"/>
      <c r="K97" s="82">
        <f t="shared" ref="K97:N97" si="63">K81</f>
        <v>3.0641323775039996E-2</v>
      </c>
      <c r="L97" s="82">
        <f t="shared" si="63"/>
        <v>5.4142762469399995E-2</v>
      </c>
      <c r="M97" s="82">
        <f t="shared" si="63"/>
        <v>6.0311352231899998E-2</v>
      </c>
      <c r="N97" s="82">
        <f t="shared" si="63"/>
        <v>6.5032651292400004E-2</v>
      </c>
      <c r="O97" s="82">
        <f t="shared" ref="O97" si="64">O81</f>
        <v>6.4713482707619049E-2</v>
      </c>
      <c r="P97" s="84">
        <f>'CC70 - Valores'!G77</f>
        <v>6.1770474578806384E-2</v>
      </c>
      <c r="Q97" s="84">
        <f>'CC70 - Valores'!H77</f>
        <v>7.2949619876677876E-2</v>
      </c>
      <c r="R97" s="84">
        <f>'CC70 - Valores'!I77</f>
        <v>7.1278853089925473E-2</v>
      </c>
      <c r="S97" s="84">
        <f>'CC70 - Valores'!J77</f>
        <v>8.4052640436490439E-2</v>
      </c>
      <c r="T97" s="84">
        <f>'CC70 - Valores'!K77</f>
        <v>8.8964587290688554E-2</v>
      </c>
      <c r="U97" s="84">
        <f>'CC70 - Valores'!L77</f>
        <v>9.4376298255207935E-2</v>
      </c>
      <c r="V97" s="84">
        <f>'CC70 - Valores'!M77</f>
        <v>9.9093540350291456E-2</v>
      </c>
      <c r="W97" s="84">
        <f>'CC70 - Valores'!N77</f>
        <v>0.10520116719988842</v>
      </c>
      <c r="X97" s="84">
        <f>'CC70 - Valores'!O77</f>
        <v>9.8090132981811462E-2</v>
      </c>
      <c r="Y97" s="84">
        <f>'CC70 - Valores'!P77</f>
        <v>0.10203757558635745</v>
      </c>
      <c r="Z97" s="84">
        <f>'CC70 - Valores'!Q77</f>
        <v>0.1074405545722133</v>
      </c>
      <c r="AA97" s="84">
        <f>'CC70 - Valores'!R77</f>
        <v>0.11086053028379959</v>
      </c>
      <c r="AB97" s="84">
        <f>'CC70 - Valores'!S77</f>
        <v>0.11411222372977216</v>
      </c>
      <c r="AC97" s="84">
        <f>'CC70 - Valores'!T77</f>
        <v>0.11725569924849581</v>
      </c>
      <c r="AD97" s="84">
        <f>'CC70 - Valores'!U77</f>
        <v>0.11971521254894717</v>
      </c>
      <c r="AE97" s="84">
        <f>'CC70 - Valores'!V77</f>
        <v>0.12161886426738756</v>
      </c>
      <c r="AF97" s="84">
        <f>'CC70 - Valores'!W77</f>
        <v>0.12546966864861872</v>
      </c>
      <c r="AG97" s="84">
        <f>'CC70 - Valores'!X77</f>
        <v>0.12896961164882151</v>
      </c>
      <c r="AH97" s="84">
        <f>'CC70 - Valores'!Y77</f>
        <v>0.13224540897052864</v>
      </c>
      <c r="AI97" s="84">
        <f>'CC70 - Valores'!Z77</f>
        <v>0.13542724294557651</v>
      </c>
      <c r="AJ97" s="84">
        <f>'CC70 - Valores'!AA77</f>
        <v>0.1379608674664789</v>
      </c>
      <c r="AK97" s="84">
        <f>'CC70 - Valores'!AB77</f>
        <v>0.14113742609143501</v>
      </c>
      <c r="AL97" s="84">
        <f>'CC70 - Valores'!AC77</f>
        <v>0.14397434751758145</v>
      </c>
      <c r="AM97" s="84">
        <f>'CC70 - Valores'!AD77</f>
        <v>0.14767058406500236</v>
      </c>
      <c r="AN97" s="84">
        <f>'CC70 - Valores'!AE77</f>
        <v>0.15072995015490373</v>
      </c>
      <c r="AO97" s="84">
        <f>'CC70 - Valores'!AF77</f>
        <v>0.15371396837254434</v>
      </c>
      <c r="AP97" s="84">
        <f>'CC70 - Valores'!AG77</f>
        <v>0.1567933538455881</v>
      </c>
      <c r="AQ97" s="84">
        <f>'CC70 - Valores'!AH77</f>
        <v>0.15990426508390929</v>
      </c>
      <c r="AR97" s="84">
        <f>'CC70 - Valores'!AI77</f>
        <v>0.16342294570431035</v>
      </c>
      <c r="AS97" s="84">
        <f>'CC70 - Valores'!AJ77</f>
        <v>0.16668392251871372</v>
      </c>
      <c r="AT97" s="84">
        <f>'CC70 - Valores'!AK77</f>
        <v>0.16996941557688214</v>
      </c>
      <c r="AU97" s="84">
        <f>'CC70 - Valores'!AL77</f>
        <v>0.17334398303005574</v>
      </c>
      <c r="AV97" s="84">
        <f>'CC70 - Valores'!AM77</f>
        <v>0.17675033572656404</v>
      </c>
      <c r="AW97" s="84">
        <f>'CC70 - Valores'!AN77</f>
        <v>0.18025395579376841</v>
      </c>
      <c r="AX97" s="84">
        <f>'CC70 - Valores'!AO77</f>
        <v>0.18367253969708339</v>
      </c>
      <c r="AY97" s="84">
        <f>'CC70 - Valores'!AP77</f>
        <v>0.18713574904440511</v>
      </c>
      <c r="AZ97" s="84">
        <f>'CC70 - Valores'!AQ77</f>
        <v>0.19064097687620116</v>
      </c>
      <c r="BA97" s="84">
        <f>'CC70 - Valores'!AR77</f>
        <v>0.19417130232702978</v>
      </c>
      <c r="BB97" s="84">
        <f>'CC70 - Valores'!AS77</f>
        <v>0.19771127695621865</v>
      </c>
      <c r="BC97" s="84">
        <f>'CC70 - Valores'!AT77</f>
        <v>0.20127159018144058</v>
      </c>
      <c r="BD97" s="84">
        <f>'CC70 - Valores'!AU77</f>
        <v>0.2048567723074442</v>
      </c>
      <c r="BE97" s="84">
        <f>'CC70 - Valores'!AV77</f>
        <v>0.20846743122166642</v>
      </c>
      <c r="BF97" s="84">
        <f>'CC70 - Valores'!AW77</f>
        <v>0.21209399231685711</v>
      </c>
      <c r="BG97" s="84">
        <f>'CC70 - Valores'!AX77</f>
        <v>0.21573514538964933</v>
      </c>
      <c r="BH97" s="84">
        <f>'CC70 - Valores'!AY77</f>
        <v>0.21938597838377355</v>
      </c>
      <c r="BI97" s="84">
        <f>'CC70 - Valores'!AZ77</f>
        <v>0.2230528315066731</v>
      </c>
      <c r="BJ97" s="84">
        <f>'CC70 - Valores'!BA77</f>
        <v>0.22673352331608121</v>
      </c>
      <c r="BK97" s="84">
        <f>'CC70 - Valores'!BB77</f>
        <v>0.23042565500513409</v>
      </c>
    </row>
    <row r="98" spans="1:63" x14ac:dyDescent="0.3">
      <c r="A98" s="386"/>
      <c r="B98" t="s">
        <v>401</v>
      </c>
      <c r="C98" s="278"/>
      <c r="D98" s="278"/>
      <c r="E98" s="278"/>
      <c r="F98" s="278"/>
      <c r="G98" s="278"/>
      <c r="H98" s="279"/>
      <c r="I98" s="279"/>
      <c r="J98" s="279"/>
      <c r="K98" s="82">
        <f t="shared" ref="K98:N98" si="65">K82</f>
        <v>9.3159000000000002E-3</v>
      </c>
      <c r="L98" s="82">
        <f t="shared" si="65"/>
        <v>2.4482699999999998E-3</v>
      </c>
      <c r="M98" s="82">
        <f t="shared" si="65"/>
        <v>1.0963260000000001E-2</v>
      </c>
      <c r="N98" s="82">
        <f t="shared" si="65"/>
        <v>1.1109780000000001E-2</v>
      </c>
      <c r="O98" s="82">
        <f t="shared" ref="O98" si="66">O82</f>
        <v>1.1055255193009053E-2</v>
      </c>
      <c r="P98" s="84">
        <f>'CC70 - Valores'!G78</f>
        <v>1.0541979254232866E-2</v>
      </c>
      <c r="Q98" s="84">
        <f>'CC70 - Valores'!H78</f>
        <v>1.2443684534983183E-2</v>
      </c>
      <c r="R98" s="84">
        <f>'CC70 - Valores'!I78</f>
        <v>1.2152682471690209E-2</v>
      </c>
      <c r="S98" s="84">
        <f>'CC70 - Valores'!J78</f>
        <v>1.4323496325554358E-2</v>
      </c>
      <c r="T98" s="84">
        <f>'CC70 - Valores'!K78</f>
        <v>1.5153111578331135E-2</v>
      </c>
      <c r="U98" s="84">
        <f>'CC70 - Valores'!L78</f>
        <v>1.6067018759535083E-2</v>
      </c>
      <c r="V98" s="84">
        <f>'CC70 - Valores'!M78</f>
        <v>1.6861885986337737E-2</v>
      </c>
      <c r="W98" s="84">
        <f>'CC70 - Valores'!N78</f>
        <v>1.7892479666572387E-2</v>
      </c>
      <c r="X98" s="84">
        <f>'CC70 - Valores'!O78</f>
        <v>1.6674975051082518E-2</v>
      </c>
      <c r="Y98" s="84">
        <f>'CC70 - Valores'!P78</f>
        <v>1.7337665406432001E-2</v>
      </c>
      <c r="Z98" s="84">
        <f>'CC70 - Valores'!Q78</f>
        <v>1.8246940744405721E-2</v>
      </c>
      <c r="AA98" s="84">
        <f>'CC70 - Valores'!R78</f>
        <v>1.8818752042008096E-2</v>
      </c>
      <c r="AB98" s="84">
        <f>'CC70 - Valores'!S78</f>
        <v>1.9361490840978064E-2</v>
      </c>
      <c r="AC98" s="84">
        <f>'CC70 - Valores'!T78</f>
        <v>1.9885387203899051E-2</v>
      </c>
      <c r="AD98" s="84">
        <f>'CC70 - Valores'!U78</f>
        <v>2.0292875891315267E-2</v>
      </c>
      <c r="AE98" s="84">
        <f>'CC70 - Valores'!V78</f>
        <v>2.0605827906157739E-2</v>
      </c>
      <c r="AF98" s="84">
        <f>'CC70 - Valores'!W78</f>
        <v>2.1248263247998465E-2</v>
      </c>
      <c r="AG98" s="84">
        <f>'CC70 - Valores'!X78</f>
        <v>2.1830733782617812E-2</v>
      </c>
      <c r="AH98" s="84">
        <f>'CC70 - Valores'!Y78</f>
        <v>2.2374765296723817E-2</v>
      </c>
      <c r="AI98" s="84">
        <f>'CC70 - Valores'!Z78</f>
        <v>2.290242921071009E-2</v>
      </c>
      <c r="AJ98" s="84">
        <f>'CC70 - Valores'!AA78</f>
        <v>2.3320064017771397E-2</v>
      </c>
      <c r="AK98" s="84">
        <f>'CC70 - Valores'!AB78</f>
        <v>2.3845970506051556E-2</v>
      </c>
      <c r="AL98" s="84">
        <f>'CC70 - Valores'!AC78</f>
        <v>2.4314065973724503E-2</v>
      </c>
      <c r="AM98" s="84">
        <f>'CC70 - Valores'!AD78</f>
        <v>2.4926815426540634E-2</v>
      </c>
      <c r="AN98" s="84">
        <f>'CC70 - Valores'!AE78</f>
        <v>2.5431581149922076E-2</v>
      </c>
      <c r="AO98" s="84">
        <f>'CC70 - Valores'!AF78</f>
        <v>2.5923211753070025E-2</v>
      </c>
      <c r="AP98" s="84">
        <f>'CC70 - Valores'!AG78</f>
        <v>2.6430504299480805E-2</v>
      </c>
      <c r="AQ98" s="84">
        <f>'CC70 - Valores'!AH78</f>
        <v>2.6942682446288065E-2</v>
      </c>
      <c r="AR98" s="84">
        <f>'CC70 - Valores'!AI78</f>
        <v>2.7523107004776448E-2</v>
      </c>
      <c r="AS98" s="84">
        <f>'CC70 - Valores'!AJ78</f>
        <v>2.8059661459414725E-2</v>
      </c>
      <c r="AT98" s="84">
        <f>'CC70 - Valores'!AK78</f>
        <v>2.859989474577691E-2</v>
      </c>
      <c r="AU98" s="84">
        <f>'CC70 - Valores'!AL78</f>
        <v>2.9154661849655074E-2</v>
      </c>
      <c r="AV98" s="84">
        <f>'CC70 - Valores'!AM78</f>
        <v>2.9714314093144185E-2</v>
      </c>
      <c r="AW98" s="84">
        <f>'CC70 - Valores'!AN78</f>
        <v>3.0289850527260298E-2</v>
      </c>
      <c r="AX98" s="84">
        <f>'CC70 - Valores'!AO78</f>
        <v>3.0850631314485573E-2</v>
      </c>
      <c r="AY98" s="84">
        <f>'CC70 - Valores'!AP78</f>
        <v>3.1418447065090477E-2</v>
      </c>
      <c r="AZ98" s="84">
        <f>'CC70 - Valores'!AQ78</f>
        <v>3.1992852940584064E-2</v>
      </c>
      <c r="BA98" s="84">
        <f>'CC70 - Valores'!AR78</f>
        <v>3.2571003858004863E-2</v>
      </c>
      <c r="BB98" s="84">
        <f>'CC70 - Valores'!AS78</f>
        <v>3.3150306631758365E-2</v>
      </c>
      <c r="BC98" s="84">
        <f>'CC70 - Valores'!AT78</f>
        <v>3.3732553246517097E-2</v>
      </c>
      <c r="BD98" s="84">
        <f>'CC70 - Valores'!AU78</f>
        <v>3.4318500768136459E-2</v>
      </c>
      <c r="BE98" s="84">
        <f>'CC70 - Valores'!AV78</f>
        <v>3.4908248145544989E-2</v>
      </c>
      <c r="BF98" s="84">
        <f>'CC70 - Valores'!AW78</f>
        <v>3.5500189831760565E-2</v>
      </c>
      <c r="BG98" s="84">
        <f>'CC70 - Valores'!AX78</f>
        <v>3.6094105756632022E-2</v>
      </c>
      <c r="BH98" s="84">
        <f>'CC70 - Valores'!AY78</f>
        <v>3.668917387393094E-2</v>
      </c>
      <c r="BI98" s="84">
        <f>'CC70 - Valores'!AZ78</f>
        <v>3.7286454522458656E-2</v>
      </c>
      <c r="BJ98" s="84">
        <f>'CC70 - Valores'!BA78</f>
        <v>3.7885582322889418E-2</v>
      </c>
      <c r="BK98" s="84">
        <f>'CC70 - Valores'!BB78</f>
        <v>3.8486156216953268E-2</v>
      </c>
    </row>
    <row r="99" spans="1:63" x14ac:dyDescent="0.3">
      <c r="A99" s="386"/>
      <c r="B99" t="s">
        <v>402</v>
      </c>
      <c r="C99" s="278"/>
      <c r="D99" s="278"/>
      <c r="E99" s="278"/>
      <c r="F99" s="278"/>
      <c r="G99" s="278"/>
      <c r="H99" s="279"/>
      <c r="I99" s="279"/>
      <c r="J99" s="279"/>
      <c r="K99" s="82">
        <f t="shared" ref="K99:N99" si="67">K83</f>
        <v>1.7021578364999998E-3</v>
      </c>
      <c r="L99" s="82">
        <f t="shared" si="67"/>
        <v>2.3650077329999998E-3</v>
      </c>
      <c r="M99" s="82">
        <f t="shared" si="67"/>
        <v>1.7804449574999998E-3</v>
      </c>
      <c r="N99" s="82">
        <f t="shared" si="67"/>
        <v>1.424885517E-3</v>
      </c>
      <c r="O99" s="82">
        <f t="shared" ref="O99" si="68">O83</f>
        <v>1.4178924345268436E-3</v>
      </c>
      <c r="P99" s="84">
        <f>'CC70 - Valores'!G79</f>
        <v>1.350714179296621E-3</v>
      </c>
      <c r="Q99" s="84">
        <f>'CC70 - Valores'!H79</f>
        <v>1.5935823013704968E-3</v>
      </c>
      <c r="R99" s="84">
        <f>'CC70 - Valores'!I79</f>
        <v>1.5555443437191196E-3</v>
      </c>
      <c r="S99" s="84">
        <f>'CC70 - Valores'!J79</f>
        <v>1.8325024381572015E-3</v>
      </c>
      <c r="T99" s="84">
        <f>'CC70 - Valores'!K79</f>
        <v>1.9376848728758741E-3</v>
      </c>
      <c r="U99" s="84">
        <f>'CC70 - Valores'!L79</f>
        <v>2.0535390541901199E-3</v>
      </c>
      <c r="V99" s="84">
        <f>'CC70 - Valores'!M79</f>
        <v>2.1540743100251689E-3</v>
      </c>
      <c r="W99" s="84">
        <f>'CC70 - Valores'!N79</f>
        <v>2.2846120271315376E-3</v>
      </c>
      <c r="X99" s="84">
        <f>'CC70 - Valores'!O79</f>
        <v>2.1281147290293694E-3</v>
      </c>
      <c r="Y99" s="84">
        <f>'CC70 - Valores'!P79</f>
        <v>2.2116118243994381E-3</v>
      </c>
      <c r="Z99" s="84">
        <f>'CC70 - Valores'!Q79</f>
        <v>2.3264692113921168E-3</v>
      </c>
      <c r="AA99" s="84">
        <f>'CC70 - Valores'!R79</f>
        <v>2.3982118713561564E-3</v>
      </c>
      <c r="AB99" s="84">
        <f>'CC70 - Valores'!S79</f>
        <v>2.4661842576427398E-3</v>
      </c>
      <c r="AC99" s="84">
        <f>'CC70 - Valores'!T79</f>
        <v>2.5316944566200613E-3</v>
      </c>
      <c r="AD99" s="84">
        <f>'CC70 - Valores'!U79</f>
        <v>2.5823307323228979E-3</v>
      </c>
      <c r="AE99" s="84">
        <f>'CC70 - Valores'!V79</f>
        <v>2.6208964938158235E-3</v>
      </c>
      <c r="AF99" s="84">
        <f>'CC70 - Valores'!W79</f>
        <v>2.7013153465616797E-3</v>
      </c>
      <c r="AG99" s="84">
        <f>'CC70 - Valores'!X79</f>
        <v>2.7740401006807937E-3</v>
      </c>
      <c r="AH99" s="84">
        <f>'CC70 - Valores'!Y79</f>
        <v>2.8418159581085523E-3</v>
      </c>
      <c r="AI99" s="84">
        <f>'CC70 - Valores'!Z79</f>
        <v>2.9074521264231801E-3</v>
      </c>
      <c r="AJ99" s="84">
        <f>'CC70 - Valores'!AA79</f>
        <v>2.9590671847468529E-3</v>
      </c>
      <c r="AK99" s="84">
        <f>'CC70 - Valores'!AB79</f>
        <v>3.0243681401306861E-3</v>
      </c>
      <c r="AL99" s="84">
        <f>'CC70 - Valores'!AC79</f>
        <v>3.0822815396508141E-3</v>
      </c>
      <c r="AM99" s="84">
        <f>'CC70 - Valores'!AD79</f>
        <v>3.1584722904289381E-3</v>
      </c>
      <c r="AN99" s="84">
        <f>'CC70 - Valores'!AE79</f>
        <v>3.2209181503222448E-3</v>
      </c>
      <c r="AO99" s="84">
        <f>'CC70 - Valores'!AF79</f>
        <v>3.2816456141101045E-3</v>
      </c>
      <c r="AP99" s="84">
        <f>'CC70 - Valores'!AG79</f>
        <v>3.3443009988088769E-3</v>
      </c>
      <c r="AQ99" s="84">
        <f>'CC70 - Valores'!AH79</f>
        <v>3.4075188501918969E-3</v>
      </c>
      <c r="AR99" s="84">
        <f>'CC70 - Valores'!AI79</f>
        <v>3.4793082436643443E-3</v>
      </c>
      <c r="AS99" s="84">
        <f>'CC70 - Valores'!AJ79</f>
        <v>3.545490881550436E-3</v>
      </c>
      <c r="AT99" s="84">
        <f>'CC70 - Valores'!AK79</f>
        <v>3.6120800185259153E-3</v>
      </c>
      <c r="AU99" s="84">
        <f>'CC70 - Valores'!AL79</f>
        <v>3.6804455792571696E-3</v>
      </c>
      <c r="AV99" s="84">
        <f>'CC70 - Valores'!AM79</f>
        <v>3.7493678032319792E-3</v>
      </c>
      <c r="AW99" s="84">
        <f>'CC70 - Valores'!AN79</f>
        <v>3.8202333247022695E-3</v>
      </c>
      <c r="AX99" s="84">
        <f>'CC70 - Valores'!AO79</f>
        <v>3.8891770420430077E-3</v>
      </c>
      <c r="AY99" s="84">
        <f>'CC70 - Valores'!AP79</f>
        <v>3.9589475414158895E-3</v>
      </c>
      <c r="AZ99" s="84">
        <f>'CC70 - Valores'!AQ79</f>
        <v>4.0294878365350947E-3</v>
      </c>
      <c r="BA99" s="84">
        <f>'CC70 - Valores'!AR79</f>
        <v>4.1004388762190293E-3</v>
      </c>
      <c r="BB99" s="84">
        <f>'CC70 - Valores'!AS79</f>
        <v>4.1714739622282842E-3</v>
      </c>
      <c r="BC99" s="84">
        <f>'CC70 - Valores'!AT79</f>
        <v>4.2428185483220525E-3</v>
      </c>
      <c r="BD99" s="84">
        <f>'CC70 - Valores'!AU79</f>
        <v>4.3145675691768672E-3</v>
      </c>
      <c r="BE99" s="84">
        <f>'CC70 - Valores'!AV79</f>
        <v>4.3867330871926648E-3</v>
      </c>
      <c r="BF99" s="84">
        <f>'CC70 - Valores'!AW79</f>
        <v>4.4591130459237585E-3</v>
      </c>
      <c r="BG99" s="84">
        <f>'CC70 - Valores'!AX79</f>
        <v>4.5316797021098757E-3</v>
      </c>
      <c r="BH99" s="84">
        <f>'CC70 - Valores'!AY79</f>
        <v>4.6043298172449964E-3</v>
      </c>
      <c r="BI99" s="84">
        <f>'CC70 - Valores'!AZ79</f>
        <v>4.6771964630581003E-3</v>
      </c>
      <c r="BJ99" s="84">
        <f>'CC70 - Valores'!BA79</f>
        <v>4.7502337121286186E-3</v>
      </c>
      <c r="BK99" s="84">
        <f>'CC70 - Valores'!BB79</f>
        <v>4.8233912475512024E-3</v>
      </c>
    </row>
    <row r="100" spans="1:63" x14ac:dyDescent="0.3">
      <c r="A100" s="386"/>
      <c r="B100" t="s">
        <v>403</v>
      </c>
      <c r="C100" s="278"/>
      <c r="D100" s="278"/>
      <c r="E100" s="278"/>
      <c r="F100" s="278"/>
      <c r="G100" s="278"/>
      <c r="H100" s="279"/>
      <c r="I100" s="279"/>
      <c r="J100" s="279"/>
      <c r="K100" s="82">
        <f t="shared" ref="K100:N100" si="69">K84</f>
        <v>3.5837999999999999E-4</v>
      </c>
      <c r="L100" s="82">
        <f t="shared" si="69"/>
        <v>2.1185999999999999E-4</v>
      </c>
      <c r="M100" s="82">
        <f t="shared" si="69"/>
        <v>1.1662199999999999E-3</v>
      </c>
      <c r="N100" s="82">
        <f t="shared" si="69"/>
        <v>5.3361000000000001E-4</v>
      </c>
      <c r="O100" s="82">
        <f t="shared" ref="O100" si="70">O84</f>
        <v>5.309911378570556E-4</v>
      </c>
      <c r="P100" s="84">
        <f>'CC70 - Valores'!G80</f>
        <v>5.0997288934972258E-4</v>
      </c>
      <c r="Q100" s="84">
        <f>'CC70 - Valores'!H80</f>
        <v>6.0410431596494979E-4</v>
      </c>
      <c r="R100" s="84">
        <f>'CC70 - Valores'!I80</f>
        <v>5.9205645538874569E-4</v>
      </c>
      <c r="S100" s="84">
        <f>'CC70 - Valores'!J80</f>
        <v>7.0025811711755311E-4</v>
      </c>
      <c r="T100" s="84">
        <f>'CC70 - Valores'!K80</f>
        <v>7.4339441473243457E-4</v>
      </c>
      <c r="U100" s="84">
        <f>'CC70 - Valores'!L80</f>
        <v>7.9095442484689688E-4</v>
      </c>
      <c r="V100" s="84">
        <f>'CC70 - Valores'!M80</f>
        <v>8.3293559215442026E-4</v>
      </c>
      <c r="W100" s="84">
        <f>'CC70 - Valores'!N80</f>
        <v>8.8686076731558287E-4</v>
      </c>
      <c r="X100" s="84">
        <f>'CC70 - Valores'!O80</f>
        <v>8.2931661696480094E-4</v>
      </c>
      <c r="Y100" s="84">
        <f>'CC70 - Valores'!P80</f>
        <v>8.6518061036385593E-4</v>
      </c>
      <c r="Z100" s="84">
        <f>'CC70 - Valores'!Q80</f>
        <v>9.1360407043054284E-4</v>
      </c>
      <c r="AA100" s="84">
        <f>'CC70 - Valores'!R80</f>
        <v>9.4536931091181815E-4</v>
      </c>
      <c r="AB100" s="84">
        <f>'CC70 - Valores'!S80</f>
        <v>9.7585029072300047E-4</v>
      </c>
      <c r="AC100" s="84">
        <f>'CC70 - Valores'!T80</f>
        <v>1.0055490735037622E-3</v>
      </c>
      <c r="AD100" s="84">
        <f>'CC70 - Valores'!U80</f>
        <v>1.0295058578104379E-3</v>
      </c>
      <c r="AE100" s="84">
        <f>'CC70 - Valores'!V80</f>
        <v>1.0487755921254529E-3</v>
      </c>
      <c r="AF100" s="84">
        <f>'CC70 - Valores'!W80</f>
        <v>1.0849621445212709E-3</v>
      </c>
      <c r="AG100" s="84">
        <f>'CC70 - Valores'!X80</f>
        <v>1.1182774691248379E-3</v>
      </c>
      <c r="AH100" s="84">
        <f>'CC70 - Valores'!Y80</f>
        <v>1.1497974974103758E-3</v>
      </c>
      <c r="AI100" s="84">
        <f>'CC70 - Valores'!Z80</f>
        <v>1.1806404777210332E-3</v>
      </c>
      <c r="AJ100" s="84">
        <f>'CC70 - Valores'!AA80</f>
        <v>1.2059541832333497E-3</v>
      </c>
      <c r="AK100" s="84">
        <f>'CC70 - Valores'!AB80</f>
        <v>1.23700885087505E-3</v>
      </c>
      <c r="AL100" s="84">
        <f>'CC70 - Valores'!AC80</f>
        <v>1.2652140155232877E-3</v>
      </c>
      <c r="AM100" s="84">
        <f>'CC70 - Valores'!AD80</f>
        <v>1.3011091885393657E-3</v>
      </c>
      <c r="AN100" s="84">
        <f>'CC70 - Valores'!AE80</f>
        <v>1.3315358777081234E-3</v>
      </c>
      <c r="AO100" s="84">
        <f>'CC70 - Valores'!AF80</f>
        <v>1.3614226815385827E-3</v>
      </c>
      <c r="AP100" s="84">
        <f>'CC70 - Valores'!AG80</f>
        <v>1.3922796109085622E-3</v>
      </c>
      <c r="AQ100" s="84">
        <f>'CC70 - Valores'!AH80</f>
        <v>1.4235441328472969E-3</v>
      </c>
      <c r="AR100" s="84">
        <f>'CC70 - Valores'!AI80</f>
        <v>1.4585757079128923E-3</v>
      </c>
      <c r="AS100" s="84">
        <f>'CC70 - Valores'!AJ80</f>
        <v>1.4914467658090451E-3</v>
      </c>
      <c r="AT100" s="84">
        <f>'CC70 - Valores'!AK80</f>
        <v>1.5246706722233075E-3</v>
      </c>
      <c r="AU100" s="84">
        <f>'CC70 - Valores'!AL80</f>
        <v>1.558828879873727E-3</v>
      </c>
      <c r="AV100" s="84">
        <f>'CC70 - Valores'!AM80</f>
        <v>1.5934101467270964E-3</v>
      </c>
      <c r="AW100" s="84">
        <f>'CC70 - Valores'!AN80</f>
        <v>1.6290076108726719E-3</v>
      </c>
      <c r="AX100" s="84">
        <f>'CC70 - Valores'!AO80</f>
        <v>1.6639754025487468E-3</v>
      </c>
      <c r="AY100" s="84">
        <f>'CC70 - Valores'!AP80</f>
        <v>1.6994846292874481E-3</v>
      </c>
      <c r="AZ100" s="84">
        <f>'CC70 - Valores'!AQ80</f>
        <v>1.7355137458918411E-3</v>
      </c>
      <c r="BA100" s="84">
        <f>'CC70 - Valores'!AR80</f>
        <v>1.7719103406999683E-3</v>
      </c>
      <c r="BB100" s="84">
        <f>'CC70 - Valores'!AS80</f>
        <v>1.808533977271683E-3</v>
      </c>
      <c r="BC100" s="84">
        <f>'CC70 - Valores'!AT80</f>
        <v>1.8454825286634672E-3</v>
      </c>
      <c r="BD100" s="84">
        <f>'CC70 - Valores'!AU80</f>
        <v>1.8827981890505901E-3</v>
      </c>
      <c r="BE100" s="84">
        <f>'CC70 - Valores'!AV80</f>
        <v>1.9204874051349827E-3</v>
      </c>
      <c r="BF100" s="84">
        <f>'CC70 - Valores'!AW80</f>
        <v>1.9584626452206527E-3</v>
      </c>
      <c r="BG100" s="84">
        <f>'CC70 - Valores'!AX80</f>
        <v>1.9967120399560527E-3</v>
      </c>
      <c r="BH100" s="84">
        <f>'CC70 - Valores'!AY80</f>
        <v>2.0351901925993493E-3</v>
      </c>
      <c r="BI100" s="84">
        <f>'CC70 - Valores'!AZ80</f>
        <v>2.0739559108958346E-3</v>
      </c>
      <c r="BJ100" s="84">
        <f>'CC70 - Valores'!BA80</f>
        <v>2.1129891261627756E-3</v>
      </c>
      <c r="BK100" s="84">
        <f>'CC70 - Valores'!BB80</f>
        <v>2.1522675531098537E-3</v>
      </c>
    </row>
    <row r="101" spans="1:63" x14ac:dyDescent="0.3">
      <c r="A101" s="386"/>
      <c r="B101" t="s">
        <v>404</v>
      </c>
      <c r="C101" s="278"/>
      <c r="D101" s="278"/>
      <c r="E101" s="278"/>
      <c r="F101" s="278"/>
      <c r="G101" s="278"/>
      <c r="H101" s="279"/>
      <c r="I101" s="279"/>
      <c r="J101" s="279"/>
      <c r="K101" s="82">
        <f t="shared" ref="K101:N101" si="71">K85</f>
        <v>0.19069549176</v>
      </c>
      <c r="L101" s="82">
        <f t="shared" si="71"/>
        <v>7.8028522500000003E-2</v>
      </c>
      <c r="M101" s="82">
        <f t="shared" si="71"/>
        <v>0.16121535272449858</v>
      </c>
      <c r="N101" s="82">
        <f t="shared" si="71"/>
        <v>0.27764344030629629</v>
      </c>
      <c r="O101" s="82">
        <f t="shared" ref="O101" si="72">O85</f>
        <v>0.27628081611436772</v>
      </c>
      <c r="P101" s="84">
        <f>'CC70 - Valores'!G81</f>
        <v>0.26371625223000345</v>
      </c>
      <c r="Q101" s="84">
        <f>'CC70 - Valores'!H81</f>
        <v>0.311443298544471</v>
      </c>
      <c r="R101" s="84">
        <f>'CC70 - Valores'!I81</f>
        <v>0.30431030566466755</v>
      </c>
      <c r="S101" s="84">
        <f>'CC70 - Valores'!J81</f>
        <v>0.35884534605069285</v>
      </c>
      <c r="T101" s="84">
        <f>'CC70 - Valores'!K81</f>
        <v>0.37981588617321477</v>
      </c>
      <c r="U101" s="84">
        <f>'CC70 - Valores'!L81</f>
        <v>0.40292006569338856</v>
      </c>
      <c r="V101" s="84">
        <f>'CC70 - Valores'!M81</f>
        <v>0.42305935415862339</v>
      </c>
      <c r="W101" s="84">
        <f>'CC70 - Valores'!N81</f>
        <v>0.44913460246742765</v>
      </c>
      <c r="X101" s="84">
        <f>'CC70 - Valores'!O81</f>
        <v>0.41877551414476821</v>
      </c>
      <c r="Y101" s="84">
        <f>'CC70 - Valores'!P81</f>
        <v>0.43562830306475298</v>
      </c>
      <c r="Z101" s="84">
        <f>'CC70 - Valores'!Q81</f>
        <v>0.45869520320989515</v>
      </c>
      <c r="AA101" s="84">
        <f>'CC70 - Valores'!R81</f>
        <v>0.47329608143734886</v>
      </c>
      <c r="AB101" s="84">
        <f>'CC70 - Valores'!S81</f>
        <v>0.48717851337299362</v>
      </c>
      <c r="AC101" s="84">
        <f>'CC70 - Valores'!T81</f>
        <v>0.50059893127373278</v>
      </c>
      <c r="AD101" s="84">
        <f>'CC70 - Valores'!U81</f>
        <v>0.51109931409137466</v>
      </c>
      <c r="AE101" s="84">
        <f>'CC70 - Valores'!V81</f>
        <v>0.51922656097042885</v>
      </c>
      <c r="AF101" s="84">
        <f>'CC70 - Valores'!W81</f>
        <v>0.53566677300398813</v>
      </c>
      <c r="AG101" s="84">
        <f>'CC70 - Valores'!X81</f>
        <v>0.55060905501372992</v>
      </c>
      <c r="AH101" s="84">
        <f>'CC70 - Valores'!Y81</f>
        <v>0.5645943934563471</v>
      </c>
      <c r="AI101" s="84">
        <f>'CC70 - Valores'!Z81</f>
        <v>0.5781785748446121</v>
      </c>
      <c r="AJ101" s="84">
        <f>'CC70 - Valores'!AA81</f>
        <v>0.58899536017395226</v>
      </c>
      <c r="AK101" s="84">
        <f>'CC70 - Valores'!AB81</f>
        <v>0.60255701954721119</v>
      </c>
      <c r="AL101" s="84">
        <f>'CC70 - Valores'!AC81</f>
        <v>0.61466866821877608</v>
      </c>
      <c r="AM101" s="84">
        <f>'CC70 - Valores'!AD81</f>
        <v>0.63044898488766987</v>
      </c>
      <c r="AN101" s="84">
        <f>'CC70 - Valores'!AE81</f>
        <v>0.64351031499610267</v>
      </c>
      <c r="AO101" s="84">
        <f>'CC70 - Valores'!AF81</f>
        <v>0.65624996296397253</v>
      </c>
      <c r="AP101" s="84">
        <f>'CC70 - Valores'!AG81</f>
        <v>0.6693967616839106</v>
      </c>
      <c r="AQ101" s="84">
        <f>'CC70 - Valores'!AH81</f>
        <v>0.6826781531315933</v>
      </c>
      <c r="AR101" s="84">
        <f>'CC70 - Valores'!AI81</f>
        <v>0.69770043153132699</v>
      </c>
      <c r="AS101" s="84">
        <f>'CC70 - Valores'!AJ81</f>
        <v>0.71162249688645485</v>
      </c>
      <c r="AT101" s="84">
        <f>'CC70 - Valores'!AK81</f>
        <v>0.72564922926848419</v>
      </c>
      <c r="AU101" s="84">
        <f>'CC70 - Valores'!AL81</f>
        <v>0.74005624633798917</v>
      </c>
      <c r="AV101" s="84">
        <f>'CC70 - Valores'!AM81</f>
        <v>0.75459896392308201</v>
      </c>
      <c r="AW101" s="84">
        <f>'CC70 - Valores'!AN81</f>
        <v>0.76955694440908562</v>
      </c>
      <c r="AX101" s="84">
        <f>'CC70 - Valores'!AO81</f>
        <v>0.78415188059928553</v>
      </c>
      <c r="AY101" s="84">
        <f>'CC70 - Valores'!AP81</f>
        <v>0.7989373358834021</v>
      </c>
      <c r="AZ101" s="84">
        <f>'CC70 - Valores'!AQ81</f>
        <v>0.81390218038745776</v>
      </c>
      <c r="BA101" s="84">
        <f>'CC70 - Valores'!AR81</f>
        <v>0.82897417397975171</v>
      </c>
      <c r="BB101" s="84">
        <f>'CC70 - Valores'!AS81</f>
        <v>0.84408736274128493</v>
      </c>
      <c r="BC101" s="84">
        <f>'CC70 - Valores'!AT81</f>
        <v>0.85928738292767004</v>
      </c>
      <c r="BD101" s="84">
        <f>'CC70 - Valores'!AU81</f>
        <v>0.87459357573707519</v>
      </c>
      <c r="BE101" s="84">
        <f>'CC70 - Valores'!AV81</f>
        <v>0.89000853641905509</v>
      </c>
      <c r="BF101" s="84">
        <f>'CC70 - Valores'!AW81</f>
        <v>0.90549138817028585</v>
      </c>
      <c r="BG101" s="84">
        <f>'CC70 - Valores'!AX81</f>
        <v>0.92103653734875734</v>
      </c>
      <c r="BH101" s="84">
        <f>'CC70 - Valores'!AY81</f>
        <v>0.93662301294722106</v>
      </c>
      <c r="BI101" s="84">
        <f>'CC70 - Valores'!AZ81</f>
        <v>0.95227788316867679</v>
      </c>
      <c r="BJ101" s="84">
        <f>'CC70 - Valores'!BA81</f>
        <v>0.96799183479701367</v>
      </c>
      <c r="BK101" s="84">
        <f>'CC70 - Valores'!BB81</f>
        <v>0.98375462662297664</v>
      </c>
    </row>
    <row r="102" spans="1:63" x14ac:dyDescent="0.3">
      <c r="A102" s="386"/>
      <c r="B102" t="s">
        <v>405</v>
      </c>
      <c r="C102" s="278"/>
      <c r="D102" s="278"/>
      <c r="E102" s="278"/>
      <c r="F102" s="278"/>
      <c r="G102" s="278"/>
      <c r="H102" s="279"/>
      <c r="I102" s="279"/>
      <c r="J102" s="279"/>
      <c r="K102" s="82">
        <f t="shared" ref="K102:N102" si="73">K86</f>
        <v>7.3270773777959999E-2</v>
      </c>
      <c r="L102" s="82">
        <f t="shared" si="73"/>
        <v>5.2954798881599999E-2</v>
      </c>
      <c r="M102" s="82">
        <f t="shared" si="73"/>
        <v>8.7190961052689989E-2</v>
      </c>
      <c r="N102" s="82">
        <f t="shared" si="73"/>
        <v>5.2567395942600001E-2</v>
      </c>
      <c r="O102" s="82">
        <f t="shared" ref="O102" si="74">O86</f>
        <v>5.2309404594635678E-2</v>
      </c>
      <c r="P102" s="84">
        <f>'CC70 - Valores'!G82</f>
        <v>5.023883884192315E-2</v>
      </c>
      <c r="Q102" s="84">
        <f>'CC70 - Valores'!H82</f>
        <v>5.9511985847272457E-2</v>
      </c>
      <c r="R102" s="84">
        <f>'CC70 - Valores'!I82</f>
        <v>5.8325117802875671E-2</v>
      </c>
      <c r="S102" s="84">
        <f>'CC70 - Valores'!J82</f>
        <v>6.8984362557931778E-2</v>
      </c>
      <c r="T102" s="84">
        <f>'CC70 - Valores'!K82</f>
        <v>7.3233838460218678E-2</v>
      </c>
      <c r="U102" s="84">
        <f>'CC70 - Valores'!L82</f>
        <v>7.7919106507521013E-2</v>
      </c>
      <c r="V102" s="84">
        <f>'CC70 - Valores'!M82</f>
        <v>8.2054787330569909E-2</v>
      </c>
      <c r="W102" s="84">
        <f>'CC70 - Valores'!N82</f>
        <v>8.7367105379277568E-2</v>
      </c>
      <c r="X102" s="84">
        <f>'CC70 - Valores'!O82</f>
        <v>8.1698272082169079E-2</v>
      </c>
      <c r="Y102" s="84">
        <f>'CC70 - Valores'!P82</f>
        <v>8.5231333196261611E-2</v>
      </c>
      <c r="Z102" s="84">
        <f>'CC70 - Valores'!Q82</f>
        <v>9.0001662084843559E-2</v>
      </c>
      <c r="AA102" s="84">
        <f>'CC70 - Valores'!R82</f>
        <v>9.3130943720478407E-2</v>
      </c>
      <c r="AB102" s="84">
        <f>'CC70 - Valores'!S82</f>
        <v>9.6133709287939323E-2</v>
      </c>
      <c r="AC102" s="84">
        <f>'CC70 - Valores'!T82</f>
        <v>9.9059418464022192E-2</v>
      </c>
      <c r="AD102" s="84">
        <f>'CC70 - Valores'!U82</f>
        <v>0.1014194675001356</v>
      </c>
      <c r="AE102" s="84">
        <f>'CC70 - Valores'!V82</f>
        <v>0.10331778228705131</v>
      </c>
      <c r="AF102" s="84">
        <f>'CC70 - Valores'!W82</f>
        <v>0.10688261957943453</v>
      </c>
      <c r="AG102" s="84">
        <f>'CC70 - Valores'!X82</f>
        <v>0.11016460428622778</v>
      </c>
      <c r="AH102" s="84">
        <f>'CC70 - Valores'!Y82</f>
        <v>0.11326972939071947</v>
      </c>
      <c r="AI102" s="84">
        <f>'CC70 - Valores'!Z82</f>
        <v>0.11630815662791545</v>
      </c>
      <c r="AJ102" s="84">
        <f>'CC70 - Valores'!AA82</f>
        <v>0.11880187972238579</v>
      </c>
      <c r="AK102" s="84">
        <f>'CC70 - Valores'!AB82</f>
        <v>0.1218611608636446</v>
      </c>
      <c r="AL102" s="84">
        <f>'CC70 - Valores'!AC82</f>
        <v>0.12463972958928717</v>
      </c>
      <c r="AM102" s="84">
        <f>'CC70 - Valores'!AD82</f>
        <v>0.12817586229362984</v>
      </c>
      <c r="AN102" s="84">
        <f>'CC70 - Valores'!AE82</f>
        <v>0.13117327953985181</v>
      </c>
      <c r="AO102" s="84">
        <f>'CC70 - Valores'!AF82</f>
        <v>0.13411751118921103</v>
      </c>
      <c r="AP102" s="84">
        <f>'CC70 - Valores'!AG82</f>
        <v>0.13715731258679459</v>
      </c>
      <c r="AQ102" s="84">
        <f>'CC70 - Valores'!AH82</f>
        <v>0.14023726705486972</v>
      </c>
      <c r="AR102" s="84">
        <f>'CC70 - Valores'!AI82</f>
        <v>0.14368832433821535</v>
      </c>
      <c r="AS102" s="84">
        <f>'CC70 - Valores'!AJ82</f>
        <v>0.14692654310375422</v>
      </c>
      <c r="AT102" s="84">
        <f>'CC70 - Valores'!AK82</f>
        <v>0.15019952195204869</v>
      </c>
      <c r="AU102" s="84">
        <f>'CC70 - Valores'!AL82</f>
        <v>0.15356454139742856</v>
      </c>
      <c r="AV102" s="84">
        <f>'CC70 - Valores'!AM82</f>
        <v>0.15697123757418269</v>
      </c>
      <c r="AW102" s="84">
        <f>'CC70 - Valores'!AN82</f>
        <v>0.16047804215485578</v>
      </c>
      <c r="AX102" s="84">
        <f>'CC70 - Valores'!AO82</f>
        <v>0.16392281596020913</v>
      </c>
      <c r="AY102" s="84">
        <f>'CC70 - Valores'!AP82</f>
        <v>0.16742092803005201</v>
      </c>
      <c r="AZ102" s="84">
        <f>'CC70 - Valores'!AQ82</f>
        <v>0.17097025588748577</v>
      </c>
      <c r="BA102" s="84">
        <f>'CC70 - Valores'!AR82</f>
        <v>0.17455578503844096</v>
      </c>
      <c r="BB102" s="84">
        <f>'CC70 - Valores'!AS82</f>
        <v>0.17816368070104699</v>
      </c>
      <c r="BC102" s="84">
        <f>'CC70 - Valores'!AT82</f>
        <v>0.18180358462060892</v>
      </c>
      <c r="BD102" s="84">
        <f>'CC70 - Valores'!AU82</f>
        <v>0.18547965346195275</v>
      </c>
      <c r="BE102" s="84">
        <f>'CC70 - Valores'!AV82</f>
        <v>0.18919252230750375</v>
      </c>
      <c r="BF102" s="84">
        <f>'CC70 - Valores'!AW82</f>
        <v>0.19293356816796123</v>
      </c>
      <c r="BG102" s="84">
        <f>'CC70 - Valores'!AX82</f>
        <v>0.19670162176069853</v>
      </c>
      <c r="BH102" s="84">
        <f>'CC70 - Valores'!AY82</f>
        <v>0.20049221092720582</v>
      </c>
      <c r="BI102" s="84">
        <f>'CC70 - Valores'!AZ82</f>
        <v>0.20431112898101036</v>
      </c>
      <c r="BJ102" s="84">
        <f>'CC70 - Valores'!BA82</f>
        <v>0.20815639890070831</v>
      </c>
      <c r="BK102" s="84">
        <f>'CC70 - Valores'!BB82</f>
        <v>0.2120258253007562</v>
      </c>
    </row>
    <row r="103" spans="1:63" x14ac:dyDescent="0.3">
      <c r="A103" s="386"/>
      <c r="B103" t="s">
        <v>406</v>
      </c>
      <c r="C103" s="278"/>
      <c r="D103" s="278"/>
      <c r="E103" s="278"/>
      <c r="F103" s="278"/>
      <c r="G103" s="278"/>
      <c r="H103" s="279"/>
      <c r="I103" s="279"/>
      <c r="J103" s="279"/>
      <c r="K103" s="82">
        <f t="shared" ref="K103:N103" si="75">K87</f>
        <v>0.15325496999999999</v>
      </c>
      <c r="L103" s="82">
        <f t="shared" si="75"/>
        <v>0.15681698999999999</v>
      </c>
      <c r="M103" s="82">
        <f t="shared" si="75"/>
        <v>0.15137792999999999</v>
      </c>
      <c r="N103" s="82">
        <f t="shared" si="75"/>
        <v>0.16611704999999999</v>
      </c>
      <c r="O103" s="82">
        <f t="shared" ref="O103" si="76">O87</f>
        <v>0.16335</v>
      </c>
      <c r="P103" s="84">
        <f>'CC70 - Valores'!G83</f>
        <v>0.15561064846342254</v>
      </c>
      <c r="Q103" s="84">
        <f>'CC70 - Valores'!H83</f>
        <v>0.18359056201307522</v>
      </c>
      <c r="R103" s="84">
        <f>'CC70 - Valores'!I83</f>
        <v>0.17920835343995031</v>
      </c>
      <c r="S103" s="84">
        <f>'CC70 - Valores'!J83</f>
        <v>0.21111564317844012</v>
      </c>
      <c r="T103" s="84">
        <f>'CC70 - Valores'!K83</f>
        <v>0.22323331183433412</v>
      </c>
      <c r="U103" s="84">
        <f>'CC70 - Valores'!L83</f>
        <v>0.23658043186745378</v>
      </c>
      <c r="V103" s="84">
        <f>'CC70 - Valores'!M83</f>
        <v>0.24816271670144791</v>
      </c>
      <c r="W103" s="84">
        <f>'CC70 - Valores'!N83</f>
        <v>0.26320147110205305</v>
      </c>
      <c r="X103" s="84">
        <f>'CC70 - Valores'!O83</f>
        <v>0.24517201201017216</v>
      </c>
      <c r="Y103" s="84">
        <f>'CC70 - Valores'!P83</f>
        <v>0.25479139511468263</v>
      </c>
      <c r="Z103" s="84">
        <f>'CC70 - Valores'!Q83</f>
        <v>0.26802367826140455</v>
      </c>
      <c r="AA103" s="84">
        <f>'CC70 - Valores'!R83</f>
        <v>0.27628887752458881</v>
      </c>
      <c r="AB103" s="84">
        <f>'CC70 - Valores'!S83</f>
        <v>0.28411971788281293</v>
      </c>
      <c r="AC103" s="84">
        <f>'CC70 - Valores'!T83</f>
        <v>0.29166689899639042</v>
      </c>
      <c r="AD103" s="84">
        <f>'CC70 - Valores'!U83</f>
        <v>0.2975005119240301</v>
      </c>
      <c r="AE103" s="84">
        <f>'CC70 - Valores'!V83</f>
        <v>0.30194352677231207</v>
      </c>
      <c r="AF103" s="84">
        <f>'CC70 - Valores'!W83</f>
        <v>0.31120827724008593</v>
      </c>
      <c r="AG103" s="84">
        <f>'CC70 - Valores'!X83</f>
        <v>0.31958661983934067</v>
      </c>
      <c r="AH103" s="84">
        <f>'CC70 - Valores'!Y83</f>
        <v>0.32739481885446475</v>
      </c>
      <c r="AI103" s="84">
        <f>'CC70 - Valores'!Z83</f>
        <v>0.334956512416764</v>
      </c>
      <c r="AJ103" s="84">
        <f>'CC70 - Valores'!AA83</f>
        <v>0.34090288717119704</v>
      </c>
      <c r="AK103" s="84">
        <f>'CC70 - Valores'!AB83</f>
        <v>0.3484259621254045</v>
      </c>
      <c r="AL103" s="84">
        <f>'CC70 - Valores'!AC83</f>
        <v>0.35509794483809154</v>
      </c>
      <c r="AM103" s="84">
        <f>'CC70 - Valores'!AD83</f>
        <v>0.36387559174313322</v>
      </c>
      <c r="AN103" s="84">
        <f>'CC70 - Valores'!AE83</f>
        <v>0.37106974199401282</v>
      </c>
      <c r="AO103" s="84">
        <f>'CC70 - Valores'!AF83</f>
        <v>0.37806592235875053</v>
      </c>
      <c r="AP103" s="84">
        <f>'CC70 - Valores'!AG83</f>
        <v>0.38528421116636369</v>
      </c>
      <c r="AQ103" s="84">
        <f>'CC70 - Valores'!AH83</f>
        <v>0.39256729962353737</v>
      </c>
      <c r="AR103" s="84">
        <f>'CC70 - Valores'!AI83</f>
        <v>0.40083788287665811</v>
      </c>
      <c r="AS103" s="84">
        <f>'CC70 - Valores'!AJ83</f>
        <v>0.40846253312193631</v>
      </c>
      <c r="AT103" s="84">
        <f>'CC70 - Valores'!AK83</f>
        <v>0.41613401458278088</v>
      </c>
      <c r="AU103" s="84">
        <f>'CC70 - Valores'!AL83</f>
        <v>0.4240101510748816</v>
      </c>
      <c r="AV103" s="84">
        <f>'CC70 - Valores'!AM83</f>
        <v>0.4319504186241912</v>
      </c>
      <c r="AW103" s="84">
        <f>'CC70 - Valores'!AN83</f>
        <v>0.44011456609425997</v>
      </c>
      <c r="AX103" s="84">
        <f>'CC70 - Valores'!AO83</f>
        <v>0.44805730981259267</v>
      </c>
      <c r="AY103" s="84">
        <f>'CC70 - Valores'!AP83</f>
        <v>0.45609530394743231</v>
      </c>
      <c r="AZ103" s="84">
        <f>'CC70 - Valores'!AQ83</f>
        <v>0.46422198332531289</v>
      </c>
      <c r="BA103" s="84">
        <f>'CC70 - Valores'!AR83</f>
        <v>0.47239598302384306</v>
      </c>
      <c r="BB103" s="84">
        <f>'CC70 - Valores'!AS83</f>
        <v>0.48057966538017355</v>
      </c>
      <c r="BC103" s="84">
        <f>'CC70 - Valores'!AT83</f>
        <v>0.48879900406527349</v>
      </c>
      <c r="BD103" s="84">
        <f>'CC70 - Valores'!AU83</f>
        <v>0.49706493614251529</v>
      </c>
      <c r="BE103" s="84">
        <f>'CC70 - Valores'!AV83</f>
        <v>0.5053788512751638</v>
      </c>
      <c r="BF103" s="84">
        <f>'CC70 - Valores'!AW83</f>
        <v>0.51371747130783907</v>
      </c>
      <c r="BG103" s="84">
        <f>'CC70 - Valores'!AX83</f>
        <v>0.52207760004493731</v>
      </c>
      <c r="BH103" s="84">
        <f>'CC70 - Valores'!AY83</f>
        <v>0.53044734377044234</v>
      </c>
      <c r="BI103" s="84">
        <f>'CC70 - Valores'!AZ83</f>
        <v>0.53884203317263424</v>
      </c>
      <c r="BJ103" s="84">
        <f>'CC70 - Valores'!BA83</f>
        <v>0.54725637712789366</v>
      </c>
      <c r="BK103" s="84">
        <f>'CC70 - Valores'!BB83</f>
        <v>0.55568457881673816</v>
      </c>
    </row>
    <row r="104" spans="1:63" x14ac:dyDescent="0.3">
      <c r="A104" s="386"/>
      <c r="B104" t="s">
        <v>407</v>
      </c>
      <c r="C104" s="278"/>
      <c r="D104" s="278"/>
      <c r="E104" s="278"/>
      <c r="F104" s="278"/>
      <c r="G104" s="278"/>
      <c r="H104" s="279"/>
      <c r="I104" s="279"/>
      <c r="J104" s="279"/>
      <c r="K104" s="82">
        <f t="shared" ref="K104:N104" si="77">K88</f>
        <v>3.1556059040000001E-2</v>
      </c>
      <c r="L104" s="82">
        <f t="shared" si="77"/>
        <v>2.9026780660000001E-2</v>
      </c>
      <c r="M104" s="82">
        <f t="shared" si="77"/>
        <v>4.4062796729000001E-2</v>
      </c>
      <c r="N104" s="82">
        <f t="shared" si="77"/>
        <v>1.9135541829999998E-2</v>
      </c>
      <c r="O104" s="82">
        <f t="shared" ref="O104" si="78">O88</f>
        <v>1.9041628023880708E-2</v>
      </c>
      <c r="P104" s="84">
        <f>'CC70 - Valores'!G84</f>
        <v>1.8121352426337722E-2</v>
      </c>
      <c r="Q104" s="84">
        <f>'CC70 - Valores'!H84</f>
        <v>2.1369054668464789E-2</v>
      </c>
      <c r="R104" s="84">
        <f>'CC70 - Valores'!I84</f>
        <v>2.0848614373760715E-2</v>
      </c>
      <c r="S104" s="84">
        <f>'CC70 - Valores'!J84</f>
        <v>2.4548427201578585E-2</v>
      </c>
      <c r="T104" s="84">
        <f>'CC70 - Valores'!K84</f>
        <v>2.5944594834104173E-2</v>
      </c>
      <c r="U104" s="84">
        <f>'CC70 - Valores'!L84</f>
        <v>2.7482210686102279E-2</v>
      </c>
      <c r="V104" s="84">
        <f>'CC70 - Valores'!M84</f>
        <v>2.8813409645929947E-2</v>
      </c>
      <c r="W104" s="84">
        <f>'CC70 - Valores'!N84</f>
        <v>3.0544430024786212E-2</v>
      </c>
      <c r="X104" s="84">
        <f>'CC70 - Valores'!O84</f>
        <v>2.8438096087408323E-2</v>
      </c>
      <c r="Y104" s="84">
        <f>'CC70 - Valores'!P84</f>
        <v>2.9539328214806575E-2</v>
      </c>
      <c r="Z104" s="84">
        <f>'CC70 - Valores'!Q84</f>
        <v>3.1058149020110205E-2</v>
      </c>
      <c r="AA104" s="84">
        <f>'CC70 - Valores'!R84</f>
        <v>3.20001986309775E-2</v>
      </c>
      <c r="AB104" s="84">
        <f>'CC70 - Valores'!S84</f>
        <v>3.2891056860214547E-2</v>
      </c>
      <c r="AC104" s="84">
        <f>'CC70 - Valores'!T84</f>
        <v>3.3748237364236863E-2</v>
      </c>
      <c r="AD104" s="84">
        <f>'CC70 - Valores'!U84</f>
        <v>3.44064194657819E-2</v>
      </c>
      <c r="AE104" s="84">
        <f>'CC70 - Valores'!V84</f>
        <v>3.4903229366130405E-2</v>
      </c>
      <c r="AF104" s="84">
        <f>'CC70 - Valores'!W84</f>
        <v>3.5956670133115889E-2</v>
      </c>
      <c r="AG104" s="84">
        <f>'CC70 - Valores'!X84</f>
        <v>3.6906738344192551E-2</v>
      </c>
      <c r="AH104" s="84">
        <f>'CC70 - Valores'!Y84</f>
        <v>3.7790091414130901E-2</v>
      </c>
      <c r="AI104" s="84">
        <f>'CC70 - Valores'!Z84</f>
        <v>3.8644166086768447E-2</v>
      </c>
      <c r="AJ104" s="84">
        <f>'CC70 - Valores'!AA84</f>
        <v>3.9311161639813283E-2</v>
      </c>
      <c r="AK104" s="84">
        <f>'CC70 - Valores'!AB84</f>
        <v>4.01592598076995E-2</v>
      </c>
      <c r="AL104" s="84">
        <f>'CC70 - Valores'!AC84</f>
        <v>4.0908509176658073E-2</v>
      </c>
      <c r="AM104" s="84">
        <f>'CC70 - Valores'!AD84</f>
        <v>4.1899518231861853E-2</v>
      </c>
      <c r="AN104" s="84">
        <f>'CC70 - Valores'!AE84</f>
        <v>4.2707344184004105E-2</v>
      </c>
      <c r="AO104" s="84">
        <f>'CC70 - Valores'!AF84</f>
        <v>4.3491639632574387E-2</v>
      </c>
      <c r="AP104" s="84">
        <f>'CC70 - Valores'!AG84</f>
        <v>4.4300741010858874E-2</v>
      </c>
      <c r="AQ104" s="84">
        <f>'CC70 - Valores'!AH84</f>
        <v>4.511653473171745E-2</v>
      </c>
      <c r="AR104" s="84">
        <f>'CC70 - Valores'!AI84</f>
        <v>4.604500403607386E-2</v>
      </c>
      <c r="AS104" s="84">
        <f>'CC70 - Valores'!AJ84</f>
        <v>4.6898443254338437E-2</v>
      </c>
      <c r="AT104" s="84">
        <f>'CC70 - Valores'!AK84</f>
        <v>4.7756464216927176E-2</v>
      </c>
      <c r="AU104" s="84">
        <f>'CC70 - Valores'!AL84</f>
        <v>4.8637165127805949E-2</v>
      </c>
      <c r="AV104" s="84">
        <f>'CC70 - Valores'!AM84</f>
        <v>4.9524403299964229E-2</v>
      </c>
      <c r="AW104" s="84">
        <f>'CC70 - Valores'!AN84</f>
        <v>5.0436477602427948E-2</v>
      </c>
      <c r="AX104" s="84">
        <f>'CC70 - Valores'!AO84</f>
        <v>5.1322349256665435E-2</v>
      </c>
      <c r="AY104" s="84">
        <f>'CC70 - Valores'!AP84</f>
        <v>5.2218310441123357E-2</v>
      </c>
      <c r="AZ104" s="84">
        <f>'CC70 - Valores'!AQ84</f>
        <v>5.3123596749898409E-2</v>
      </c>
      <c r="BA104" s="84">
        <f>'CC70 - Valores'!AR84</f>
        <v>5.403346479167645E-2</v>
      </c>
      <c r="BB104" s="84">
        <f>'CC70 - Valores'!AS84</f>
        <v>5.4943606275402838E-2</v>
      </c>
      <c r="BC104" s="84">
        <f>'CC70 - Valores'!AT84</f>
        <v>5.5856990153262065E-2</v>
      </c>
      <c r="BD104" s="84">
        <f>'CC70 - Valores'!AU84</f>
        <v>5.677486230720119E-2</v>
      </c>
      <c r="BE104" s="84">
        <f>'CC70 - Valores'!AV84</f>
        <v>5.7697376291787603E-2</v>
      </c>
      <c r="BF104" s="84">
        <f>'CC70 - Valores'!AW84</f>
        <v>5.8621870463421856E-2</v>
      </c>
      <c r="BG104" s="84">
        <f>'CC70 - Valores'!AX84</f>
        <v>5.954797871420206E-2</v>
      </c>
      <c r="BH104" s="84">
        <f>'CC70 - Valores'!AY84</f>
        <v>6.0474344051664353E-2</v>
      </c>
      <c r="BI104" s="84">
        <f>'CC70 - Valores'!AZ84</f>
        <v>6.1402714324212626E-2</v>
      </c>
      <c r="BJ104" s="84">
        <f>'CC70 - Valores'!BA84</f>
        <v>6.233248529578176E-2</v>
      </c>
      <c r="BK104" s="84">
        <f>'CC70 - Valores'!BB84</f>
        <v>6.3262996286473458E-2</v>
      </c>
    </row>
    <row r="105" spans="1:63" x14ac:dyDescent="0.3">
      <c r="A105" s="357"/>
      <c r="C105" s="278"/>
      <c r="D105" s="278"/>
      <c r="E105" s="278"/>
      <c r="F105" s="278"/>
      <c r="G105" s="278"/>
      <c r="H105" s="279"/>
      <c r="I105" s="279"/>
      <c r="J105" s="279"/>
      <c r="O105" s="84"/>
      <c r="P105" s="84"/>
      <c r="Q105" s="84"/>
      <c r="R105" s="84"/>
      <c r="S105" s="84"/>
      <c r="T105" s="84"/>
      <c r="U105" s="84"/>
      <c r="V105" s="84"/>
      <c r="W105" s="84"/>
      <c r="X105" s="84"/>
      <c r="Y105" s="84"/>
      <c r="Z105" s="84"/>
      <c r="AA105" s="84"/>
      <c r="AB105" s="84"/>
      <c r="AC105" s="84"/>
      <c r="AD105" s="84"/>
      <c r="AE105" s="84"/>
      <c r="AF105" s="84"/>
      <c r="AG105" s="84"/>
      <c r="AH105" s="84"/>
      <c r="AI105" s="84"/>
      <c r="AJ105" s="84"/>
      <c r="AK105" s="84"/>
      <c r="AL105" s="84"/>
      <c r="AM105" s="84"/>
      <c r="AN105" s="84"/>
      <c r="AO105" s="84"/>
      <c r="AP105" s="84"/>
      <c r="AQ105" s="84"/>
      <c r="AR105" s="84"/>
      <c r="AS105" s="84"/>
      <c r="AT105" s="84"/>
      <c r="AU105" s="84"/>
      <c r="AV105" s="84"/>
      <c r="AW105" s="84"/>
      <c r="AX105" s="84"/>
      <c r="AY105" s="84"/>
      <c r="AZ105" s="84"/>
      <c r="BA105" s="84"/>
      <c r="BB105" s="84"/>
      <c r="BC105" s="84"/>
      <c r="BD105" s="84"/>
      <c r="BE105" s="84"/>
      <c r="BF105" s="84"/>
      <c r="BG105" s="84"/>
      <c r="BH105" s="84"/>
      <c r="BI105" s="84"/>
      <c r="BJ105" s="84"/>
      <c r="BK105" s="84"/>
    </row>
    <row r="106" spans="1:63" x14ac:dyDescent="0.3">
      <c r="A106" s="357"/>
      <c r="C106" s="278"/>
      <c r="D106" s="278"/>
      <c r="E106" s="278"/>
      <c r="F106" s="278"/>
      <c r="G106" s="278"/>
      <c r="H106" s="279"/>
      <c r="I106" s="279"/>
      <c r="J106" s="279"/>
      <c r="O106" s="84"/>
      <c r="P106" s="84"/>
      <c r="Q106" s="84"/>
      <c r="R106" s="84"/>
      <c r="S106" s="84"/>
      <c r="T106" s="84"/>
      <c r="U106" s="84"/>
      <c r="V106" s="84"/>
      <c r="W106" s="84"/>
      <c r="X106" s="84"/>
      <c r="Y106" s="84"/>
      <c r="Z106" s="84"/>
      <c r="AA106" s="84"/>
      <c r="AB106" s="84"/>
      <c r="AC106" s="84"/>
      <c r="AD106" s="84"/>
      <c r="AE106" s="84"/>
      <c r="AF106" s="84"/>
      <c r="AG106" s="84"/>
      <c r="AH106" s="84"/>
      <c r="AI106" s="84"/>
      <c r="AJ106" s="84"/>
      <c r="AK106" s="84"/>
      <c r="AL106" s="84"/>
      <c r="AM106" s="84"/>
      <c r="AN106" s="84"/>
      <c r="AO106" s="84"/>
      <c r="AP106" s="84"/>
      <c r="AQ106" s="84"/>
      <c r="AR106" s="84"/>
      <c r="AS106" s="84"/>
      <c r="AT106" s="84"/>
      <c r="AU106" s="84"/>
      <c r="AV106" s="84"/>
      <c r="AW106" s="84"/>
      <c r="AX106" s="84"/>
      <c r="AY106" s="84"/>
      <c r="AZ106" s="84"/>
      <c r="BA106" s="84"/>
      <c r="BB106" s="84"/>
      <c r="BC106" s="84"/>
      <c r="BD106" s="84"/>
      <c r="BE106" s="84"/>
      <c r="BF106" s="84"/>
      <c r="BG106" s="84"/>
      <c r="BH106" s="84"/>
      <c r="BI106" s="84"/>
      <c r="BJ106" s="84"/>
      <c r="BK106" s="84"/>
    </row>
    <row r="107" spans="1:63" x14ac:dyDescent="0.3">
      <c r="A107" s="357"/>
      <c r="C107" s="278"/>
      <c r="D107" s="278"/>
      <c r="E107" s="278"/>
      <c r="F107" s="278"/>
      <c r="G107" s="278"/>
      <c r="H107" s="279"/>
      <c r="I107" s="279"/>
      <c r="J107" s="279"/>
      <c r="O107" s="84"/>
      <c r="P107" s="84"/>
      <c r="Q107" s="84"/>
      <c r="R107" s="84"/>
      <c r="S107" s="84"/>
      <c r="T107" s="84"/>
      <c r="U107" s="84"/>
      <c r="V107" s="84"/>
      <c r="W107" s="84"/>
      <c r="X107" s="84"/>
      <c r="Y107" s="84"/>
      <c r="Z107" s="84"/>
      <c r="AA107" s="84"/>
      <c r="AB107" s="84"/>
      <c r="AC107" s="84"/>
      <c r="AD107" s="84"/>
      <c r="AE107" s="84"/>
      <c r="AF107" s="84"/>
      <c r="AG107" s="84"/>
      <c r="AH107" s="84"/>
      <c r="AI107" s="84"/>
      <c r="AJ107" s="84"/>
      <c r="AK107" s="84"/>
      <c r="AL107" s="84"/>
      <c r="AM107" s="84"/>
      <c r="AN107" s="84"/>
      <c r="AO107" s="84"/>
      <c r="AP107" s="84"/>
      <c r="AQ107" s="84"/>
      <c r="AR107" s="84"/>
      <c r="AS107" s="84"/>
      <c r="AT107" s="84"/>
      <c r="AU107" s="84"/>
      <c r="AV107" s="84"/>
      <c r="AW107" s="84"/>
      <c r="AX107" s="84"/>
      <c r="AY107" s="84"/>
      <c r="AZ107" s="84"/>
      <c r="BA107" s="84"/>
      <c r="BB107" s="84"/>
      <c r="BC107" s="84"/>
      <c r="BD107" s="84"/>
      <c r="BE107" s="84"/>
      <c r="BF107" s="84"/>
      <c r="BG107" s="84"/>
      <c r="BH107" s="84"/>
      <c r="BI107" s="84"/>
      <c r="BJ107" s="84"/>
      <c r="BK107" s="84"/>
    </row>
    <row r="108" spans="1:63" x14ac:dyDescent="0.3">
      <c r="A108" s="357"/>
      <c r="C108" s="278"/>
      <c r="D108" s="278"/>
      <c r="E108" s="278"/>
      <c r="F108" s="278"/>
      <c r="G108" s="278"/>
      <c r="H108" s="279"/>
      <c r="I108" s="279"/>
      <c r="J108" s="279"/>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4"/>
      <c r="AT108" s="84"/>
      <c r="AU108" s="84"/>
      <c r="AV108" s="84"/>
      <c r="AW108" s="84"/>
      <c r="AX108" s="84"/>
      <c r="AY108" s="84"/>
      <c r="AZ108" s="84"/>
      <c r="BA108" s="84"/>
      <c r="BB108" s="84"/>
      <c r="BC108" s="84"/>
      <c r="BD108" s="84"/>
      <c r="BE108" s="84"/>
      <c r="BF108" s="84"/>
      <c r="BG108" s="84"/>
      <c r="BH108" s="84"/>
      <c r="BI108" s="84"/>
      <c r="BJ108" s="84"/>
      <c r="BK108" s="84"/>
    </row>
    <row r="109" spans="1:63" s="85" customFormat="1" ht="19.8" x14ac:dyDescent="0.4">
      <c r="B109" s="85" t="s">
        <v>410</v>
      </c>
      <c r="C109" s="278"/>
      <c r="D109" s="278"/>
      <c r="E109" s="278"/>
      <c r="F109" s="278"/>
      <c r="G109" s="278"/>
      <c r="H109" s="279"/>
      <c r="I109" s="279"/>
      <c r="J109" s="279"/>
      <c r="K109" s="86"/>
      <c r="L109" s="86"/>
      <c r="M109" s="86"/>
      <c r="N109" s="86"/>
      <c r="O109" s="86"/>
      <c r="P109" s="86"/>
      <c r="Q109" s="86"/>
      <c r="R109" s="86"/>
      <c r="S109" s="86"/>
    </row>
    <row r="110" spans="1:63" s="80" customFormat="1" ht="15.6" x14ac:dyDescent="0.3">
      <c r="C110" s="278"/>
      <c r="D110" s="278"/>
      <c r="E110" s="278"/>
      <c r="F110" s="278"/>
      <c r="G110" s="278"/>
      <c r="H110" s="279"/>
      <c r="I110" s="279"/>
      <c r="J110" s="279"/>
      <c r="K110" s="81">
        <v>2018</v>
      </c>
      <c r="L110" s="81">
        <v>2019</v>
      </c>
      <c r="M110" s="81">
        <v>2020</v>
      </c>
      <c r="N110" s="81">
        <v>2021</v>
      </c>
      <c r="O110" s="81">
        <v>2022</v>
      </c>
      <c r="P110" s="81">
        <v>2023</v>
      </c>
      <c r="Q110" s="81">
        <v>2024</v>
      </c>
      <c r="R110" s="81">
        <v>2025</v>
      </c>
      <c r="S110" s="81">
        <v>2026</v>
      </c>
      <c r="T110" s="80">
        <v>2027</v>
      </c>
      <c r="U110" s="80">
        <v>2028</v>
      </c>
      <c r="V110" s="80">
        <v>2029</v>
      </c>
      <c r="W110" s="80">
        <v>2030</v>
      </c>
      <c r="X110" s="80">
        <v>2031</v>
      </c>
      <c r="Y110" s="80">
        <v>2032</v>
      </c>
      <c r="Z110" s="80">
        <v>2033</v>
      </c>
      <c r="AA110" s="80">
        <v>2034</v>
      </c>
      <c r="AB110" s="80">
        <v>2035</v>
      </c>
      <c r="AC110" s="80">
        <v>2036</v>
      </c>
      <c r="AD110" s="80">
        <v>2037</v>
      </c>
      <c r="AE110" s="80">
        <v>2038</v>
      </c>
      <c r="AF110" s="80">
        <v>2039</v>
      </c>
      <c r="AG110" s="80">
        <v>2040</v>
      </c>
      <c r="AH110" s="80">
        <v>2041</v>
      </c>
      <c r="AI110" s="80">
        <v>2042</v>
      </c>
      <c r="AJ110" s="80">
        <v>2043</v>
      </c>
      <c r="AK110" s="80">
        <v>2044</v>
      </c>
      <c r="AL110" s="80">
        <v>2045</v>
      </c>
      <c r="AM110" s="80">
        <v>2046</v>
      </c>
      <c r="AN110" s="80">
        <v>2047</v>
      </c>
      <c r="AO110" s="80">
        <v>2048</v>
      </c>
      <c r="AP110" s="80">
        <v>2049</v>
      </c>
      <c r="AQ110" s="80">
        <v>2050</v>
      </c>
      <c r="AR110" s="80">
        <v>2051</v>
      </c>
      <c r="AS110" s="80">
        <v>2052</v>
      </c>
      <c r="AT110" s="80">
        <v>2053</v>
      </c>
      <c r="AU110" s="80">
        <v>2054</v>
      </c>
      <c r="AV110" s="80">
        <v>2055</v>
      </c>
      <c r="AW110" s="80">
        <v>2056</v>
      </c>
      <c r="AX110" s="80">
        <v>2057</v>
      </c>
      <c r="AY110" s="80">
        <v>2058</v>
      </c>
      <c r="AZ110" s="80">
        <v>2059</v>
      </c>
      <c r="BA110" s="80">
        <v>2060</v>
      </c>
      <c r="BB110" s="80">
        <v>2061</v>
      </c>
      <c r="BC110" s="80">
        <v>2062</v>
      </c>
      <c r="BD110" s="80">
        <v>2063</v>
      </c>
      <c r="BE110" s="80">
        <v>2064</v>
      </c>
      <c r="BF110" s="80">
        <v>2065</v>
      </c>
      <c r="BG110" s="80">
        <v>2066</v>
      </c>
      <c r="BH110" s="80">
        <v>2067</v>
      </c>
      <c r="BI110" s="80">
        <v>2068</v>
      </c>
      <c r="BJ110" s="80">
        <v>2069</v>
      </c>
      <c r="BK110" s="80">
        <v>2070</v>
      </c>
    </row>
    <row r="111" spans="1:63" x14ac:dyDescent="0.3">
      <c r="A111" s="386" t="s">
        <v>672</v>
      </c>
      <c r="B111" t="s">
        <v>409</v>
      </c>
      <c r="C111" s="278"/>
      <c r="D111" s="278"/>
      <c r="E111" s="278"/>
      <c r="F111" s="278"/>
      <c r="G111" s="278"/>
      <c r="H111" s="279"/>
      <c r="I111" s="279"/>
      <c r="J111" s="279"/>
      <c r="K111" s="82">
        <f>Tendencial!O98</f>
        <v>6.5056349999999998</v>
      </c>
      <c r="L111" s="82">
        <f>Tendencial!P98</f>
        <v>6.5834770000000002</v>
      </c>
      <c r="M111" s="82">
        <f>Tendencial!Q98</f>
        <v>6.544556</v>
      </c>
      <c r="N111" s="82">
        <f>Tendencial!R98</f>
        <v>6.6849160000000003</v>
      </c>
      <c r="O111" s="82">
        <f>Tendencial!S98</f>
        <v>6.0787890000000004</v>
      </c>
      <c r="P111" s="82">
        <f>Tendencial!T98</f>
        <v>6.6176148515088835</v>
      </c>
      <c r="Q111" s="82">
        <f>Tendencial!U98</f>
        <v>7.0208577191704835</v>
      </c>
      <c r="R111" s="82">
        <f>Tendencial!V98</f>
        <v>7.0329783540655306</v>
      </c>
      <c r="S111" s="82">
        <f>Tendencial!W98</f>
        <v>7.0681432458358575</v>
      </c>
      <c r="T111" s="82">
        <f>Tendencial!X98</f>
        <v>7.1034839620650363</v>
      </c>
      <c r="U111" s="82">
        <f>Tendencial!Y98</f>
        <v>7.1390013818753602</v>
      </c>
      <c r="V111" s="82">
        <f>Tendencial!Z98</f>
        <v>7.1746963887847368</v>
      </c>
      <c r="W111" s="82">
        <f>Tendencial!AA98</f>
        <v>7.2105698707286603</v>
      </c>
      <c r="X111" s="82">
        <f>Tendencial!AB98</f>
        <v>7.2466227200823026</v>
      </c>
      <c r="Y111" s="82">
        <f>Tendencial!AC98</f>
        <v>7.2828558336827136</v>
      </c>
      <c r="Z111" s="82">
        <f>Tendencial!AD98</f>
        <v>7.3192701128511271</v>
      </c>
      <c r="AA111" s="82">
        <f>Tendencial!AE98</f>
        <v>7.3558664634153823</v>
      </c>
      <c r="AB111" s="82">
        <f>Tendencial!AF98</f>
        <v>7.3926457957324585</v>
      </c>
      <c r="AC111" s="82">
        <f>Tendencial!AG98</f>
        <v>7.4296090247111204</v>
      </c>
      <c r="AD111" s="82">
        <f>Tendencial!AH98</f>
        <v>7.4667570698346744</v>
      </c>
      <c r="AE111" s="82">
        <f>Tendencial!AI98</f>
        <v>7.5040908551838479</v>
      </c>
      <c r="AF111" s="82">
        <f>Tendencial!AJ98</f>
        <v>7.5416113094597659</v>
      </c>
      <c r="AG111" s="82">
        <f>Tendencial!AK98</f>
        <v>7.5793193660070637</v>
      </c>
      <c r="AH111" s="82">
        <f>Tendencial!AL98</f>
        <v>7.617215962837097</v>
      </c>
      <c r="AI111" s="82">
        <f>Tendencial!AM98</f>
        <v>7.6553020426512814</v>
      </c>
      <c r="AJ111" s="82">
        <f>Tendencial!AN98</f>
        <v>7.6935785528645377</v>
      </c>
      <c r="AK111" s="82">
        <f>Tendencial!AO98</f>
        <v>7.7320464456288596</v>
      </c>
      <c r="AL111" s="82">
        <f>Tendencial!AP98</f>
        <v>7.770706677857004</v>
      </c>
      <c r="AM111" s="82">
        <f>Tendencial!AQ98</f>
        <v>7.8095602112462883</v>
      </c>
      <c r="AN111" s="82">
        <f>Tendencial!AR98</f>
        <v>7.8486080123025186</v>
      </c>
      <c r="AO111" s="82">
        <f>Tendencial!AS98</f>
        <v>7.8878510523640308</v>
      </c>
      <c r="AP111" s="82">
        <f>Tendencial!AT98</f>
        <v>7.9272903076258503</v>
      </c>
      <c r="AQ111" s="82">
        <f>Tendencial!AU98</f>
        <v>7.9669267591639787</v>
      </c>
      <c r="AR111" s="82">
        <f>Tendencial!AV98</f>
        <v>8.0067613929597972</v>
      </c>
      <c r="AS111" s="82">
        <f>Tendencial!AW98</f>
        <v>8.0467951999245955</v>
      </c>
      <c r="AT111" s="82">
        <f>Tendencial!AX98</f>
        <v>8.0870291759242185</v>
      </c>
      <c r="AU111" s="82">
        <f>Tendencial!AY98</f>
        <v>8.1274643218038385</v>
      </c>
      <c r="AV111" s="82">
        <f>Tendencial!AZ98</f>
        <v>8.1681016434128573</v>
      </c>
      <c r="AW111" s="82">
        <f>Tendencial!BA98</f>
        <v>8.2089421516299197</v>
      </c>
      <c r="AX111" s="82">
        <f>Tendencial!BB98</f>
        <v>8.2499868623880683</v>
      </c>
      <c r="AY111" s="82">
        <f>Tendencial!BC98</f>
        <v>8.2912367967000087</v>
      </c>
      <c r="AZ111" s="82">
        <f>Tendencial!BD98</f>
        <v>8.3326929806835075</v>
      </c>
      <c r="BA111" s="82">
        <f>Tendencial!BE98</f>
        <v>8.3743564455869244</v>
      </c>
      <c r="BB111" s="82">
        <f>Tendencial!BF98</f>
        <v>8.4162282278148588</v>
      </c>
      <c r="BC111" s="82">
        <f>Tendencial!BG98</f>
        <v>8.4583093689539304</v>
      </c>
      <c r="BD111" s="82">
        <f>Tendencial!BH98</f>
        <v>8.5006009157986995</v>
      </c>
      <c r="BE111" s="82">
        <f>Tendencial!BI98</f>
        <v>8.5431039203776926</v>
      </c>
      <c r="BF111" s="82">
        <f>Tendencial!BJ98</f>
        <v>8.5858194399795806</v>
      </c>
      <c r="BG111" s="82">
        <f>Tendencial!BK98</f>
        <v>8.6287485371794777</v>
      </c>
      <c r="BH111" s="82">
        <f>Tendencial!BL98</f>
        <v>8.6718922798653733</v>
      </c>
      <c r="BI111" s="82">
        <f>Tendencial!BM98</f>
        <v>8.7152517412646997</v>
      </c>
      <c r="BJ111" s="82">
        <f>Tendencial!BN98</f>
        <v>8.7588279999710217</v>
      </c>
      <c r="BK111" s="82">
        <f>Tendencial!BO98</f>
        <v>8.8026221399708753</v>
      </c>
    </row>
    <row r="112" spans="1:63" x14ac:dyDescent="0.3">
      <c r="A112" s="386"/>
      <c r="B112" t="s">
        <v>394</v>
      </c>
      <c r="C112" s="280"/>
      <c r="D112" s="280"/>
      <c r="E112" s="280"/>
      <c r="F112" s="280"/>
      <c r="G112" s="280"/>
      <c r="H112" s="280"/>
      <c r="I112" s="280"/>
      <c r="J112" s="280"/>
      <c r="K112" s="82">
        <f>Tendencial!O99</f>
        <v>0.235182</v>
      </c>
      <c r="L112" s="82">
        <f>Tendencial!P99</f>
        <v>0.28367999999999999</v>
      </c>
      <c r="M112" s="82">
        <f>Tendencial!Q99</f>
        <v>0.327903</v>
      </c>
      <c r="N112" s="82">
        <f>Tendencial!R99</f>
        <v>0.30209399999999997</v>
      </c>
      <c r="O112" s="82">
        <f>Tendencial!S99</f>
        <v>0.33714940921686015</v>
      </c>
      <c r="P112" s="82">
        <f>Tendencial!T99</f>
        <v>0.35886470240306245</v>
      </c>
      <c r="Q112" s="82">
        <f>Tendencial!U99</f>
        <v>0.381525233817744</v>
      </c>
      <c r="R112" s="82">
        <f>Tendencial!V99</f>
        <v>0.38298010596947313</v>
      </c>
      <c r="S112" s="82">
        <f>Tendencial!W99</f>
        <v>0.41494806657878391</v>
      </c>
      <c r="T112" s="82">
        <f>Tendencial!X99</f>
        <v>0.43467423609182221</v>
      </c>
      <c r="U112" s="82">
        <f>Tendencial!Y99</f>
        <v>0.45555627027367868</v>
      </c>
      <c r="V112" s="82">
        <f>Tendencial!Z99</f>
        <v>0.47588825567318871</v>
      </c>
      <c r="W112" s="82">
        <f>Tendencial!AA99</f>
        <v>0.49867085441778475</v>
      </c>
      <c r="X112" s="82">
        <f>Tendencial!AB99</f>
        <v>0.50337855333280912</v>
      </c>
      <c r="Y112" s="82">
        <f>Tendencial!AC99</f>
        <v>0.52408759556318041</v>
      </c>
      <c r="Z112" s="82">
        <f>Tendencial!AD99</f>
        <v>0.54751235992063418</v>
      </c>
      <c r="AA112" s="82">
        <f>Tendencial!AE99</f>
        <v>0.56845331477086447</v>
      </c>
      <c r="AB112" s="82">
        <f>Tendencial!AF99</f>
        <v>0.58966061791681557</v>
      </c>
      <c r="AC112" s="82">
        <f>Tendencial!AG99</f>
        <v>0.61123068354915766</v>
      </c>
      <c r="AD112" s="82">
        <f>Tendencial!AH99</f>
        <v>0.61988187169698128</v>
      </c>
      <c r="AE112" s="82">
        <f>Tendencial!AI99</f>
        <v>0.62762356224013671</v>
      </c>
      <c r="AF112" s="82">
        <f>Tendencial!AJ99</f>
        <v>0.63821027588962875</v>
      </c>
      <c r="AG112" s="82">
        <f>Tendencial!AK99</f>
        <v>0.64815625490928919</v>
      </c>
      <c r="AH112" s="82">
        <f>Tendencial!AL99</f>
        <v>0.65766685618270837</v>
      </c>
      <c r="AI112" s="82">
        <f>Tendencial!AM99</f>
        <v>0.66693979462518593</v>
      </c>
      <c r="AJ112" s="82">
        <f>Tendencial!AN99</f>
        <v>0.67518523841270128</v>
      </c>
      <c r="AK112" s="82">
        <f>Tendencial!AO99</f>
        <v>0.68425563639713283</v>
      </c>
      <c r="AL112" s="82">
        <f>Tendencial!AP99</f>
        <v>0.69274367648454438</v>
      </c>
      <c r="AM112" s="82">
        <f>Tendencial!AQ99</f>
        <v>0.70233330319555287</v>
      </c>
      <c r="AN112" s="82">
        <f>Tendencial!AR99</f>
        <v>0.7109240809816374</v>
      </c>
      <c r="AO112" s="82">
        <f>Tendencial!AS99</f>
        <v>0.71930599887220825</v>
      </c>
      <c r="AP112" s="82">
        <f>Tendencial!AT99</f>
        <v>0.72771352429949931</v>
      </c>
      <c r="AQ112" s="82">
        <f>Tendencial!AU99</f>
        <v>0.73605806278692554</v>
      </c>
      <c r="AR112" s="82">
        <f>Tendencial!AV99</f>
        <v>0.74483827741175423</v>
      </c>
      <c r="AS112" s="82">
        <f>Tendencial!AW99</f>
        <v>0.75315668971454774</v>
      </c>
      <c r="AT112" s="82">
        <f>Tendencial!AX99</f>
        <v>0.76138997458477398</v>
      </c>
      <c r="AU112" s="82">
        <f>Tendencial!AY99</f>
        <v>0.76961861021949074</v>
      </c>
      <c r="AV112" s="82">
        <f>Tendencial!AZ99</f>
        <v>0.77776321466429199</v>
      </c>
      <c r="AW112" s="82">
        <f>Tendencial!BA99</f>
        <v>0.78590375598605355</v>
      </c>
      <c r="AX112" s="82">
        <f>Tendencial!BB99</f>
        <v>0.7938038083429757</v>
      </c>
      <c r="AY112" s="82">
        <f>Tendencial!BC99</f>
        <v>0.80162630597989104</v>
      </c>
      <c r="AZ112" s="82">
        <f>Tendencial!BD99</f>
        <v>0.80936402849926736</v>
      </c>
      <c r="BA112" s="82">
        <f>Tendencial!BE99</f>
        <v>0.81699227335561775</v>
      </c>
      <c r="BB112" s="82">
        <f>Tendencial!BF99</f>
        <v>0.82448891395678192</v>
      </c>
      <c r="BC112" s="82">
        <f>Tendencial!BG99</f>
        <v>0.83186414368667627</v>
      </c>
      <c r="BD112" s="82">
        <f>Tendencial!BH99</f>
        <v>0.83912033736241753</v>
      </c>
      <c r="BE112" s="82">
        <f>Tendencial!BI99</f>
        <v>0.84625505045622962</v>
      </c>
      <c r="BF112" s="82">
        <f>Tendencial!BJ99</f>
        <v>0.85325386242213341</v>
      </c>
      <c r="BG112" s="82">
        <f>Tendencial!BK99</f>
        <v>0.86011244506838935</v>
      </c>
      <c r="BH112" s="82">
        <f>Tendencial!BL99</f>
        <v>0.86682240165161506</v>
      </c>
      <c r="BI112" s="82">
        <f>Tendencial!BM99</f>
        <v>0.87338848029273564</v>
      </c>
      <c r="BJ112" s="82">
        <f>Tendencial!BN99</f>
        <v>0.87980553417691676</v>
      </c>
      <c r="BK112" s="82">
        <f>Tendencial!BO99</f>
        <v>0.88606831242719475</v>
      </c>
    </row>
    <row r="113" spans="1:63" x14ac:dyDescent="0.3">
      <c r="A113" s="386"/>
      <c r="B113" t="s">
        <v>395</v>
      </c>
      <c r="C113" s="103"/>
      <c r="D113" s="103"/>
      <c r="E113" s="103"/>
      <c r="F113" s="103"/>
      <c r="G113" s="103"/>
      <c r="H113" s="359"/>
      <c r="I113" s="359"/>
      <c r="J113" s="359"/>
      <c r="K113" s="82">
        <f>Tendencial!O100</f>
        <v>5.0650000000000001E-3</v>
      </c>
      <c r="L113" s="82">
        <f>Tendencial!P100</f>
        <v>8.1410000000000007E-3</v>
      </c>
      <c r="M113" s="82">
        <f>Tendencial!Q100</f>
        <v>5.28E-3</v>
      </c>
      <c r="N113" s="82">
        <f>Tendencial!R100</f>
        <v>4.9170000000000004E-3</v>
      </c>
      <c r="O113" s="82">
        <f>Tendencial!S100</f>
        <v>7.9659689417556218E-3</v>
      </c>
      <c r="P113" s="82">
        <f>Tendencial!T100</f>
        <v>7.4472288920733173E-3</v>
      </c>
      <c r="Q113" s="82">
        <f>Tendencial!U100</f>
        <v>7.9174845709715138E-3</v>
      </c>
      <c r="R113" s="82">
        <f>Tendencial!V100</f>
        <v>7.9476763559257774E-3</v>
      </c>
      <c r="S113" s="82">
        <f>Tendencial!W100</f>
        <v>8.4422368473998487E-3</v>
      </c>
      <c r="T113" s="82">
        <f>Tendencial!X100</f>
        <v>8.6701680355968386E-3</v>
      </c>
      <c r="U113" s="82">
        <f>Tendencial!Y100</f>
        <v>8.908518206273721E-3</v>
      </c>
      <c r="V113" s="82">
        <f>Tendencial!Z100</f>
        <v>9.1236424789824192E-3</v>
      </c>
      <c r="W113" s="82">
        <f>Tendencial!AA100</f>
        <v>9.3729669504784702E-3</v>
      </c>
      <c r="X113" s="82">
        <f>Tendencial!AB100</f>
        <v>9.2759337090285617E-3</v>
      </c>
      <c r="Y113" s="82">
        <f>Tendencial!AC100</f>
        <v>9.4681828592127464E-3</v>
      </c>
      <c r="Z113" s="82">
        <f>Tendencial!AD100</f>
        <v>9.6974268462998534E-3</v>
      </c>
      <c r="AA113" s="82">
        <f>Tendencial!AE100</f>
        <v>9.8709105412889721E-3</v>
      </c>
      <c r="AB113" s="82">
        <f>Tendencial!AF100</f>
        <v>1.0038396928511634E-2</v>
      </c>
      <c r="AC113" s="82">
        <f>Tendencial!AG100</f>
        <v>1.0201574763510855E-2</v>
      </c>
      <c r="AD113" s="82">
        <f>Tendencial!AH100</f>
        <v>1.0345964999568309E-2</v>
      </c>
      <c r="AE113" s="82">
        <f>Tendencial!AI100</f>
        <v>1.0475175520240108E-2</v>
      </c>
      <c r="AF113" s="82">
        <f>Tendencial!AJ100</f>
        <v>1.0651870103319703E-2</v>
      </c>
      <c r="AG113" s="82">
        <f>Tendencial!AK100</f>
        <v>1.0817870684272569E-2</v>
      </c>
      <c r="AH113" s="82">
        <f>Tendencial!AL100</f>
        <v>1.0976604714726267E-2</v>
      </c>
      <c r="AI113" s="82">
        <f>Tendencial!AM100</f>
        <v>1.1131372100174055E-2</v>
      </c>
      <c r="AJ113" s="82">
        <f>Tendencial!AN100</f>
        <v>1.1268990373471847E-2</v>
      </c>
      <c r="AK113" s="82">
        <f>Tendencial!AO100</f>
        <v>1.1420377314054866E-2</v>
      </c>
      <c r="AL113" s="82">
        <f>Tendencial!AP100</f>
        <v>1.156204457304227E-2</v>
      </c>
      <c r="AM113" s="82">
        <f>Tendencial!AQ100</f>
        <v>1.1722097555458763E-2</v>
      </c>
      <c r="AN113" s="82">
        <f>Tendencial!AR100</f>
        <v>1.1865479529270294E-2</v>
      </c>
      <c r="AO113" s="82">
        <f>Tendencial!AS100</f>
        <v>1.2005375585413538E-2</v>
      </c>
      <c r="AP113" s="82">
        <f>Tendencial!AT100</f>
        <v>1.2145699036986021E-2</v>
      </c>
      <c r="AQ113" s="82">
        <f>Tendencial!AU100</f>
        <v>1.2284971222656043E-2</v>
      </c>
      <c r="AR113" s="82">
        <f>Tendencial!AV100</f>
        <v>1.2431514939039446E-2</v>
      </c>
      <c r="AS113" s="82">
        <f>Tendencial!AW100</f>
        <v>1.2570351072932308E-2</v>
      </c>
      <c r="AT113" s="82">
        <f>Tendencial!AX100</f>
        <v>1.2707766411221916E-2</v>
      </c>
      <c r="AU113" s="82">
        <f>Tendencial!AY100</f>
        <v>1.2845104152746638E-2</v>
      </c>
      <c r="AV113" s="82">
        <f>Tendencial!AZ100</f>
        <v>1.2981039395199465E-2</v>
      </c>
      <c r="AW113" s="82">
        <f>Tendencial!BA100</f>
        <v>1.3116906823233647E-2</v>
      </c>
      <c r="AX113" s="82">
        <f>Tendencial!BB100</f>
        <v>1.3248760437464568E-2</v>
      </c>
      <c r="AY113" s="82">
        <f>Tendencial!BC100</f>
        <v>1.3379319646333146E-2</v>
      </c>
      <c r="AZ113" s="82">
        <f>Tendencial!BD100</f>
        <v>1.3508463939813906E-2</v>
      </c>
      <c r="BA113" s="82">
        <f>Tendencial!BE100</f>
        <v>1.3635781026980666E-2</v>
      </c>
      <c r="BB113" s="82">
        <f>Tendencial!BF100</f>
        <v>1.3760901610135743E-2</v>
      </c>
      <c r="BC113" s="82">
        <f>Tendencial!BG100</f>
        <v>1.3883995819102324E-2</v>
      </c>
      <c r="BD113" s="82">
        <f>Tendencial!BH100</f>
        <v>1.400510329010126E-2</v>
      </c>
      <c r="BE113" s="82">
        <f>Tendencial!BI100</f>
        <v>1.412418322342544E-2</v>
      </c>
      <c r="BF113" s="82">
        <f>Tendencial!BJ100</f>
        <v>1.4240994936985595E-2</v>
      </c>
      <c r="BG113" s="82">
        <f>Tendencial!BK100</f>
        <v>1.435546619230809E-2</v>
      </c>
      <c r="BH113" s="82">
        <f>Tendencial!BL100</f>
        <v>1.4467456845896056E-2</v>
      </c>
      <c r="BI113" s="82">
        <f>Tendencial!BM100</f>
        <v>1.4577046144933749E-2</v>
      </c>
      <c r="BJ113" s="82">
        <f>Tendencial!BN100</f>
        <v>1.4684148187947735E-2</v>
      </c>
      <c r="BK113" s="82">
        <f>Tendencial!BO100</f>
        <v>1.4788675336644718E-2</v>
      </c>
    </row>
    <row r="114" spans="1:63" x14ac:dyDescent="0.3">
      <c r="A114" s="386"/>
      <c r="B114" t="s">
        <v>396</v>
      </c>
      <c r="C114" s="276"/>
      <c r="D114" s="276"/>
      <c r="E114" s="276"/>
      <c r="F114" s="276"/>
      <c r="G114" s="276"/>
      <c r="H114" s="128"/>
      <c r="I114" s="359"/>
      <c r="J114" s="359"/>
      <c r="K114" s="82">
        <f>Tendencial!O101</f>
        <v>7.8406349999999998</v>
      </c>
      <c r="L114" s="82">
        <f>Tendencial!P101</f>
        <v>10.08887</v>
      </c>
      <c r="M114" s="82">
        <f>Tendencial!Q101</f>
        <v>11.390245</v>
      </c>
      <c r="N114" s="82">
        <f>Tendencial!R101</f>
        <v>11.6717</v>
      </c>
      <c r="O114" s="82">
        <f>Tendencial!S101</f>
        <v>8.1132930000000005</v>
      </c>
      <c r="P114" s="82">
        <f>Tendencial!T101</f>
        <v>9.1992265069613417</v>
      </c>
      <c r="Q114" s="82">
        <f>Tendencial!U101</f>
        <v>9.789160300550197</v>
      </c>
      <c r="R114" s="82">
        <f>Tendencial!V101</f>
        <v>9.8355803911172064</v>
      </c>
      <c r="S114" s="82">
        <f>Tendencial!W101</f>
        <v>10.457285267457515</v>
      </c>
      <c r="T114" s="82">
        <f>Tendencial!X101</f>
        <v>10.488766053314759</v>
      </c>
      <c r="U114" s="82">
        <f>Tendencial!Y101</f>
        <v>10.520341609454425</v>
      </c>
      <c r="V114" s="82">
        <f>Tendencial!Z101</f>
        <v>10.552012221174552</v>
      </c>
      <c r="W114" s="82">
        <f>Tendencial!AA101</f>
        <v>10.583778174632046</v>
      </c>
      <c r="X114" s="82">
        <f>Tendencial!AB101</f>
        <v>10.615639756845262</v>
      </c>
      <c r="Y114" s="82">
        <f>Tendencial!AC101</f>
        <v>10.647597255696599</v>
      </c>
      <c r="Z114" s="82">
        <f>Tendencial!AD101</f>
        <v>10.679650959935103</v>
      </c>
      <c r="AA114" s="82">
        <f>Tendencial!AE101</f>
        <v>10.711801159179073</v>
      </c>
      <c r="AB114" s="82">
        <f>Tendencial!AF101</f>
        <v>10.744048143918684</v>
      </c>
      <c r="AC114" s="82">
        <f>Tendencial!AG101</f>
        <v>10.776392205518606</v>
      </c>
      <c r="AD114" s="82">
        <f>Tendencial!AH101</f>
        <v>10.808833636220635</v>
      </c>
      <c r="AE114" s="82">
        <f>Tendencial!AI101</f>
        <v>10.841372729146341</v>
      </c>
      <c r="AF114" s="82">
        <f>Tendencial!AJ101</f>
        <v>10.874009778299708</v>
      </c>
      <c r="AG114" s="82">
        <f>Tendencial!AK101</f>
        <v>10.906745078569799</v>
      </c>
      <c r="AH114" s="82">
        <f>Tendencial!AL101</f>
        <v>10.939578925733409</v>
      </c>
      <c r="AI114" s="82">
        <f>Tendencial!AM101</f>
        <v>10.972511616457753</v>
      </c>
      <c r="AJ114" s="82">
        <f>Tendencial!AN101</f>
        <v>11.005543448303133</v>
      </c>
      <c r="AK114" s="82">
        <f>Tendencial!AO101</f>
        <v>11.038674719725627</v>
      </c>
      <c r="AL114" s="82">
        <f>Tendencial!AP101</f>
        <v>11.071905730079802</v>
      </c>
      <c r="AM114" s="82">
        <f>Tendencial!AQ101</f>
        <v>11.105236779621398</v>
      </c>
      <c r="AN114" s="82">
        <f>Tendencial!AR101</f>
        <v>11.138668169510051</v>
      </c>
      <c r="AO114" s="82">
        <f>Tendencial!AS101</f>
        <v>11.172200201812013</v>
      </c>
      <c r="AP114" s="82">
        <f>Tendencial!AT101</f>
        <v>11.205833179502884</v>
      </c>
      <c r="AQ114" s="82">
        <f>Tendencial!AU101</f>
        <v>11.239567406470348</v>
      </c>
      <c r="AR114" s="82">
        <f>Tendencial!AV101</f>
        <v>11.273403187516909</v>
      </c>
      <c r="AS114" s="82">
        <f>Tendencial!AW101</f>
        <v>11.307340828362664</v>
      </c>
      <c r="AT114" s="82">
        <f>Tendencial!AX101</f>
        <v>11.341380635648047</v>
      </c>
      <c r="AU114" s="82">
        <f>Tendencial!AY101</f>
        <v>11.375522916936612</v>
      </c>
      <c r="AV114" s="82">
        <f>Tendencial!AZ101</f>
        <v>11.409767980717808</v>
      </c>
      <c r="AW114" s="82">
        <f>Tendencial!BA101</f>
        <v>11.444116136409759</v>
      </c>
      <c r="AX114" s="82">
        <f>Tendencial!BB101</f>
        <v>11.478567694362075</v>
      </c>
      <c r="AY114" s="82">
        <f>Tendencial!BC101</f>
        <v>11.513122965858644</v>
      </c>
      <c r="AZ114" s="82">
        <f>Tendencial!BD101</f>
        <v>11.547782263120448</v>
      </c>
      <c r="BA114" s="82">
        <f>Tendencial!BE101</f>
        <v>11.582545899308382</v>
      </c>
      <c r="BB114" s="82">
        <f>Tendencial!BF101</f>
        <v>11.617414188526093</v>
      </c>
      <c r="BC114" s="82">
        <f>Tendencial!BG101</f>
        <v>11.6523874458228</v>
      </c>
      <c r="BD114" s="82">
        <f>Tendencial!BH101</f>
        <v>11.687465987196163</v>
      </c>
      <c r="BE114" s="82">
        <f>Tendencial!BI101</f>
        <v>11.722650129595117</v>
      </c>
      <c r="BF114" s="82">
        <f>Tendencial!BJ101</f>
        <v>11.757940190922753</v>
      </c>
      <c r="BG114" s="82">
        <f>Tendencial!BK101</f>
        <v>11.793336490039177</v>
      </c>
      <c r="BH114" s="82">
        <f>Tendencial!BL101</f>
        <v>11.828839346764399</v>
      </c>
      <c r="BI114" s="82">
        <f>Tendencial!BM101</f>
        <v>11.864449081881222</v>
      </c>
      <c r="BJ114" s="82">
        <f>Tendencial!BN101</f>
        <v>11.900166017138135</v>
      </c>
      <c r="BK114" s="82">
        <f>Tendencial!BO101</f>
        <v>11.935990475252229</v>
      </c>
    </row>
    <row r="115" spans="1:63" x14ac:dyDescent="0.3">
      <c r="A115" s="386"/>
      <c r="B115" t="s">
        <v>397</v>
      </c>
      <c r="C115" s="276"/>
      <c r="D115" s="276"/>
      <c r="E115" s="276"/>
      <c r="F115" s="276"/>
      <c r="G115" s="276"/>
      <c r="H115" s="128"/>
      <c r="I115" s="359"/>
      <c r="J115" s="359"/>
      <c r="K115" s="82">
        <f>Tendencial!O102</f>
        <v>1.4492659999999999</v>
      </c>
      <c r="L115" s="82">
        <f>Tendencial!P102</f>
        <v>1.628519</v>
      </c>
      <c r="M115" s="82">
        <f>Tendencial!Q102</f>
        <v>1.463279</v>
      </c>
      <c r="N115" s="82">
        <f>Tendencial!R102</f>
        <v>1.849405</v>
      </c>
      <c r="O115" s="82">
        <f>Tendencial!S102</f>
        <v>1.736397</v>
      </c>
      <c r="P115" s="82">
        <f>Tendencial!T102</f>
        <v>1.8829251028288905</v>
      </c>
      <c r="Q115" s="82">
        <f>Tendencial!U102</f>
        <v>2.0071079895573583</v>
      </c>
      <c r="R115" s="82">
        <f>Tendencial!V102</f>
        <v>2.0200813459494822</v>
      </c>
      <c r="S115" s="82">
        <f>Tendencial!W102</f>
        <v>2.151450644725716</v>
      </c>
      <c r="T115" s="82">
        <f>Tendencial!X102</f>
        <v>2.2153713797596195</v>
      </c>
      <c r="U115" s="82">
        <f>Tendencial!Y102</f>
        <v>2.2822839118272658</v>
      </c>
      <c r="V115" s="82">
        <f>Tendencial!Z102</f>
        <v>2.3435683612215867</v>
      </c>
      <c r="W115" s="82">
        <f>Tendencial!AA102</f>
        <v>2.4139686415720769</v>
      </c>
      <c r="X115" s="82">
        <f>Tendencial!AB102</f>
        <v>2.3952858308906038</v>
      </c>
      <c r="Y115" s="82">
        <f>Tendencial!AC102</f>
        <v>2.4513849576118218</v>
      </c>
      <c r="Z115" s="82">
        <f>Tendencial!AD102</f>
        <v>2.5173671626298217</v>
      </c>
      <c r="AA115" s="82">
        <f>Tendencial!AE102</f>
        <v>2.5691676056405601</v>
      </c>
      <c r="AB115" s="82">
        <f>Tendencial!AF102</f>
        <v>2.6196589593152715</v>
      </c>
      <c r="AC115" s="82">
        <f>Tendencial!AG102</f>
        <v>2.6692716851341793</v>
      </c>
      <c r="AD115" s="82">
        <f>Tendencial!AH102</f>
        <v>2.7141993272849132</v>
      </c>
      <c r="AE115" s="82">
        <f>Tendencial!AI102</f>
        <v>2.7553527906614863</v>
      </c>
      <c r="AF115" s="82">
        <f>Tendencial!AJ102</f>
        <v>2.8092276662483266</v>
      </c>
      <c r="AG115" s="82">
        <f>Tendencial!AK102</f>
        <v>2.8605400426559275</v>
      </c>
      <c r="AH115" s="82">
        <f>Tendencial!AL102</f>
        <v>2.9101772509585788</v>
      </c>
      <c r="AI115" s="82">
        <f>Tendencial!AM102</f>
        <v>2.959002199633797</v>
      </c>
      <c r="AJ115" s="82">
        <f>Tendencial!AN102</f>
        <v>3.003493981464584</v>
      </c>
      <c r="AK115" s="82">
        <f>Tendencial!AO102</f>
        <v>3.0518794967509071</v>
      </c>
      <c r="AL115" s="82">
        <f>Tendencial!AP102</f>
        <v>3.0978953225357717</v>
      </c>
      <c r="AM115" s="82">
        <f>Tendencial!AQ102</f>
        <v>3.1490720824615273</v>
      </c>
      <c r="AN115" s="82">
        <f>Tendencial!AR102</f>
        <v>3.1960071005602386</v>
      </c>
      <c r="AO115" s="82">
        <f>Tendencial!AS102</f>
        <v>3.2422265906206706</v>
      </c>
      <c r="AP115" s="82">
        <f>Tendencial!AT102</f>
        <v>3.2887835989542031</v>
      </c>
      <c r="AQ115" s="82">
        <f>Tendencial!AU102</f>
        <v>3.3352784456632558</v>
      </c>
      <c r="AR115" s="82">
        <f>Tendencial!AV102</f>
        <v>3.3839752678513069</v>
      </c>
      <c r="AS115" s="82">
        <f>Tendencial!AW102</f>
        <v>3.4308023741897391</v>
      </c>
      <c r="AT115" s="82">
        <f>Tendencial!AX102</f>
        <v>3.4774643689669227</v>
      </c>
      <c r="AU115" s="82">
        <f>Tendencial!AY102</f>
        <v>3.524327562450519</v>
      </c>
      <c r="AV115" s="82">
        <f>Tendencial!AZ102</f>
        <v>3.5710281606608056</v>
      </c>
      <c r="AW115" s="82">
        <f>Tendencial!BA102</f>
        <v>3.6179320950431659</v>
      </c>
      <c r="AX115" s="82">
        <f>Tendencial!BB102</f>
        <v>3.663948797044307</v>
      </c>
      <c r="AY115" s="82">
        <f>Tendencial!BC102</f>
        <v>3.7098243625933165</v>
      </c>
      <c r="AZ115" s="82">
        <f>Tendencial!BD102</f>
        <v>3.7555232746400069</v>
      </c>
      <c r="BA115" s="82">
        <f>Tendencial!BE102</f>
        <v>3.8009283171932187</v>
      </c>
      <c r="BB115" s="82">
        <f>Tendencial!BF102</f>
        <v>3.8459330627545101</v>
      </c>
      <c r="BC115" s="82">
        <f>Tendencial!BG102</f>
        <v>3.8905811339697642</v>
      </c>
      <c r="BD115" s="82">
        <f>Tendencial!BH102</f>
        <v>3.934879970562422</v>
      </c>
      <c r="BE115" s="82">
        <f>Tendencial!BI102</f>
        <v>3.9788144498938083</v>
      </c>
      <c r="BF115" s="82">
        <f>Tendencial!BJ102</f>
        <v>4.0223128513278068</v>
      </c>
      <c r="BG115" s="82">
        <f>Tendencial!BK102</f>
        <v>4.0653504169277923</v>
      </c>
      <c r="BH115" s="82">
        <f>Tendencial!BL102</f>
        <v>4.107882867643994</v>
      </c>
      <c r="BI115" s="82">
        <f>Tendencial!BM102</f>
        <v>4.1499279372286351</v>
      </c>
      <c r="BJ115" s="82">
        <f>Tendencial!BN102</f>
        <v>4.1914564306462134</v>
      </c>
      <c r="BK115" s="82">
        <f>Tendencial!BO102</f>
        <v>4.2324383707746183</v>
      </c>
    </row>
    <row r="116" spans="1:63" x14ac:dyDescent="0.3">
      <c r="A116" s="386"/>
      <c r="B116" t="s">
        <v>398</v>
      </c>
      <c r="C116" s="278"/>
      <c r="D116" s="278"/>
      <c r="E116" s="278"/>
      <c r="F116" s="278"/>
      <c r="G116" s="278"/>
      <c r="H116" s="279"/>
      <c r="I116" s="279"/>
      <c r="J116" s="279"/>
      <c r="K116" s="82">
        <f>Tendencial!O103</f>
        <v>2.7857560000000001</v>
      </c>
      <c r="L116" s="82">
        <f>Tendencial!P103</f>
        <v>2.2759480000000001</v>
      </c>
      <c r="M116" s="82">
        <f>Tendencial!Q103</f>
        <v>2.4463119999999998</v>
      </c>
      <c r="N116" s="82">
        <f>Tendencial!R103</f>
        <v>2.4188550000000002</v>
      </c>
      <c r="O116" s="82">
        <f>Tendencial!S103</f>
        <v>2.2964022335077923</v>
      </c>
      <c r="P116" s="82">
        <f>Tendencial!T103</f>
        <v>2.0315144970440913</v>
      </c>
      <c r="Q116" s="82">
        <f>Tendencial!U103</f>
        <v>2.1613661680480512</v>
      </c>
      <c r="R116" s="82">
        <f>Tendencial!V103</f>
        <v>2.1711868337849238</v>
      </c>
      <c r="S116" s="82">
        <f>Tendencial!W103</f>
        <v>2.3079715717594769</v>
      </c>
      <c r="T116" s="82">
        <f>Tendencial!X103</f>
        <v>2.3720090263245468</v>
      </c>
      <c r="U116" s="82">
        <f>Tendencial!Y103</f>
        <v>2.4389909814259396</v>
      </c>
      <c r="V116" s="82">
        <f>Tendencial!Z103</f>
        <v>2.499705702215298</v>
      </c>
      <c r="W116" s="82">
        <f>Tendencial!AA103</f>
        <v>2.5698845165371584</v>
      </c>
      <c r="X116" s="82">
        <f>Tendencial!AB103</f>
        <v>2.5451305159189195</v>
      </c>
      <c r="Y116" s="82">
        <f>Tendencial!AC103</f>
        <v>2.5997701832677169</v>
      </c>
      <c r="Z116" s="82">
        <f>Tendencial!AD103</f>
        <v>2.6646534404898263</v>
      </c>
      <c r="AA116" s="82">
        <f>Tendencial!AE103</f>
        <v>2.7142968156006888</v>
      </c>
      <c r="AB116" s="82">
        <f>Tendencial!AF103</f>
        <v>2.7623606899797948</v>
      </c>
      <c r="AC116" s="82">
        <f>Tendencial!AG103</f>
        <v>2.8093065868173044</v>
      </c>
      <c r="AD116" s="82">
        <f>Tendencial!AH103</f>
        <v>2.8511418534808293</v>
      </c>
      <c r="AE116" s="82">
        <f>Tendencial!AI103</f>
        <v>2.8888502445138031</v>
      </c>
      <c r="AF116" s="82">
        <f>Tendencial!AJ103</f>
        <v>2.9397167152009347</v>
      </c>
      <c r="AG116" s="82">
        <f>Tendencial!AK103</f>
        <v>2.9877021904485148</v>
      </c>
      <c r="AH116" s="82">
        <f>Tendencial!AL103</f>
        <v>3.0337475910627982</v>
      </c>
      <c r="AI116" s="82">
        <f>Tendencial!AM103</f>
        <v>3.0787613084853187</v>
      </c>
      <c r="AJ116" s="82">
        <f>Tendencial!AN103</f>
        <v>3.1190923038249538</v>
      </c>
      <c r="AK116" s="82">
        <f>Tendencial!AO103</f>
        <v>3.1632941022876828</v>
      </c>
      <c r="AL116" s="82">
        <f>Tendencial!AP103</f>
        <v>3.2048643934226964</v>
      </c>
      <c r="AM116" s="82">
        <f>Tendencial!AQ103</f>
        <v>3.2515935241832943</v>
      </c>
      <c r="AN116" s="82">
        <f>Tendencial!AR103</f>
        <v>3.2937612257574496</v>
      </c>
      <c r="AO116" s="82">
        <f>Tendencial!AS103</f>
        <v>3.3350202057162575</v>
      </c>
      <c r="AP116" s="82">
        <f>Tendencial!AT103</f>
        <v>3.3764563002016299</v>
      </c>
      <c r="AQ116" s="82">
        <f>Tendencial!AU103</f>
        <v>3.4176584704660598</v>
      </c>
      <c r="AR116" s="82">
        <f>Tendencial!AV103</f>
        <v>3.4609432142388887</v>
      </c>
      <c r="AS116" s="82">
        <f>Tendencial!AW103</f>
        <v>3.5021417825773646</v>
      </c>
      <c r="AT116" s="82">
        <f>Tendencial!AX103</f>
        <v>3.5430023483360347</v>
      </c>
      <c r="AU116" s="82">
        <f>Tendencial!AY103</f>
        <v>3.583898874045961</v>
      </c>
      <c r="AV116" s="82">
        <f>Tendencial!AZ103</f>
        <v>3.6244614460819604</v>
      </c>
      <c r="AW116" s="82">
        <f>Tendencial!BA103</f>
        <v>3.6650622029266482</v>
      </c>
      <c r="AX116" s="82">
        <f>Tendencial!BB103</f>
        <v>3.7045977906741494</v>
      </c>
      <c r="AY116" s="82">
        <f>Tendencial!BC103</f>
        <v>3.7438267710789539</v>
      </c>
      <c r="AZ116" s="82">
        <f>Tendencial!BD103</f>
        <v>3.7827146675617569</v>
      </c>
      <c r="BA116" s="82">
        <f>Tendencial!BE103</f>
        <v>3.8211451386770041</v>
      </c>
      <c r="BB116" s="82">
        <f>Tendencial!BF103</f>
        <v>3.8590135622266848</v>
      </c>
      <c r="BC116" s="82">
        <f>Tendencial!BG103</f>
        <v>3.8963663964668376</v>
      </c>
      <c r="BD116" s="82">
        <f>Tendencial!BH103</f>
        <v>3.9332135887055664</v>
      </c>
      <c r="BE116" s="82">
        <f>Tendencial!BI103</f>
        <v>3.9695425107183722</v>
      </c>
      <c r="BF116" s="82">
        <f>Tendencial!BJ103</f>
        <v>4.0052842822053174</v>
      </c>
      <c r="BG116" s="82">
        <f>Tendencial!BK103</f>
        <v>4.0404172333773474</v>
      </c>
      <c r="BH116" s="82">
        <f>Tendencial!BL103</f>
        <v>4.0749005071804891</v>
      </c>
      <c r="BI116" s="82">
        <f>Tendencial!BM103</f>
        <v>4.1087549681221889</v>
      </c>
      <c r="BJ116" s="82">
        <f>Tendencial!BN103</f>
        <v>4.1419549601038428</v>
      </c>
      <c r="BK116" s="82">
        <f>Tendencial!BO103</f>
        <v>4.1744742641408541</v>
      </c>
    </row>
    <row r="117" spans="1:63" x14ac:dyDescent="0.3">
      <c r="A117" s="386"/>
      <c r="B117" t="s">
        <v>399</v>
      </c>
      <c r="C117" s="278"/>
      <c r="D117" s="278"/>
      <c r="E117" s="278"/>
      <c r="F117" s="278"/>
      <c r="G117" s="278"/>
      <c r="H117" s="279"/>
      <c r="I117" s="279"/>
      <c r="J117" s="279"/>
      <c r="K117" s="82">
        <f>Tendencial!O104</f>
        <v>2.5503999999999999E-2</v>
      </c>
      <c r="L117" s="82">
        <f>Tendencial!P104</f>
        <v>3.9515000000000002E-2</v>
      </c>
      <c r="M117" s="82">
        <f>Tendencial!Q104</f>
        <v>2.7237999999999998E-2</v>
      </c>
      <c r="N117" s="82">
        <f>Tendencial!R104</f>
        <v>2.0077000000000001E-2</v>
      </c>
      <c r="O117" s="82">
        <f>Tendencial!S104</f>
        <v>2.9453725766288387E-2</v>
      </c>
      <c r="P117" s="82">
        <f>Tendencial!T104</f>
        <v>2.6954272462386786E-2</v>
      </c>
      <c r="Q117" s="82">
        <f>Tendencial!U104</f>
        <v>2.856693671726622E-2</v>
      </c>
      <c r="R117" s="82">
        <f>Tendencial!V104</f>
        <v>2.8586445371470835E-2</v>
      </c>
      <c r="S117" s="82">
        <f>Tendencial!W104</f>
        <v>3.0270601402522322E-2</v>
      </c>
      <c r="T117" s="82">
        <f>Tendencial!X104</f>
        <v>3.0990926994803512E-2</v>
      </c>
      <c r="U117" s="82">
        <f>Tendencial!Y104</f>
        <v>3.1743591334776201E-2</v>
      </c>
      <c r="V117" s="82">
        <f>Tendencial!Z104</f>
        <v>3.2408757503608339E-2</v>
      </c>
      <c r="W117" s="82">
        <f>Tendencial!AA104</f>
        <v>3.3190572493659247E-2</v>
      </c>
      <c r="X117" s="82">
        <f>Tendencial!AB104</f>
        <v>3.2744535130764515E-2</v>
      </c>
      <c r="Y117" s="82">
        <f>Tendencial!AC104</f>
        <v>3.3318954462652414E-2</v>
      </c>
      <c r="Z117" s="82">
        <f>Tendencial!AD104</f>
        <v>3.4019253176190895E-2</v>
      </c>
      <c r="AA117" s="82">
        <f>Tendencial!AE104</f>
        <v>3.4519859093420785E-2</v>
      </c>
      <c r="AB117" s="82">
        <f>Tendencial!AF104</f>
        <v>3.4996103928644023E-2</v>
      </c>
      <c r="AC117" s="82">
        <f>Tendencial!AG104</f>
        <v>3.5454068976098041E-2</v>
      </c>
      <c r="AD117" s="82">
        <f>Tendencial!AH104</f>
        <v>3.5843747441412971E-2</v>
      </c>
      <c r="AE117" s="82">
        <f>Tendencial!AI104</f>
        <v>3.6178224343330512E-2</v>
      </c>
      <c r="AF117" s="82">
        <f>Tendencial!AJ104</f>
        <v>3.6673751313294478E-2</v>
      </c>
      <c r="AG117" s="82">
        <f>Tendencial!AK104</f>
        <v>3.7129131853215459E-2</v>
      </c>
      <c r="AH117" s="82">
        <f>Tendencial!AL104</f>
        <v>3.7556453024845921E-2</v>
      </c>
      <c r="AI117" s="82">
        <f>Tendencial!AM104</f>
        <v>3.7967218356617503E-2</v>
      </c>
      <c r="AJ117" s="82">
        <f>Tendencial!AN104</f>
        <v>3.8316746206421476E-2</v>
      </c>
      <c r="AK117" s="82">
        <f>Tendencial!AO104</f>
        <v>3.8710394950090557E-2</v>
      </c>
      <c r="AL117" s="82">
        <f>Tendencial!AP104</f>
        <v>3.9068372878727081E-2</v>
      </c>
      <c r="AM117" s="82">
        <f>Tendencial!AQ104</f>
        <v>3.9485673612661996E-2</v>
      </c>
      <c r="AN117" s="82">
        <f>Tendencial!AR104</f>
        <v>3.9844010828634716E-2</v>
      </c>
      <c r="AO117" s="82">
        <f>Tendencial!AS104</f>
        <v>4.0188059964220355E-2</v>
      </c>
      <c r="AP117" s="82">
        <f>Tendencial!AT104</f>
        <v>4.0531002024589084E-2</v>
      </c>
      <c r="AQ117" s="82">
        <f>Tendencial!AU104</f>
        <v>4.0867917118047728E-2</v>
      </c>
      <c r="AR117" s="82">
        <f>Tendencial!AV104</f>
        <v>4.1226451174426228E-2</v>
      </c>
      <c r="AS117" s="82">
        <f>Tendencial!AW104</f>
        <v>4.1556870776191059E-2</v>
      </c>
      <c r="AT117" s="82">
        <f>Tendencial!AX104</f>
        <v>4.1880146196855643E-2</v>
      </c>
      <c r="AU117" s="82">
        <f>Tendencial!AY104</f>
        <v>4.2200746270537902E-2</v>
      </c>
      <c r="AV117" s="82">
        <f>Tendencial!AZ104</f>
        <v>4.2514346132285857E-2</v>
      </c>
      <c r="AW117" s="82">
        <f>Tendencial!BA104</f>
        <v>4.2825358257742849E-2</v>
      </c>
      <c r="AX117" s="82">
        <f>Tendencial!BB104</f>
        <v>4.3120953319762463E-2</v>
      </c>
      <c r="AY117" s="82">
        <f>Tendencial!BC104</f>
        <v>4.3410088490379417E-2</v>
      </c>
      <c r="AZ117" s="82">
        <f>Tendencial!BD104</f>
        <v>4.3692424498921877E-2</v>
      </c>
      <c r="BA117" s="82">
        <f>Tendencial!BE104</f>
        <v>4.3966685836742618E-2</v>
      </c>
      <c r="BB117" s="82">
        <f>Tendencial!BF104</f>
        <v>4.4231751456886681E-2</v>
      </c>
      <c r="BC117" s="82">
        <f>Tendencial!BG104</f>
        <v>4.4488243207258832E-2</v>
      </c>
      <c r="BD117" s="82">
        <f>Tendencial!BH104</f>
        <v>4.4736358843610498E-2</v>
      </c>
      <c r="BE117" s="82">
        <f>Tendencial!BI104</f>
        <v>4.4976037984449338E-2</v>
      </c>
      <c r="BF117" s="82">
        <f>Tendencial!BJ104</f>
        <v>4.5206586948683784E-2</v>
      </c>
      <c r="BG117" s="82">
        <f>Tendencial!BK104</f>
        <v>4.5427854205778773E-2</v>
      </c>
      <c r="BH117" s="82">
        <f>Tendencial!BL104</f>
        <v>4.563947639959804E-2</v>
      </c>
      <c r="BI117" s="82">
        <f>Tendencial!BM104</f>
        <v>4.5841785154048624E-2</v>
      </c>
      <c r="BJ117" s="82">
        <f>Tendencial!BN104</f>
        <v>4.6034590749395241E-2</v>
      </c>
      <c r="BK117" s="82">
        <f>Tendencial!BO104</f>
        <v>4.6217700918018099E-2</v>
      </c>
    </row>
    <row r="118" spans="1:63" x14ac:dyDescent="0.3">
      <c r="A118" s="386"/>
      <c r="B118" t="s">
        <v>400</v>
      </c>
      <c r="C118" s="278"/>
      <c r="D118" s="278"/>
      <c r="E118" s="278"/>
      <c r="F118" s="278"/>
      <c r="G118" s="278"/>
      <c r="H118" s="279"/>
      <c r="I118" s="279"/>
      <c r="J118" s="279"/>
      <c r="K118" s="82">
        <f>Tendencial!O105</f>
        <v>4.3652640246656008E-2</v>
      </c>
      <c r="L118" s="82">
        <f>Tendencial!P105</f>
        <v>3.5010121222727224E-2</v>
      </c>
      <c r="M118" s="82">
        <f>Tendencial!Q105</f>
        <v>3.7421596562221979E-2</v>
      </c>
      <c r="N118" s="82">
        <f>Tendencial!R105</f>
        <v>2.7855525305192988E-2</v>
      </c>
      <c r="O118" s="82">
        <f>Tendencial!S105</f>
        <v>2.3652076736890879E-2</v>
      </c>
      <c r="P118" s="82">
        <f>Tendencial!T105</f>
        <v>2.5810647019040598E-2</v>
      </c>
      <c r="Q118" s="82">
        <f>Tendencial!U105</f>
        <v>2.7354888582265913E-2</v>
      </c>
      <c r="R118" s="82">
        <f>Tendencial!V105</f>
        <v>2.7373569516362523E-2</v>
      </c>
      <c r="S118" s="82">
        <f>Tendencial!W105</f>
        <v>2.8986269577294131E-2</v>
      </c>
      <c r="T118" s="82">
        <f>Tendencial!X105</f>
        <v>2.9676032939562409E-2</v>
      </c>
      <c r="U118" s="82">
        <f>Tendencial!Y105</f>
        <v>3.0396762969651821E-2</v>
      </c>
      <c r="V118" s="82">
        <f>Tendencial!Z105</f>
        <v>3.1033707232075953E-2</v>
      </c>
      <c r="W118" s="82">
        <f>Tendencial!AA105</f>
        <v>3.1782351098110839E-2</v>
      </c>
      <c r="X118" s="82">
        <f>Tendencial!AB105</f>
        <v>3.1355238366834383E-2</v>
      </c>
      <c r="Y118" s="82">
        <f>Tendencial!AC105</f>
        <v>3.1905286031335842E-2</v>
      </c>
      <c r="Z118" s="82">
        <f>Tendencial!AD105</f>
        <v>3.2575872222384138E-2</v>
      </c>
      <c r="AA118" s="82">
        <f>Tendencial!AE105</f>
        <v>3.3055238253995423E-2</v>
      </c>
      <c r="AB118" s="82">
        <f>Tendencial!AF105</f>
        <v>3.3511276804237926E-2</v>
      </c>
      <c r="AC118" s="82">
        <f>Tendencial!AG105</f>
        <v>3.3949811148037731E-2</v>
      </c>
      <c r="AD118" s="82">
        <f>Tendencial!AH105</f>
        <v>3.4322956197053632E-2</v>
      </c>
      <c r="AE118" s="82">
        <f>Tendencial!AI105</f>
        <v>3.4643241794205727E-2</v>
      </c>
      <c r="AF118" s="82">
        <f>Tendencial!AJ105</f>
        <v>3.5117744369929191E-2</v>
      </c>
      <c r="AG118" s="82">
        <f>Tendencial!AK105</f>
        <v>3.555380386259932E-2</v>
      </c>
      <c r="AH118" s="82">
        <f>Tendencial!AL105</f>
        <v>3.5962994499820475E-2</v>
      </c>
      <c r="AI118" s="82">
        <f>Tendencial!AM105</f>
        <v>3.6356331734235171E-2</v>
      </c>
      <c r="AJ118" s="82">
        <f>Tendencial!AN105</f>
        <v>3.669102969231227E-2</v>
      </c>
      <c r="AK118" s="82">
        <f>Tendencial!AO105</f>
        <v>3.7067976567302492E-2</v>
      </c>
      <c r="AL118" s="82">
        <f>Tendencial!AP105</f>
        <v>3.7410766081266859E-2</v>
      </c>
      <c r="AM118" s="82">
        <f>Tendencial!AQ105</f>
        <v>3.7810361431481213E-2</v>
      </c>
      <c r="AN118" s="82">
        <f>Tendencial!AR105</f>
        <v>3.8153494988811099E-2</v>
      </c>
      <c r="AO118" s="82">
        <f>Tendencial!AS105</f>
        <v>3.848294668550218E-2</v>
      </c>
      <c r="AP118" s="82">
        <f>Tendencial!AT105</f>
        <v>3.8811338278356762E-2</v>
      </c>
      <c r="AQ118" s="82">
        <f>Tendencial!AU105</f>
        <v>3.9133958618593465E-2</v>
      </c>
      <c r="AR118" s="82">
        <f>Tendencial!AV105</f>
        <v>3.9477280664714488E-2</v>
      </c>
      <c r="AS118" s="82">
        <f>Tendencial!AW105</f>
        <v>3.9793681106285478E-2</v>
      </c>
      <c r="AT118" s="82">
        <f>Tendencial!AX105</f>
        <v>4.0103240482608798E-2</v>
      </c>
      <c r="AU118" s="82">
        <f>Tendencial!AY105</f>
        <v>4.0410238022521569E-2</v>
      </c>
      <c r="AV118" s="82">
        <f>Tendencial!AZ105</f>
        <v>4.0710532357977718E-2</v>
      </c>
      <c r="AW118" s="82">
        <f>Tendencial!BA105</f>
        <v>4.1008348750537139E-2</v>
      </c>
      <c r="AX118" s="82">
        <f>Tendencial!BB105</f>
        <v>4.1291402200301225E-2</v>
      </c>
      <c r="AY118" s="82">
        <f>Tendencial!BC105</f>
        <v>4.1568269841228953E-2</v>
      </c>
      <c r="AZ118" s="82">
        <f>Tendencial!BD105</f>
        <v>4.1838626797345027E-2</v>
      </c>
      <c r="BA118" s="82">
        <f>Tendencial!BE105</f>
        <v>4.210125167773604E-2</v>
      </c>
      <c r="BB118" s="82">
        <f>Tendencial!BF105</f>
        <v>4.2355070999625308E-2</v>
      </c>
      <c r="BC118" s="82">
        <f>Tendencial!BG105</f>
        <v>4.2600680226933876E-2</v>
      </c>
      <c r="BD118" s="82">
        <f>Tendencial!BH105</f>
        <v>4.2838268724961936E-2</v>
      </c>
      <c r="BE118" s="82">
        <f>Tendencial!BI105</f>
        <v>4.306777867410453E-2</v>
      </c>
      <c r="BF118" s="82">
        <f>Tendencial!BJ105</f>
        <v>4.3288545825017788E-2</v>
      </c>
      <c r="BG118" s="82">
        <f>Tendencial!BK105</f>
        <v>4.3500425076357985E-2</v>
      </c>
      <c r="BH118" s="82">
        <f>Tendencial!BL105</f>
        <v>4.3703068488592019E-2</v>
      </c>
      <c r="BI118" s="82">
        <f>Tendencial!BM105</f>
        <v>4.3896793615370064E-2</v>
      </c>
      <c r="BJ118" s="82">
        <f>Tendencial!BN105</f>
        <v>4.4081418786453122E-2</v>
      </c>
      <c r="BK118" s="82">
        <f>Tendencial!BO105</f>
        <v>4.4256759891820249E-2</v>
      </c>
    </row>
    <row r="119" spans="1:63" x14ac:dyDescent="0.3">
      <c r="A119" s="386"/>
      <c r="B119" t="s">
        <v>401</v>
      </c>
      <c r="C119" s="278"/>
      <c r="D119" s="278"/>
      <c r="E119" s="278"/>
      <c r="F119" s="278"/>
      <c r="G119" s="278"/>
      <c r="H119" s="279"/>
      <c r="I119" s="279"/>
      <c r="J119" s="279"/>
      <c r="K119" s="82">
        <f>Tendencial!O106</f>
        <v>6.6623000000000002E-2</v>
      </c>
      <c r="L119" s="82">
        <f>Tendencial!P106</f>
        <v>6.9685999999999998E-2</v>
      </c>
      <c r="M119" s="82">
        <f>Tendencial!Q106</f>
        <v>7.7360999999999999E-2</v>
      </c>
      <c r="N119" s="82">
        <f>Tendencial!R106</f>
        <v>8.7922E-2</v>
      </c>
      <c r="O119" s="82">
        <f>Tendencial!S106</f>
        <v>6.8358373950290235E-2</v>
      </c>
      <c r="P119" s="82">
        <f>Tendencial!T106</f>
        <v>8.3786134204488563E-2</v>
      </c>
      <c r="Q119" s="82">
        <f>Tendencial!U106</f>
        <v>8.8984218826287306E-2</v>
      </c>
      <c r="R119" s="82">
        <f>Tendencial!V106</f>
        <v>8.9230690893579587E-2</v>
      </c>
      <c r="S119" s="82">
        <f>Tendencial!W106</f>
        <v>9.4684726687222137E-2</v>
      </c>
      <c r="T119" s="82">
        <f>Tendencial!X106</f>
        <v>9.7140028813314572E-2</v>
      </c>
      <c r="U119" s="82">
        <f>Tendencial!Y106</f>
        <v>9.9706736341853106E-2</v>
      </c>
      <c r="V119" s="82">
        <f>Tendencial!Z106</f>
        <v>0.10200832190343508</v>
      </c>
      <c r="W119" s="82">
        <f>Tendencial!AA106</f>
        <v>0.10468699794915136</v>
      </c>
      <c r="X119" s="82">
        <f>Tendencial!AB106</f>
        <v>0.10349553459271671</v>
      </c>
      <c r="Y119" s="82">
        <f>Tendencial!AC106</f>
        <v>0.10553072661453251</v>
      </c>
      <c r="Z119" s="82">
        <f>Tendencial!AD106</f>
        <v>0.10797348505469334</v>
      </c>
      <c r="AA119" s="82">
        <f>Tendencial!AE106</f>
        <v>0.10979084781922875</v>
      </c>
      <c r="AB119" s="82">
        <f>Tendencial!AF106</f>
        <v>0.11153767889643459</v>
      </c>
      <c r="AC119" s="82">
        <f>Tendencial!AG106</f>
        <v>0.11323293666144521</v>
      </c>
      <c r="AD119" s="82">
        <f>Tendencial!AH106</f>
        <v>0.11471623224860215</v>
      </c>
      <c r="AE119" s="82">
        <f>Tendencial!AI106</f>
        <v>0.11602818373032196</v>
      </c>
      <c r="AF119" s="82">
        <f>Tendencial!AJ106</f>
        <v>0.11786269374491201</v>
      </c>
      <c r="AG119" s="82">
        <f>Tendencial!AK106</f>
        <v>0.11957505855307204</v>
      </c>
      <c r="AH119" s="82">
        <f>Tendencial!AL106</f>
        <v>0.12120349885543599</v>
      </c>
      <c r="AI119" s="82">
        <f>Tendencial!AM106</f>
        <v>0.1227846703159001</v>
      </c>
      <c r="AJ119" s="82">
        <f>Tendencial!AN106</f>
        <v>0.12417345679523067</v>
      </c>
      <c r="AK119" s="82">
        <f>Tendencial!AO106</f>
        <v>0.12571078309450753</v>
      </c>
      <c r="AL119" s="82">
        <f>Tendencial!AP106</f>
        <v>0.12713790009943374</v>
      </c>
      <c r="AM119" s="82">
        <f>Tendencial!AQ106</f>
        <v>0.12876387618003787</v>
      </c>
      <c r="AN119" s="82">
        <f>Tendencial!AR106</f>
        <v>0.13020339858927005</v>
      </c>
      <c r="AO119" s="82">
        <f>Tendencial!AS106</f>
        <v>0.13160157685361759</v>
      </c>
      <c r="AP119" s="82">
        <f>Tendencial!AT106</f>
        <v>0.13300138780004678</v>
      </c>
      <c r="AQ119" s="82">
        <f>Tendencial!AU106</f>
        <v>0.13438664641998371</v>
      </c>
      <c r="AR119" s="82">
        <f>Tendencial!AV106</f>
        <v>0.13584834275322946</v>
      </c>
      <c r="AS119" s="82">
        <f>Tendencial!AW106</f>
        <v>0.13722271611218295</v>
      </c>
      <c r="AT119" s="82">
        <f>Tendencial!AX106</f>
        <v>0.13857859153280955</v>
      </c>
      <c r="AU119" s="82">
        <f>Tendencial!AY106</f>
        <v>0.13993065449237313</v>
      </c>
      <c r="AV119" s="82">
        <f>Tendencial!AZ106</f>
        <v>0.14126449425136864</v>
      </c>
      <c r="AW119" s="82">
        <f>Tendencial!BA106</f>
        <v>0.14259467253635702</v>
      </c>
      <c r="AX119" s="82">
        <f>Tendencial!BB106</f>
        <v>0.14387834368276875</v>
      </c>
      <c r="AY119" s="82">
        <f>Tendencial!BC106</f>
        <v>0.14514514967383305</v>
      </c>
      <c r="AZ119" s="82">
        <f>Tendencial!BD106</f>
        <v>0.14639383279173837</v>
      </c>
      <c r="BA119" s="82">
        <f>Tendencial!BE106</f>
        <v>0.14761998185269315</v>
      </c>
      <c r="BB119" s="82">
        <f>Tendencial!BF106</f>
        <v>0.14881966908402783</v>
      </c>
      <c r="BC119" s="82">
        <f>Tendencial!BG106</f>
        <v>0.14999481085386362</v>
      </c>
      <c r="BD119" s="82">
        <f>Tendencial!BH106</f>
        <v>0.15114590741458689</v>
      </c>
      <c r="BE119" s="82">
        <f>Tendencial!BI106</f>
        <v>0.1522725899136744</v>
      </c>
      <c r="BF119" s="82">
        <f>Tendencial!BJ106</f>
        <v>0.15337233849406906</v>
      </c>
      <c r="BG119" s="82">
        <f>Tendencial!BK106</f>
        <v>0.15444445614363209</v>
      </c>
      <c r="BH119" s="82">
        <f>Tendencial!BL106</f>
        <v>0.15548751911546635</v>
      </c>
      <c r="BI119" s="82">
        <f>Tendencial!BM106</f>
        <v>0.15650246518462832</v>
      </c>
      <c r="BJ119" s="82">
        <f>Tendencial!BN106</f>
        <v>0.15748845718003915</v>
      </c>
      <c r="BK119" s="82">
        <f>Tendencial!BO106</f>
        <v>0.15844464298086219</v>
      </c>
    </row>
    <row r="120" spans="1:63" x14ac:dyDescent="0.3">
      <c r="A120" s="386"/>
      <c r="B120" t="s">
        <v>402</v>
      </c>
      <c r="C120" s="278"/>
      <c r="D120" s="278"/>
      <c r="E120" s="278"/>
      <c r="F120" s="278"/>
      <c r="G120" s="278"/>
      <c r="H120" s="279"/>
      <c r="I120" s="279"/>
      <c r="J120" s="279"/>
      <c r="K120" s="82">
        <f>Tendencial!O107</f>
        <v>2.1217E-2</v>
      </c>
      <c r="L120" s="82">
        <f>Tendencial!P107</f>
        <v>2.3028E-2</v>
      </c>
      <c r="M120" s="82">
        <f>Tendencial!Q107</f>
        <v>3.3656999999999999E-2</v>
      </c>
      <c r="N120" s="82">
        <f>Tendencial!R107</f>
        <v>2.7061000000000002E-2</v>
      </c>
      <c r="O120" s="82">
        <f>Tendencial!S107</f>
        <v>1.9469815087454573E-2</v>
      </c>
      <c r="P120" s="82">
        <f>Tendencial!T107</f>
        <v>2.3147915967647342E-2</v>
      </c>
      <c r="Q120" s="82">
        <f>Tendencial!U107</f>
        <v>2.4584010700511524E-2</v>
      </c>
      <c r="R120" s="82">
        <f>Tendencial!V107</f>
        <v>2.4652104481854027E-2</v>
      </c>
      <c r="S120" s="82">
        <f>Tendencial!W107</f>
        <v>2.6158911824554112E-2</v>
      </c>
      <c r="T120" s="82">
        <f>Tendencial!X107</f>
        <v>2.6837247539999127E-2</v>
      </c>
      <c r="U120" s="82">
        <f>Tendencial!Y107</f>
        <v>2.7546361652354901E-2</v>
      </c>
      <c r="V120" s="82">
        <f>Tendencial!Z107</f>
        <v>2.8182229504209982E-2</v>
      </c>
      <c r="W120" s="82">
        <f>Tendencial!AA107</f>
        <v>2.8922277587338615E-2</v>
      </c>
      <c r="X120" s="82">
        <f>Tendencial!AB107</f>
        <v>2.8593107445821293E-2</v>
      </c>
      <c r="Y120" s="82">
        <f>Tendencial!AC107</f>
        <v>2.9155377734888945E-2</v>
      </c>
      <c r="Z120" s="82">
        <f>Tendencial!AD107</f>
        <v>2.9830247958213738E-2</v>
      </c>
      <c r="AA120" s="82">
        <f>Tendencial!AE107</f>
        <v>3.033233772468423E-2</v>
      </c>
      <c r="AB120" s="82">
        <f>Tendencial!AF107</f>
        <v>3.0814941431953371E-2</v>
      </c>
      <c r="AC120" s="82">
        <f>Tendencial!AG107</f>
        <v>3.128329678287807E-2</v>
      </c>
      <c r="AD120" s="82">
        <f>Tendencial!AH107</f>
        <v>3.1693092531693653E-2</v>
      </c>
      <c r="AE120" s="82">
        <f>Tendencial!AI107</f>
        <v>3.2055550388722376E-2</v>
      </c>
      <c r="AF120" s="82">
        <f>Tendencial!AJ107</f>
        <v>3.2562377491592374E-2</v>
      </c>
      <c r="AG120" s="82">
        <f>Tendencial!AK107</f>
        <v>3.3035459070800993E-2</v>
      </c>
      <c r="AH120" s="82">
        <f>Tendencial!AL107</f>
        <v>3.3485354505592778E-2</v>
      </c>
      <c r="AI120" s="82">
        <f>Tendencial!AM107</f>
        <v>3.3922190796522936E-2</v>
      </c>
      <c r="AJ120" s="82">
        <f>Tendencial!AN107</f>
        <v>3.4305876152408793E-2</v>
      </c>
      <c r="AK120" s="82">
        <f>Tendencial!AO107</f>
        <v>3.4730599172851102E-2</v>
      </c>
      <c r="AL120" s="82">
        <f>Tendencial!AP107</f>
        <v>3.512487424974399E-2</v>
      </c>
      <c r="AM120" s="82">
        <f>Tendencial!AQ107</f>
        <v>3.5574088884558978E-2</v>
      </c>
      <c r="AN120" s="82">
        <f>Tendencial!AR107</f>
        <v>3.5971791249978131E-2</v>
      </c>
      <c r="AO120" s="82">
        <f>Tendencial!AS107</f>
        <v>3.6358071310255383E-2</v>
      </c>
      <c r="AP120" s="82">
        <f>Tendencial!AT107</f>
        <v>3.6744802437860019E-2</v>
      </c>
      <c r="AQ120" s="82">
        <f>Tendencial!AU107</f>
        <v>3.7127513138529175E-2</v>
      </c>
      <c r="AR120" s="82">
        <f>Tendencial!AV107</f>
        <v>3.7531341578800836E-2</v>
      </c>
      <c r="AS120" s="82">
        <f>Tendencial!AW107</f>
        <v>3.7911044966757401E-2</v>
      </c>
      <c r="AT120" s="82">
        <f>Tendencial!AX107</f>
        <v>3.8285637858496063E-2</v>
      </c>
      <c r="AU120" s="82">
        <f>Tendencial!AY107</f>
        <v>3.8659177467025588E-2</v>
      </c>
      <c r="AV120" s="82">
        <f>Tendencial!AZ107</f>
        <v>3.9027682482189317E-2</v>
      </c>
      <c r="AW120" s="82">
        <f>Tendencial!BA107</f>
        <v>3.9395175927915693E-2</v>
      </c>
      <c r="AX120" s="82">
        <f>Tendencial!BB107</f>
        <v>3.9749820668472782E-2</v>
      </c>
      <c r="AY120" s="82">
        <f>Tendencial!BC107</f>
        <v>4.0099806008014764E-2</v>
      </c>
      <c r="AZ120" s="82">
        <f>Tendencial!BD107</f>
        <v>4.0444784472028247E-2</v>
      </c>
      <c r="BA120" s="82">
        <f>Tendencial!BE107</f>
        <v>4.0783537365884408E-2</v>
      </c>
      <c r="BB120" s="82">
        <f>Tendencial!BF107</f>
        <v>4.1114979548795234E-2</v>
      </c>
      <c r="BC120" s="82">
        <f>Tendencial!BG107</f>
        <v>4.1439640463115997E-2</v>
      </c>
      <c r="BD120" s="82">
        <f>Tendencial!BH107</f>
        <v>4.1757658315488069E-2</v>
      </c>
      <c r="BE120" s="82">
        <f>Tendencial!BI107</f>
        <v>4.2068931201613174E-2</v>
      </c>
      <c r="BF120" s="82">
        <f>Tendencial!BJ107</f>
        <v>4.2372762950938003E-2</v>
      </c>
      <c r="BG120" s="82">
        <f>Tendencial!BK107</f>
        <v>4.2668960997251336E-2</v>
      </c>
      <c r="BH120" s="82">
        <f>Tendencial!BL107</f>
        <v>4.2957131996548867E-2</v>
      </c>
      <c r="BI120" s="82">
        <f>Tendencial!BM107</f>
        <v>4.3237535031534532E-2</v>
      </c>
      <c r="BJ120" s="82">
        <f>Tendencial!BN107</f>
        <v>4.3509938813750322E-2</v>
      </c>
      <c r="BK120" s="82">
        <f>Tendencial!BO107</f>
        <v>4.3774107924511411E-2</v>
      </c>
    </row>
    <row r="121" spans="1:63" s="396" customFormat="1" x14ac:dyDescent="0.3">
      <c r="A121" s="386"/>
      <c r="B121" s="396" t="s">
        <v>403</v>
      </c>
      <c r="C121" s="397"/>
      <c r="D121" s="397"/>
      <c r="E121" s="397"/>
      <c r="F121" s="397"/>
      <c r="G121" s="397"/>
      <c r="H121" s="398"/>
      <c r="I121" s="398"/>
      <c r="J121" s="398"/>
      <c r="K121" s="399">
        <f>Tendencial!O108</f>
        <v>0.34609299999999998</v>
      </c>
      <c r="L121" s="399">
        <f>Tendencial!P108</f>
        <v>0.34520899999999999</v>
      </c>
      <c r="M121" s="399">
        <f>Tendencial!Q108</f>
        <v>0.47258600000000001</v>
      </c>
      <c r="N121" s="399">
        <f>Tendencial!R108</f>
        <v>0.34095900000000001</v>
      </c>
      <c r="O121" s="399">
        <f>Tendencial!S108</f>
        <v>0.39773316804241943</v>
      </c>
      <c r="P121" s="399">
        <f>Tendencial!T108</f>
        <v>0.42710808603816824</v>
      </c>
      <c r="Q121" s="399">
        <f>Tendencial!U108</f>
        <v>0.45360583527746856</v>
      </c>
      <c r="R121" s="399">
        <f>Tendencial!V108</f>
        <v>0.45486225095916299</v>
      </c>
      <c r="S121" s="399">
        <f>Tendencial!W108</f>
        <v>0.48266473655088443</v>
      </c>
      <c r="T121" s="399">
        <f>Tendencial!X108</f>
        <v>0.49518088139606103</v>
      </c>
      <c r="U121" s="399">
        <f>Tendencial!Y108</f>
        <v>0.50826492627224906</v>
      </c>
      <c r="V121" s="399">
        <f>Tendencial!Z108</f>
        <v>0.51999748576307347</v>
      </c>
      <c r="W121" s="399">
        <f>Tendencial!AA108</f>
        <v>0.53365230120317864</v>
      </c>
      <c r="X121" s="399">
        <f>Tendencial!AB108</f>
        <v>0.52757869918557698</v>
      </c>
      <c r="Y121" s="399">
        <f>Tendencial!AC108</f>
        <v>0.53795329132317848</v>
      </c>
      <c r="Z121" s="399">
        <f>Tendencial!AD108</f>
        <v>0.55040549349167012</v>
      </c>
      <c r="AA121" s="399">
        <f>Tendencial!AE108</f>
        <v>0.55966967949771429</v>
      </c>
      <c r="AB121" s="399">
        <f>Tendencial!AF108</f>
        <v>0.56857432326844237</v>
      </c>
      <c r="AC121" s="399">
        <f>Tendencial!AG108</f>
        <v>0.57721606699166839</v>
      </c>
      <c r="AD121" s="399">
        <f>Tendencial!AH108</f>
        <v>0.58477731259960253</v>
      </c>
      <c r="AE121" s="399">
        <f>Tendencial!AI108</f>
        <v>0.59146511472405316</v>
      </c>
      <c r="AF121" s="399">
        <f>Tendencial!AJ108</f>
        <v>0.60081671052911934</v>
      </c>
      <c r="AG121" s="399">
        <f>Tendencial!AK108</f>
        <v>0.60954565909270109</v>
      </c>
      <c r="AH121" s="399">
        <f>Tendencial!AL108</f>
        <v>0.61784679420740385</v>
      </c>
      <c r="AI121" s="399">
        <f>Tendencial!AM108</f>
        <v>0.62590697173664511</v>
      </c>
      <c r="AJ121" s="399">
        <f>Tendencial!AN108</f>
        <v>0.63298644784249936</v>
      </c>
      <c r="AK121" s="399">
        <f>Tendencial!AO108</f>
        <v>0.64082312033651567</v>
      </c>
      <c r="AL121" s="399">
        <f>Tendencial!AP108</f>
        <v>0.64809799007855351</v>
      </c>
      <c r="AM121" s="399">
        <f>Tendencial!AQ108</f>
        <v>0.65638656357969827</v>
      </c>
      <c r="AN121" s="399">
        <f>Tendencial!AR108</f>
        <v>0.66372467109419042</v>
      </c>
      <c r="AO121" s="399">
        <f>Tendencial!AS108</f>
        <v>0.67085202275082834</v>
      </c>
      <c r="AP121" s="399">
        <f>Tendencial!AT108</f>
        <v>0.67798769716546914</v>
      </c>
      <c r="AQ121" s="399">
        <f>Tendencial!AU108</f>
        <v>0.68504918965998085</v>
      </c>
      <c r="AR121" s="399">
        <f>Tendencial!AV108</f>
        <v>0.69250033093996799</v>
      </c>
      <c r="AS121" s="399">
        <f>Tendencial!AW108</f>
        <v>0.69950633474259982</v>
      </c>
      <c r="AT121" s="399">
        <f>Tendencial!AX108</f>
        <v>0.70641804347947335</v>
      </c>
      <c r="AU121" s="399">
        <f>Tendencial!AY108</f>
        <v>0.71331031781991394</v>
      </c>
      <c r="AV121" s="399">
        <f>Tendencial!AZ108</f>
        <v>0.72010969759742938</v>
      </c>
      <c r="AW121" s="399">
        <f>Tendencial!BA108</f>
        <v>0.72689041264992649</v>
      </c>
      <c r="AX121" s="399">
        <f>Tendencial!BB108</f>
        <v>0.73343405297480679</v>
      </c>
      <c r="AY121" s="399">
        <f>Tendencial!BC108</f>
        <v>0.73989172150626847</v>
      </c>
      <c r="AZ121" s="399">
        <f>Tendencial!BD108</f>
        <v>0.74625700690367192</v>
      </c>
      <c r="BA121" s="399">
        <f>Tendencial!BE108</f>
        <v>0.75250742272240101</v>
      </c>
      <c r="BB121" s="399">
        <f>Tendencial!BF108</f>
        <v>0.75862294675373099</v>
      </c>
      <c r="BC121" s="399">
        <f>Tendencial!BG108</f>
        <v>0.7646133478732422</v>
      </c>
      <c r="BD121" s="399">
        <f>Tendencial!BH108</f>
        <v>0.7704811761668322</v>
      </c>
      <c r="BE121" s="399">
        <f>Tendencial!BI108</f>
        <v>0.77622455137237056</v>
      </c>
      <c r="BF121" s="399">
        <f>Tendencial!BJ108</f>
        <v>0.7818306282698817</v>
      </c>
      <c r="BG121" s="399">
        <f>Tendencial!BK108</f>
        <v>0.78729585377121625</v>
      </c>
      <c r="BH121" s="399">
        <f>Tendencial!BL108</f>
        <v>0.79261297018608878</v>
      </c>
      <c r="BI121" s="399">
        <f>Tendencial!BM108</f>
        <v>0.79778675791537768</v>
      </c>
      <c r="BJ121" s="399">
        <f>Tendencial!BN108</f>
        <v>0.80281294939690684</v>
      </c>
      <c r="BK121" s="399">
        <f>Tendencial!BO108</f>
        <v>0.80768720086063561</v>
      </c>
    </row>
    <row r="122" spans="1:63" x14ac:dyDescent="0.3">
      <c r="A122" s="386"/>
      <c r="B122" t="s">
        <v>404</v>
      </c>
      <c r="C122" s="278"/>
      <c r="D122" s="278"/>
      <c r="E122" s="278"/>
      <c r="F122" s="278"/>
      <c r="G122" s="278"/>
      <c r="H122" s="279"/>
      <c r="I122" s="279"/>
      <c r="J122" s="279"/>
      <c r="K122" s="82">
        <f>Tendencial!O109</f>
        <v>0.99488900000000002</v>
      </c>
      <c r="L122" s="82">
        <f>Tendencial!P109</f>
        <v>1.0141230000000001</v>
      </c>
      <c r="M122" s="82">
        <f>Tendencial!Q109</f>
        <v>1.069938660863619</v>
      </c>
      <c r="N122" s="82">
        <f>Tendencial!R109</f>
        <v>1.2147110000000001</v>
      </c>
      <c r="O122" s="82">
        <f>Tendencial!S109</f>
        <v>1.4325464089448898</v>
      </c>
      <c r="P122" s="82">
        <f>Tendencial!T109</f>
        <v>1.1143761672843322</v>
      </c>
      <c r="Q122" s="82">
        <f>Tendencial!U109</f>
        <v>1.1859750539065077</v>
      </c>
      <c r="R122" s="82">
        <f>Tendencial!V109</f>
        <v>1.1917350621560259</v>
      </c>
      <c r="S122" s="82">
        <f>Tendencial!W109</f>
        <v>1.2672091224004716</v>
      </c>
      <c r="T122" s="82">
        <f>Tendencial!X109</f>
        <v>1.3027752166740205</v>
      </c>
      <c r="U122" s="82">
        <f>Tendencial!Y109</f>
        <v>1.3399810622464712</v>
      </c>
      <c r="V122" s="82">
        <f>Tendencial!Z109</f>
        <v>1.3737656797227835</v>
      </c>
      <c r="W122" s="82">
        <f>Tendencial!AA109</f>
        <v>1.4127740350871218</v>
      </c>
      <c r="X122" s="82">
        <f>Tendencial!AB109</f>
        <v>1.3996017286805522</v>
      </c>
      <c r="Y122" s="82">
        <f>Tendencial!AC109</f>
        <v>1.430094333763914</v>
      </c>
      <c r="Z122" s="82">
        <f>Tendencial!AD109</f>
        <v>1.4662424074716931</v>
      </c>
      <c r="AA122" s="82">
        <f>Tendencial!AE109</f>
        <v>1.4940244167490513</v>
      </c>
      <c r="AB122" s="82">
        <f>Tendencial!AF109</f>
        <v>1.5209539266638339</v>
      </c>
      <c r="AC122" s="82">
        <f>Tendencial!AG109</f>
        <v>1.547284325734305</v>
      </c>
      <c r="AD122" s="82">
        <f>Tendencial!AH109</f>
        <v>1.5708153239016385</v>
      </c>
      <c r="AE122" s="82">
        <f>Tendencial!AI109</f>
        <v>1.5920864575840006</v>
      </c>
      <c r="AF122" s="82">
        <f>Tendencial!AJ109</f>
        <v>1.6206245605128147</v>
      </c>
      <c r="AG122" s="82">
        <f>Tendencial!AK109</f>
        <v>1.6475915478433465</v>
      </c>
      <c r="AH122" s="82">
        <f>Tendencial!AL109</f>
        <v>1.6735049822916814</v>
      </c>
      <c r="AI122" s="82">
        <f>Tendencial!AM109</f>
        <v>1.6988651228793028</v>
      </c>
      <c r="AJ122" s="82">
        <f>Tendencial!AN109</f>
        <v>1.7216561682824174</v>
      </c>
      <c r="AK122" s="82">
        <f>Tendencial!AO109</f>
        <v>1.7465984995616834</v>
      </c>
      <c r="AL122" s="82">
        <f>Tendencial!AP109</f>
        <v>1.7701027812645678</v>
      </c>
      <c r="AM122" s="82">
        <f>Tendencial!AQ109</f>
        <v>1.7964717477993226</v>
      </c>
      <c r="AN122" s="82">
        <f>Tendencial!AR109</f>
        <v>1.8203360491011693</v>
      </c>
      <c r="AO122" s="82">
        <f>Tendencial!AS109</f>
        <v>1.8437126770687158</v>
      </c>
      <c r="AP122" s="82">
        <f>Tendencial!AT109</f>
        <v>1.8672016431317806</v>
      </c>
      <c r="AQ122" s="82">
        <f>Tendencial!AU109</f>
        <v>1.8905756677010848</v>
      </c>
      <c r="AR122" s="82">
        <f>Tendencial!AV109</f>
        <v>1.9151164729255115</v>
      </c>
      <c r="AS122" s="82">
        <f>Tendencial!AW109</f>
        <v>1.938517642495762</v>
      </c>
      <c r="AT122" s="82">
        <f>Tendencial!AX109</f>
        <v>1.9617460601415944</v>
      </c>
      <c r="AU122" s="82">
        <f>Tendencial!AY109</f>
        <v>1.9850086836679524</v>
      </c>
      <c r="AV122" s="82">
        <f>Tendencial!AZ109</f>
        <v>2.0081005909942711</v>
      </c>
      <c r="AW122" s="82">
        <f>Tendencial!BA109</f>
        <v>2.0312278600685176</v>
      </c>
      <c r="AX122" s="82">
        <f>Tendencial!BB109</f>
        <v>2.0537788328226791</v>
      </c>
      <c r="AY122" s="82">
        <f>Tendencial!BC109</f>
        <v>2.0761736312276589</v>
      </c>
      <c r="AZ122" s="82">
        <f>Tendencial!BD109</f>
        <v>2.0983929775096382</v>
      </c>
      <c r="BA122" s="82">
        <f>Tendencial!BE109</f>
        <v>2.120372142743844</v>
      </c>
      <c r="BB122" s="82">
        <f>Tendencial!BF109</f>
        <v>2.14205282252053</v>
      </c>
      <c r="BC122" s="82">
        <f>Tendencial!BG109</f>
        <v>2.1634605274382133</v>
      </c>
      <c r="BD122" s="82">
        <f>Tendencial!BH109</f>
        <v>2.1846005210205632</v>
      </c>
      <c r="BE122" s="82">
        <f>Tendencial!BI109</f>
        <v>2.2054655306178281</v>
      </c>
      <c r="BF122" s="82">
        <f>Tendencial!BJ109</f>
        <v>2.2260170114551965</v>
      </c>
      <c r="BG122" s="82">
        <f>Tendencial!BK109</f>
        <v>2.2462426172388037</v>
      </c>
      <c r="BH122" s="82">
        <f>Tendencial!BL109</f>
        <v>2.266119316116209</v>
      </c>
      <c r="BI122" s="82">
        <f>Tendencial!BM109</f>
        <v>2.285658382791842</v>
      </c>
      <c r="BJ122" s="82">
        <f>Tendencial!BN109</f>
        <v>2.3048452192276798</v>
      </c>
      <c r="BK122" s="82">
        <f>Tendencial!BO109</f>
        <v>2.323664896065528</v>
      </c>
    </row>
    <row r="123" spans="1:63" x14ac:dyDescent="0.3">
      <c r="A123" s="386"/>
      <c r="B123" t="s">
        <v>405</v>
      </c>
      <c r="C123" s="278"/>
      <c r="D123" s="278"/>
      <c r="E123" s="278"/>
      <c r="F123" s="278"/>
      <c r="G123" s="278"/>
      <c r="H123" s="279"/>
      <c r="I123" s="279"/>
      <c r="J123" s="279"/>
      <c r="K123" s="82">
        <f>Tendencial!O110</f>
        <v>0.25402035975334397</v>
      </c>
      <c r="L123" s="82">
        <f>Tendencial!P110</f>
        <v>0.24377087877727277</v>
      </c>
      <c r="M123" s="82">
        <f>Tendencial!Q110</f>
        <v>0.24379678429693205</v>
      </c>
      <c r="N123" s="82">
        <f>Tendencial!R110</f>
        <v>0.19723267877640868</v>
      </c>
      <c r="O123" s="82">
        <f>Tendencial!S110</f>
        <v>0.20503022433716797</v>
      </c>
      <c r="P123" s="82">
        <f>Tendencial!T110</f>
        <v>0.16129929454918224</v>
      </c>
      <c r="Q123" s="82">
        <f>Tendencial!U110</f>
        <v>0.17184106412522529</v>
      </c>
      <c r="R123" s="82">
        <f>Tendencial!V110</f>
        <v>0.17285496680887022</v>
      </c>
      <c r="S123" s="82">
        <f>Tendencial!W110</f>
        <v>0.18399295039947186</v>
      </c>
      <c r="T123" s="82">
        <f>Tendencial!X110</f>
        <v>0.18935340880257073</v>
      </c>
      <c r="U123" s="82">
        <f>Tendencial!Y110</f>
        <v>0.19496338071983824</v>
      </c>
      <c r="V123" s="82">
        <f>Tendencial!Z110</f>
        <v>0.20008650375851347</v>
      </c>
      <c r="W123" s="82">
        <f>Tendencial!AA110</f>
        <v>0.20598167458865682</v>
      </c>
      <c r="X123" s="82">
        <f>Tendencial!AB110</f>
        <v>0.20427306110019797</v>
      </c>
      <c r="Y123" s="82">
        <f>Tendencial!AC110</f>
        <v>0.20894022568474654</v>
      </c>
      <c r="Z123" s="82">
        <f>Tendencial!AD110</f>
        <v>0.21444399857502094</v>
      </c>
      <c r="AA123" s="82">
        <f>Tendencial!AE110</f>
        <v>0.21873413462841249</v>
      </c>
      <c r="AB123" s="82">
        <f>Tendencial!AF110</f>
        <v>0.22290800875678002</v>
      </c>
      <c r="AC123" s="82">
        <f>Tendencial!AG110</f>
        <v>0.22700241981975697</v>
      </c>
      <c r="AD123" s="82">
        <f>Tendencial!AH110</f>
        <v>0.23069396677086348</v>
      </c>
      <c r="AE123" s="82">
        <f>Tendencial!AI110</f>
        <v>0.23406070157020209</v>
      </c>
      <c r="AF123" s="82">
        <f>Tendencial!AJ110</f>
        <v>0.23850364318034245</v>
      </c>
      <c r="AG123" s="82">
        <f>Tendencial!AK110</f>
        <v>0.24272410206865028</v>
      </c>
      <c r="AH123" s="82">
        <f>Tendencial!AL110</f>
        <v>0.24679769783591649</v>
      </c>
      <c r="AI123" s="82">
        <f>Tendencial!AM110</f>
        <v>0.25079781115519395</v>
      </c>
      <c r="AJ123" s="82">
        <f>Tendencial!AN110</f>
        <v>0.25442630513427905</v>
      </c>
      <c r="AK123" s="82">
        <f>Tendencial!AO110</f>
        <v>0.25838031159063551</v>
      </c>
      <c r="AL123" s="82">
        <f>Tendencial!AP110</f>
        <v>0.26212929902610083</v>
      </c>
      <c r="AM123" s="82">
        <f>Tendencial!AQ110</f>
        <v>0.26631045715200991</v>
      </c>
      <c r="AN123" s="82">
        <f>Tendencial!AR110</f>
        <v>0.27012833702438704</v>
      </c>
      <c r="AO123" s="82">
        <f>Tendencial!AS110</f>
        <v>0.27388141554922013</v>
      </c>
      <c r="AP123" s="82">
        <f>Tendencial!AT110</f>
        <v>0.2776587023698685</v>
      </c>
      <c r="AQ123" s="82">
        <f>Tendencial!AU110</f>
        <v>0.2814264287841739</v>
      </c>
      <c r="AR123" s="82">
        <f>Tendencial!AV110</f>
        <v>0.2853755452172152</v>
      </c>
      <c r="AS123" s="82">
        <f>Tendencial!AW110</f>
        <v>0.28916256402134627</v>
      </c>
      <c r="AT123" s="82">
        <f>Tendencial!AX110</f>
        <v>0.29293134452496183</v>
      </c>
      <c r="AU123" s="82">
        <f>Tendencial!AY110</f>
        <v>0.29671275337081382</v>
      </c>
      <c r="AV123" s="82">
        <f>Tendencial!AZ110</f>
        <v>0.30047615512586862</v>
      </c>
      <c r="AW123" s="82">
        <f>Tendencial!BA110</f>
        <v>0.30425234966958814</v>
      </c>
      <c r="AX123" s="82">
        <f>Tendencial!BB110</f>
        <v>0.3079496511992641</v>
      </c>
      <c r="AY123" s="82">
        <f>Tendencial!BC110</f>
        <v>0.311630861804086</v>
      </c>
      <c r="AZ123" s="82">
        <f>Tendencial!BD110</f>
        <v>0.3152930231640399</v>
      </c>
      <c r="BA123" s="82">
        <f>Tendencial!BE110</f>
        <v>0.31892632845913027</v>
      </c>
      <c r="BB123" s="82">
        <f>Tendencial!BF110</f>
        <v>0.32252189759252875</v>
      </c>
      <c r="BC123" s="82">
        <f>Tendencial!BG110</f>
        <v>0.32608344664168631</v>
      </c>
      <c r="BD123" s="82">
        <f>Tendencial!BH110</f>
        <v>0.329611652508979</v>
      </c>
      <c r="BE123" s="82">
        <f>Tendencial!BI110</f>
        <v>0.33310530172730857</v>
      </c>
      <c r="BF123" s="82">
        <f>Tendencial!BJ110</f>
        <v>0.336558447890493</v>
      </c>
      <c r="BG123" s="82">
        <f>Tendencial!BK110</f>
        <v>0.33996908527503</v>
      </c>
      <c r="BH123" s="82">
        <f>Tendencial!BL110</f>
        <v>0.34333358116363671</v>
      </c>
      <c r="BI123" s="82">
        <f>Tendencial!BM110</f>
        <v>0.34665349113059635</v>
      </c>
      <c r="BJ123" s="82">
        <f>Tendencial!BN110</f>
        <v>0.34992644947079382</v>
      </c>
      <c r="BK123" s="82">
        <f>Tendencial!BO110</f>
        <v>0.35315003060189809</v>
      </c>
    </row>
    <row r="124" spans="1:63" x14ac:dyDescent="0.3">
      <c r="A124" s="386"/>
      <c r="B124" t="s">
        <v>406</v>
      </c>
      <c r="C124" s="278"/>
      <c r="D124" s="278"/>
      <c r="E124" s="278"/>
      <c r="F124" s="278"/>
      <c r="G124" s="278"/>
      <c r="H124" s="279"/>
      <c r="I124" s="279"/>
      <c r="J124" s="279"/>
      <c r="K124" s="82">
        <f>Tendencial!O111</f>
        <v>0.50568682919999997</v>
      </c>
      <c r="L124" s="82">
        <f>Tendencial!P111</f>
        <v>0.5241654161</v>
      </c>
      <c r="M124" s="82">
        <f>Tendencial!Q111</f>
        <v>0.39211125349999998</v>
      </c>
      <c r="N124" s="82">
        <f>Tendencial!R111</f>
        <v>0.43874862749999999</v>
      </c>
      <c r="O124" s="82">
        <f>Tendencial!S111</f>
        <v>0.33956945422631124</v>
      </c>
      <c r="P124" s="82">
        <f>Tendencial!T111</f>
        <v>0.40832106863001633</v>
      </c>
      <c r="Q124" s="82">
        <f>Tendencial!U111</f>
        <v>0.43541315612076525</v>
      </c>
      <c r="R124" s="82">
        <f>Tendencial!V111</f>
        <v>0.43839110066132297</v>
      </c>
      <c r="S124" s="82">
        <f>Tendencial!W111</f>
        <v>0.4670746772478831</v>
      </c>
      <c r="T124" s="82">
        <f>Tendencial!X111</f>
        <v>0.48113122058317009</v>
      </c>
      <c r="U124" s="82">
        <f>Tendencial!Y111</f>
        <v>0.4958481883944344</v>
      </c>
      <c r="V124" s="82">
        <f>Tendencial!Z111</f>
        <v>0.50935286334584262</v>
      </c>
      <c r="W124" s="82">
        <f>Tendencial!AA111</f>
        <v>0.5248495308978709</v>
      </c>
      <c r="X124" s="82">
        <f>Tendencial!AB111</f>
        <v>0.52098185568107913</v>
      </c>
      <c r="Y124" s="82">
        <f>Tendencial!AC111</f>
        <v>0.53338258680487771</v>
      </c>
      <c r="Z124" s="82">
        <f>Tendencial!AD111</f>
        <v>0.547943706220964</v>
      </c>
      <c r="AA124" s="82">
        <f>Tendencial!AE111</f>
        <v>0.55942758987603569</v>
      </c>
      <c r="AB124" s="82">
        <f>Tendencial!AF111</f>
        <v>0.57063481338999555</v>
      </c>
      <c r="AC124" s="82">
        <f>Tendencial!AG111</f>
        <v>0.58165886373219433</v>
      </c>
      <c r="AD124" s="82">
        <f>Tendencial!AH111</f>
        <v>0.5916697598143168</v>
      </c>
      <c r="AE124" s="82">
        <f>Tendencial!AI111</f>
        <v>0.60086500538203169</v>
      </c>
      <c r="AF124" s="82">
        <f>Tendencial!AJ111</f>
        <v>0.61284225039471119</v>
      </c>
      <c r="AG124" s="82">
        <f>Tendencial!AK111</f>
        <v>0.62426912609148522</v>
      </c>
      <c r="AH124" s="82">
        <f>Tendencial!AL111</f>
        <v>0.63533872996213248</v>
      </c>
      <c r="AI124" s="82">
        <f>Tendencial!AM111</f>
        <v>0.64623911440418058</v>
      </c>
      <c r="AJ124" s="82">
        <f>Tendencial!AN111</f>
        <v>0.65620084049887317</v>
      </c>
      <c r="AK124" s="82">
        <f>Tendencial!AO111</f>
        <v>0.66702092982086347</v>
      </c>
      <c r="AL124" s="82">
        <f>Tendencial!AP111</f>
        <v>0.67733089029065729</v>
      </c>
      <c r="AM124" s="82">
        <f>Tendencial!AQ111</f>
        <v>0.68877727347069284</v>
      </c>
      <c r="AN124" s="82">
        <f>Tendencial!AR111</f>
        <v>0.69930399015621603</v>
      </c>
      <c r="AO124" s="82">
        <f>Tendencial!AS111</f>
        <v>0.70968184885092078</v>
      </c>
      <c r="AP124" s="82">
        <f>Tendencial!AT111</f>
        <v>0.72014126288629499</v>
      </c>
      <c r="AQ124" s="82">
        <f>Tendencial!AU111</f>
        <v>0.73059476915525245</v>
      </c>
      <c r="AR124" s="82">
        <f>Tendencial!AV111</f>
        <v>0.74153850242603403</v>
      </c>
      <c r="AS124" s="82">
        <f>Tendencial!AW111</f>
        <v>0.75208043491300425</v>
      </c>
      <c r="AT124" s="82">
        <f>Tendencial!AX111</f>
        <v>0.76259392503478851</v>
      </c>
      <c r="AU124" s="82">
        <f>Tendencial!AY111</f>
        <v>0.77315929692517271</v>
      </c>
      <c r="AV124" s="82">
        <f>Tendencial!AZ111</f>
        <v>0.78369676620441442</v>
      </c>
      <c r="AW124" s="82">
        <f>Tendencial!BA111</f>
        <v>0.79428663443248015</v>
      </c>
      <c r="AX124" s="82">
        <f>Tendencial!BB111</f>
        <v>0.80468944138011544</v>
      </c>
      <c r="AY124" s="82">
        <f>Tendencial!BC111</f>
        <v>0.8150688946038811</v>
      </c>
      <c r="AZ124" s="82">
        <f>Tendencial!BD111</f>
        <v>0.8254171574438538</v>
      </c>
      <c r="BA124" s="82">
        <f>Tendencial!BE111</f>
        <v>0.83570841845230559</v>
      </c>
      <c r="BB124" s="82">
        <f>Tendencial!BF111</f>
        <v>0.84591920062121895</v>
      </c>
      <c r="BC124" s="82">
        <f>Tendencial!BG111</f>
        <v>0.85605900803281498</v>
      </c>
      <c r="BD124" s="82">
        <f>Tendencial!BH111</f>
        <v>0.86612939459350136</v>
      </c>
      <c r="BE124" s="82">
        <f>Tendencial!BI111</f>
        <v>0.87612694840419392</v>
      </c>
      <c r="BF124" s="82">
        <f>Tendencial!BJ111</f>
        <v>0.88603578511529524</v>
      </c>
      <c r="BG124" s="82">
        <f>Tendencial!BK111</f>
        <v>0.89585034553861986</v>
      </c>
      <c r="BH124" s="82">
        <f>Tendencial!BL111</f>
        <v>0.90556075893790855</v>
      </c>
      <c r="BI124" s="82">
        <f>Tendencial!BM111</f>
        <v>0.91517081541339385</v>
      </c>
      <c r="BJ124" s="82">
        <f>Tendencial!BN111</f>
        <v>0.92467395788924756</v>
      </c>
      <c r="BK124" s="82">
        <f>Tendencial!BO111</f>
        <v>0.93406344698628785</v>
      </c>
    </row>
    <row r="125" spans="1:63" x14ac:dyDescent="0.3">
      <c r="A125" s="386"/>
      <c r="B125" t="s">
        <v>407</v>
      </c>
      <c r="C125" s="278"/>
      <c r="D125" s="278"/>
      <c r="E125" s="278"/>
      <c r="F125" s="278"/>
      <c r="G125" s="278"/>
      <c r="H125" s="279"/>
      <c r="I125" s="279"/>
      <c r="J125" s="279"/>
      <c r="K125" s="82">
        <f>Tendencial!O236</f>
        <v>1.350093</v>
      </c>
      <c r="L125" s="82">
        <f>Tendencial!P236</f>
        <v>1.0996859999999999</v>
      </c>
      <c r="M125" s="82">
        <f>Tendencial!Q236</f>
        <v>1.3365020000000001</v>
      </c>
      <c r="N125" s="82">
        <f>Tendencial!R236</f>
        <v>1.5042139999999999</v>
      </c>
      <c r="O125" s="82">
        <f>Tendencial!S236</f>
        <v>1.5612113866836195</v>
      </c>
      <c r="P125" s="82">
        <f>Tendencial!T236</f>
        <v>1.4549106166482213</v>
      </c>
      <c r="Q125" s="82">
        <f>Tendencial!U236</f>
        <v>1.5548204301655137</v>
      </c>
      <c r="R125" s="82">
        <f>Tendencial!V236</f>
        <v>1.5688614382714432</v>
      </c>
      <c r="S125" s="82">
        <f>Tendencial!W236</f>
        <v>1.6751486400153748</v>
      </c>
      <c r="T125" s="82">
        <f>Tendencial!X236</f>
        <v>1.7293174887618592</v>
      </c>
      <c r="U125" s="82">
        <f>Tendencial!Y236</f>
        <v>1.7860931008886309</v>
      </c>
      <c r="V125" s="82">
        <f>Tendencial!Z236</f>
        <v>1.8387313537811096</v>
      </c>
      <c r="W125" s="82">
        <f>Tendencial!AA236</f>
        <v>1.8987968860083173</v>
      </c>
      <c r="X125" s="82">
        <f>Tendencial!AB236</f>
        <v>1.8889065102693328</v>
      </c>
      <c r="Y125" s="82">
        <f>Tendencial!AC236</f>
        <v>1.9380762791597177</v>
      </c>
      <c r="Z125" s="82">
        <f>Tendencial!AD236</f>
        <v>1.9953181056707046</v>
      </c>
      <c r="AA125" s="82">
        <f>Tendencial!AE236</f>
        <v>2.0415698776126852</v>
      </c>
      <c r="AB125" s="82">
        <f>Tendencial!AF236</f>
        <v>2.0870016839476611</v>
      </c>
      <c r="AC125" s="82">
        <f>Tendencial!AG236</f>
        <v>2.1319501914466938</v>
      </c>
      <c r="AD125" s="82">
        <f>Tendencial!AH236</f>
        <v>2.1733628752583578</v>
      </c>
      <c r="AE125" s="82">
        <f>Tendencial!AI236</f>
        <v>2.2119430957237136</v>
      </c>
      <c r="AF125" s="82">
        <f>Tendencial!AJ236</f>
        <v>2.2609445181820713</v>
      </c>
      <c r="AG125" s="82">
        <f>Tendencial!AK236</f>
        <v>2.3081138722439887</v>
      </c>
      <c r="AH125" s="82">
        <f>Tendencial!AL236</f>
        <v>2.3541540167930437</v>
      </c>
      <c r="AI125" s="82">
        <f>Tendencial!AM236</f>
        <v>2.3997552490044156</v>
      </c>
      <c r="AJ125" s="82">
        <f>Tendencial!AN236</f>
        <v>2.442050606731669</v>
      </c>
      <c r="AK125" s="82">
        <f>Tendencial!AO236</f>
        <v>2.4877200500238876</v>
      </c>
      <c r="AL125" s="82">
        <f>Tendencial!AP236</f>
        <v>2.5316699988760414</v>
      </c>
      <c r="AM125" s="82">
        <f>Tendencial!AQ236</f>
        <v>2.5800563377612966</v>
      </c>
      <c r="AN125" s="82">
        <f>Tendencial!AR236</f>
        <v>2.6251888699111752</v>
      </c>
      <c r="AO125" s="82">
        <f>Tendencial!AS236</f>
        <v>2.6699456038118266</v>
      </c>
      <c r="AP125" s="82">
        <f>Tendencial!AT236</f>
        <v>2.7151922124102059</v>
      </c>
      <c r="AQ125" s="82">
        <f>Tendencial!AU236</f>
        <v>2.7606008000992133</v>
      </c>
      <c r="AR125" s="82">
        <f>Tendencial!AV236</f>
        <v>2.8080505672033342</v>
      </c>
      <c r="AS125" s="82">
        <f>Tendencial!AW236</f>
        <v>2.8541689501148229</v>
      </c>
      <c r="AT125" s="82">
        <f>Tendencial!AX236</f>
        <v>2.9003666008983275</v>
      </c>
      <c r="AU125" s="82">
        <f>Tendencial!AY236</f>
        <v>2.9469495716443714</v>
      </c>
      <c r="AV125" s="82">
        <f>Tendencial!AZ236</f>
        <v>2.9936149856549767</v>
      </c>
      <c r="AW125" s="82">
        <f>Tendencial!BA236</f>
        <v>3.0406701577888251</v>
      </c>
      <c r="AX125" s="82">
        <f>Tendencial!BB236</f>
        <v>3.0871983087749113</v>
      </c>
      <c r="AY125" s="82">
        <f>Tendencial!BC236</f>
        <v>3.1338247922409601</v>
      </c>
      <c r="AZ125" s="82">
        <f>Tendencial!BD236</f>
        <v>3.1805194239687276</v>
      </c>
      <c r="BA125" s="82">
        <f>Tendencial!BE236</f>
        <v>3.2271823443539951</v>
      </c>
      <c r="BB125" s="82">
        <f>Tendencial!BF236</f>
        <v>3.2737218586966947</v>
      </c>
      <c r="BC125" s="82">
        <f>Tendencial!BG236</f>
        <v>3.3201733919744547</v>
      </c>
      <c r="BD125" s="82">
        <f>Tendencial!BH236</f>
        <v>3.366541781533035</v>
      </c>
      <c r="BE125" s="82">
        <f>Tendencial!BI236</f>
        <v>3.4128125676751129</v>
      </c>
      <c r="BF125" s="82">
        <f>Tendencial!BJ236</f>
        <v>3.4589224788512056</v>
      </c>
      <c r="BG125" s="82">
        <f>Tendencial!BK236</f>
        <v>3.5048480925850032</v>
      </c>
      <c r="BH125" s="82">
        <f>Tendencial!BL236</f>
        <v>3.5505488840561235</v>
      </c>
      <c r="BI125" s="82">
        <f>Tendencial!BM236</f>
        <v>3.596037661090568</v>
      </c>
      <c r="BJ125" s="82">
        <f>Tendencial!BN236</f>
        <v>3.6412866049289554</v>
      </c>
      <c r="BK125" s="82">
        <f>Tendencial!BO236</f>
        <v>3.6862669430078379</v>
      </c>
    </row>
    <row r="126" spans="1:63" x14ac:dyDescent="0.3">
      <c r="C126" s="278"/>
      <c r="D126" s="278"/>
      <c r="E126" s="278"/>
      <c r="F126" s="278"/>
      <c r="G126" s="278"/>
      <c r="H126" s="279"/>
      <c r="I126" s="279"/>
      <c r="J126" s="279"/>
    </row>
    <row r="127" spans="1:63" x14ac:dyDescent="0.3">
      <c r="A127" s="386" t="s">
        <v>390</v>
      </c>
      <c r="B127" t="s">
        <v>393</v>
      </c>
      <c r="C127" s="278"/>
      <c r="D127" s="278"/>
      <c r="E127" s="278"/>
      <c r="F127" s="278"/>
      <c r="G127" s="278"/>
      <c r="H127" s="279"/>
      <c r="I127" s="279"/>
      <c r="J127" s="279"/>
      <c r="K127" s="82">
        <f>K111</f>
        <v>6.5056349999999998</v>
      </c>
      <c r="L127" s="82">
        <f t="shared" ref="L127:O127" si="79">L111</f>
        <v>6.5834770000000002</v>
      </c>
      <c r="M127" s="82">
        <f t="shared" si="79"/>
        <v>6.544556</v>
      </c>
      <c r="N127" s="82">
        <f t="shared" si="79"/>
        <v>6.6849160000000003</v>
      </c>
      <c r="O127" s="82">
        <f t="shared" si="79"/>
        <v>6.0787890000000004</v>
      </c>
      <c r="P127" s="84">
        <f>'CC70 - Valores'!G37</f>
        <v>6.6176148515088835</v>
      </c>
      <c r="Q127" s="84">
        <f>'CC70 - Valores'!H37</f>
        <v>7.0208577191704835</v>
      </c>
      <c r="R127" s="84">
        <f>'CC70 - Valores'!I37</f>
        <v>7.0329783540655306</v>
      </c>
      <c r="S127" s="84">
        <f>'CC70 - Valores'!J37</f>
        <v>7.0681432458358575</v>
      </c>
      <c r="T127" s="84">
        <f>'CC70 - Valores'!K37</f>
        <v>7.1034839620650363</v>
      </c>
      <c r="U127" s="84">
        <f>'CC70 - Valores'!L37</f>
        <v>7.1390013818753602</v>
      </c>
      <c r="V127" s="84">
        <f>'CC70 - Valores'!M37</f>
        <v>7.1746963887847368</v>
      </c>
      <c r="W127" s="84">
        <f>'CC70 - Valores'!N37</f>
        <v>7.2105698707286603</v>
      </c>
      <c r="X127" s="84">
        <f>'CC70 - Valores'!O37</f>
        <v>7.2466227200823026</v>
      </c>
      <c r="Y127" s="84">
        <f>'CC70 - Valores'!P37</f>
        <v>7.2828558336827136</v>
      </c>
      <c r="Z127" s="84">
        <f>'CC70 - Valores'!Q37</f>
        <v>7.3192701128511271</v>
      </c>
      <c r="AA127" s="84">
        <f>'CC70 - Valores'!R37</f>
        <v>7.3558664634153823</v>
      </c>
      <c r="AB127" s="84">
        <f>'CC70 - Valores'!S37</f>
        <v>7.3926457957324585</v>
      </c>
      <c r="AC127" s="84">
        <f>'CC70 - Valores'!T37</f>
        <v>7.4296090247111204</v>
      </c>
      <c r="AD127" s="84">
        <f>'CC70 - Valores'!U37</f>
        <v>7.4667570698346744</v>
      </c>
      <c r="AE127" s="84">
        <f>'CC70 - Valores'!V37</f>
        <v>7.5040908551838479</v>
      </c>
      <c r="AF127" s="84">
        <f>'CC70 - Valores'!W37</f>
        <v>7.5416113094597659</v>
      </c>
      <c r="AG127" s="84">
        <f>'CC70 - Valores'!X37</f>
        <v>7.5793193660070637</v>
      </c>
      <c r="AH127" s="84">
        <f>'CC70 - Valores'!Y37</f>
        <v>7.617215962837097</v>
      </c>
      <c r="AI127" s="84">
        <f>'CC70 - Valores'!Z37</f>
        <v>7.6553020426512814</v>
      </c>
      <c r="AJ127" s="84">
        <f>'CC70 - Valores'!AA37</f>
        <v>7.6935785528645377</v>
      </c>
      <c r="AK127" s="84">
        <f>'CC70 - Valores'!AB37</f>
        <v>7.7320464456288596</v>
      </c>
      <c r="AL127" s="84">
        <f>'CC70 - Valores'!AC37</f>
        <v>7.770706677857004</v>
      </c>
      <c r="AM127" s="84">
        <f>'CC70 - Valores'!AD37</f>
        <v>7.8095602112462883</v>
      </c>
      <c r="AN127" s="84">
        <f>'CC70 - Valores'!AE37</f>
        <v>7.8486080123025186</v>
      </c>
      <c r="AO127" s="84">
        <f>'CC70 - Valores'!AF37</f>
        <v>7.8878510523640308</v>
      </c>
      <c r="AP127" s="84">
        <f>'CC70 - Valores'!AG37</f>
        <v>7.9272903076258503</v>
      </c>
      <c r="AQ127" s="84">
        <f>'CC70 - Valores'!AH37</f>
        <v>7.9669267591639787</v>
      </c>
      <c r="AR127" s="84">
        <f>'CC70 - Valores'!AI37</f>
        <v>8.0067613929597972</v>
      </c>
      <c r="AS127" s="84">
        <f>'CC70 - Valores'!AJ37</f>
        <v>8.0467951999245955</v>
      </c>
      <c r="AT127" s="84">
        <f>'CC70 - Valores'!AK37</f>
        <v>8.0870291759242185</v>
      </c>
      <c r="AU127" s="84">
        <f>'CC70 - Valores'!AL37</f>
        <v>8.1274643218038385</v>
      </c>
      <c r="AV127" s="84">
        <f>'CC70 - Valores'!AM37</f>
        <v>8.1681016434128573</v>
      </c>
      <c r="AW127" s="84">
        <f>'CC70 - Valores'!AN37</f>
        <v>8.2089421516299197</v>
      </c>
      <c r="AX127" s="84">
        <f>'CC70 - Valores'!AO37</f>
        <v>8.2499868623880666</v>
      </c>
      <c r="AY127" s="84">
        <f>'CC70 - Valores'!AP37</f>
        <v>8.2912367967000087</v>
      </c>
      <c r="AZ127" s="84">
        <f>'CC70 - Valores'!AQ37</f>
        <v>8.3326929806835075</v>
      </c>
      <c r="BA127" s="84">
        <f>'CC70 - Valores'!AR37</f>
        <v>8.3743564455869244</v>
      </c>
      <c r="BB127" s="84">
        <f>'CC70 - Valores'!AS37</f>
        <v>8.4162282278148588</v>
      </c>
      <c r="BC127" s="84">
        <f>'CC70 - Valores'!AT37</f>
        <v>8.4583093689539304</v>
      </c>
      <c r="BD127" s="84">
        <f>'CC70 - Valores'!AU37</f>
        <v>8.5006009157986995</v>
      </c>
      <c r="BE127" s="84">
        <f>'CC70 - Valores'!AV37</f>
        <v>8.5431039203776926</v>
      </c>
      <c r="BF127" s="84">
        <f>'CC70 - Valores'!AW37</f>
        <v>8.5858194399795806</v>
      </c>
      <c r="BG127" s="84">
        <f>'CC70 - Valores'!AX37</f>
        <v>8.6287485371794777</v>
      </c>
      <c r="BH127" s="84">
        <f>'CC70 - Valores'!AY37</f>
        <v>8.6718922798653715</v>
      </c>
      <c r="BI127" s="84">
        <f>'CC70 - Valores'!AZ37</f>
        <v>8.7152517412646997</v>
      </c>
      <c r="BJ127" s="84">
        <f>'CC70 - Valores'!BA37</f>
        <v>8.7588279999710217</v>
      </c>
      <c r="BK127" s="84">
        <f>'CC70 - Valores'!BB37</f>
        <v>8.8026221399708753</v>
      </c>
    </row>
    <row r="128" spans="1:63" x14ac:dyDescent="0.3">
      <c r="A128" s="386"/>
      <c r="B128" t="s">
        <v>394</v>
      </c>
      <c r="C128" s="278"/>
      <c r="D128" s="278"/>
      <c r="E128" s="278"/>
      <c r="F128" s="278"/>
      <c r="G128" s="278"/>
      <c r="H128" s="279"/>
      <c r="I128" s="279"/>
      <c r="J128" s="279"/>
      <c r="K128" s="82">
        <f t="shared" ref="K128:K141" si="80">K112</f>
        <v>0.235182</v>
      </c>
      <c r="L128" s="82">
        <f t="shared" ref="L128:O128" si="81">L112</f>
        <v>0.28367999999999999</v>
      </c>
      <c r="M128" s="82">
        <f t="shared" si="81"/>
        <v>0.327903</v>
      </c>
      <c r="N128" s="82">
        <f t="shared" si="81"/>
        <v>0.30209399999999997</v>
      </c>
      <c r="O128" s="82">
        <f t="shared" si="81"/>
        <v>0.33714940921686015</v>
      </c>
      <c r="P128" s="84">
        <f>'CC70 - Valores'!G38</f>
        <v>0.36113924042685236</v>
      </c>
      <c r="Q128" s="84">
        <f>'CC70 - Valores'!H38</f>
        <v>0.38554649505709726</v>
      </c>
      <c r="R128" s="84">
        <f>'CC70 - Valores'!I38</f>
        <v>0.3882085942973188</v>
      </c>
      <c r="S128" s="84">
        <f>'CC70 - Valores'!J38</f>
        <v>0.4215490330926891</v>
      </c>
      <c r="T128" s="84">
        <f>'CC70 - Valores'!K38</f>
        <v>0.44267460750667526</v>
      </c>
      <c r="U128" s="84">
        <f>'CC70 - Valores'!L38</f>
        <v>0.46498337459084715</v>
      </c>
      <c r="V128" s="84">
        <f>'CC70 - Valores'!M38</f>
        <v>0.48676982751357745</v>
      </c>
      <c r="W128" s="84">
        <f>'CC70 - Valores'!N38</f>
        <v>0.51103504042142656</v>
      </c>
      <c r="X128" s="84">
        <f>'CC70 - Valores'!O38</f>
        <v>0.51725391762578488</v>
      </c>
      <c r="Y128" s="84">
        <f>'CC70 - Valores'!P38</f>
        <v>0.53950312529267652</v>
      </c>
      <c r="Z128" s="84">
        <f>'CC70 - Valores'!Q38</f>
        <v>0.56449747085895163</v>
      </c>
      <c r="AA128" s="84">
        <f>'CC70 - Valores'!R38</f>
        <v>0.58703785698920685</v>
      </c>
      <c r="AB128" s="84">
        <f>'CC70 - Valores'!S38</f>
        <v>0.60987488152968949</v>
      </c>
      <c r="AC128" s="84">
        <f>'CC70 - Valores'!T38</f>
        <v>0.63344223172889014</v>
      </c>
      <c r="AD128" s="84">
        <f>'CC70 - Valores'!U38</f>
        <v>0.64402427283385288</v>
      </c>
      <c r="AE128" s="84">
        <f>'CC70 - Valores'!V38</f>
        <v>0.65363235303790712</v>
      </c>
      <c r="AF128" s="84">
        <f>'CC70 - Valores'!W38</f>
        <v>0.66656610406944927</v>
      </c>
      <c r="AG128" s="84">
        <f>'CC70 - Valores'!X38</f>
        <v>0.67886304886672222</v>
      </c>
      <c r="AH128" s="84">
        <f>'CC70 - Valores'!Y38</f>
        <v>0.69074705383090962</v>
      </c>
      <c r="AI128" s="84">
        <f>'CC70 - Valores'!Z38</f>
        <v>0.70244143727742414</v>
      </c>
      <c r="AJ128" s="84">
        <f>'CC70 - Valores'!AA38</f>
        <v>0.71300065890592434</v>
      </c>
      <c r="AK128" s="84">
        <f>'CC70 - Valores'!AB38</f>
        <v>0.7246228878386648</v>
      </c>
      <c r="AL128" s="84">
        <f>'CC70 - Valores'!AC38</f>
        <v>0.73563070073472758</v>
      </c>
      <c r="AM128" s="84">
        <f>'CC70 - Valores'!AD38</f>
        <v>0.74806691884124843</v>
      </c>
      <c r="AN128" s="84">
        <f>'CC70 - Valores'!AE38</f>
        <v>0.75938012989281245</v>
      </c>
      <c r="AO128" s="84">
        <f>'CC70 - Valores'!AF38</f>
        <v>0.77052455405433418</v>
      </c>
      <c r="AP128" s="84">
        <f>'CC70 - Valores'!AG38</f>
        <v>0.78179052528000659</v>
      </c>
      <c r="AQ128" s="84">
        <f>'CC70 - Valores'!AH38</f>
        <v>0.79306966066684326</v>
      </c>
      <c r="AR128" s="84">
        <f>'CC70 - Valores'!AI38</f>
        <v>0.8049998609812743</v>
      </c>
      <c r="AS128" s="84">
        <f>'CC70 - Valores'!AJ38</f>
        <v>0.81644474114796162</v>
      </c>
      <c r="AT128" s="84">
        <f>'CC70 - Valores'!AK38</f>
        <v>0.82788206195101255</v>
      </c>
      <c r="AU128" s="84">
        <f>'CC70 - Valores'!AL38</f>
        <v>0.83941875796999232</v>
      </c>
      <c r="AV128" s="84">
        <f>'CC70 - Valores'!AM38</f>
        <v>0.85095439434418951</v>
      </c>
      <c r="AW128" s="84">
        <f>'CC70 - Valores'!AN38</f>
        <v>0.86259749414323905</v>
      </c>
      <c r="AX128" s="84">
        <f>'CC70 - Valores'!AO38</f>
        <v>0.87403491486850782</v>
      </c>
      <c r="AY128" s="84">
        <f>'CC70 - Valores'!AP38</f>
        <v>0.88548440978103482</v>
      </c>
      <c r="AZ128" s="84">
        <f>'CC70 - Valores'!AQ38</f>
        <v>0.89693867952308881</v>
      </c>
      <c r="BA128" s="84">
        <f>'CC70 - Valores'!AR38</f>
        <v>0.90836608146240294</v>
      </c>
      <c r="BB128" s="84">
        <f>'CC70 - Valores'!AS38</f>
        <v>0.91973749450472531</v>
      </c>
      <c r="BC128" s="84">
        <f>'CC70 - Valores'!AT38</f>
        <v>0.93106830939770546</v>
      </c>
      <c r="BD128" s="84">
        <f>'CC70 - Valores'!AU38</f>
        <v>0.94236346898188983</v>
      </c>
      <c r="BE128" s="84">
        <f>'CC70 - Valores'!AV38</f>
        <v>0.95362127473160174</v>
      </c>
      <c r="BF128" s="84">
        <f>'CC70 - Valores'!AW38</f>
        <v>0.96482271933936725</v>
      </c>
      <c r="BG128" s="84">
        <f>'CC70 - Valores'!AX38</f>
        <v>0.97596290249673912</v>
      </c>
      <c r="BH128" s="84">
        <f>'CC70 - Valores'!AY38</f>
        <v>0.98703082354118354</v>
      </c>
      <c r="BI128" s="84">
        <f>'CC70 - Valores'!AZ38</f>
        <v>0.9980347000847809</v>
      </c>
      <c r="BJ128" s="84">
        <f>'CC70 - Valores'!BA38</f>
        <v>1.0089682759556009</v>
      </c>
      <c r="BK128" s="84">
        <f>'CC70 - Valores'!BB38</f>
        <v>1.0198249694578587</v>
      </c>
    </row>
    <row r="129" spans="1:65" x14ac:dyDescent="0.3">
      <c r="A129" s="386"/>
      <c r="B129" t="s">
        <v>395</v>
      </c>
      <c r="C129" s="278"/>
      <c r="D129" s="278"/>
      <c r="E129" s="278"/>
      <c r="F129" s="278"/>
      <c r="G129" s="278"/>
      <c r="H129" s="279"/>
      <c r="I129" s="279"/>
      <c r="J129" s="279"/>
      <c r="K129" s="82">
        <f t="shared" si="80"/>
        <v>5.0650000000000001E-3</v>
      </c>
      <c r="L129" s="82">
        <f t="shared" ref="L129:O129" si="82">L113</f>
        <v>8.1410000000000007E-3</v>
      </c>
      <c r="M129" s="82">
        <f t="shared" si="82"/>
        <v>5.28E-3</v>
      </c>
      <c r="N129" s="82">
        <f t="shared" si="82"/>
        <v>4.9170000000000004E-3</v>
      </c>
      <c r="O129" s="82">
        <f t="shared" si="82"/>
        <v>7.9659689417556218E-3</v>
      </c>
      <c r="P129" s="84">
        <f>'CC70 - Valores'!G39</f>
        <v>7.4548402408907161E-3</v>
      </c>
      <c r="Q129" s="84">
        <f>'CC70 - Valores'!H39</f>
        <v>7.9309410274732151E-3</v>
      </c>
      <c r="R129" s="84">
        <f>'CC70 - Valores'!I39</f>
        <v>7.9651725894618608E-3</v>
      </c>
      <c r="S129" s="84">
        <f>'CC70 - Valores'!J39</f>
        <v>8.4679754163162896E-3</v>
      </c>
      <c r="T129" s="84">
        <f>'CC70 - Valores'!K39</f>
        <v>8.7027946725848973E-3</v>
      </c>
      <c r="U129" s="84">
        <f>'CC70 - Valores'!L39</f>
        <v>8.9488184273486399E-3</v>
      </c>
      <c r="V129" s="84">
        <f>'CC70 - Valores'!M39</f>
        <v>9.1719067808462649E-3</v>
      </c>
      <c r="W129" s="84">
        <f>'CC70 - Valores'!N39</f>
        <v>9.4304976552592786E-3</v>
      </c>
      <c r="X129" s="84">
        <f>'CC70 - Valores'!O39</f>
        <v>9.3354189953315705E-3</v>
      </c>
      <c r="Y129" s="84">
        <f>'CC70 - Valores'!P39</f>
        <v>9.5361167244256799E-3</v>
      </c>
      <c r="Z129" s="84">
        <f>'CC70 - Valores'!Q39</f>
        <v>9.7753082795792312E-3</v>
      </c>
      <c r="AA129" s="84">
        <f>'CC70 - Valores'!R39</f>
        <v>9.9577980505504184E-3</v>
      </c>
      <c r="AB129" s="84">
        <f>'CC70 - Valores'!S39</f>
        <v>1.0134525279926946E-2</v>
      </c>
      <c r="AC129" s="84">
        <f>'CC70 - Valores'!T39</f>
        <v>1.0307201144456022E-2</v>
      </c>
      <c r="AD129" s="84">
        <f>'CC70 - Valores'!U39</f>
        <v>1.0460773496426759E-2</v>
      </c>
      <c r="AE129" s="84">
        <f>'CC70 - Valores'!V39</f>
        <v>1.0598859579653629E-2</v>
      </c>
      <c r="AF129" s="84">
        <f>'CC70 - Valores'!W39</f>
        <v>1.078671543175432E-2</v>
      </c>
      <c r="AG129" s="84">
        <f>'CC70 - Valores'!X39</f>
        <v>1.0963895963100816E-2</v>
      </c>
      <c r="AH129" s="84">
        <f>'CC70 - Valores'!Y39</f>
        <v>1.1133916646801242E-2</v>
      </c>
      <c r="AI129" s="84">
        <f>'CC70 - Valores'!Z39</f>
        <v>1.1300199144584496E-2</v>
      </c>
      <c r="AJ129" s="84">
        <f>'CC70 - Valores'!AA39</f>
        <v>1.1448820522108827E-2</v>
      </c>
      <c r="AK129" s="84">
        <f>'CC70 - Valores'!AB39</f>
        <v>1.1612342621649358E-2</v>
      </c>
      <c r="AL129" s="84">
        <f>'CC70 - Valores'!AC39</f>
        <v>1.1765992588029716E-2</v>
      </c>
      <c r="AM129" s="84">
        <f>'CC70 - Valores'!AD39</f>
        <v>1.1939582454264682E-2</v>
      </c>
      <c r="AN129" s="84">
        <f>'CC70 - Valores'!AE39</f>
        <v>1.2095910881464804E-2</v>
      </c>
      <c r="AO129" s="84">
        <f>'CC70 - Valores'!AF39</f>
        <v>1.224894395702595E-2</v>
      </c>
      <c r="AP129" s="84">
        <f>'CC70 - Valores'!AG39</f>
        <v>1.240286066569009E-2</v>
      </c>
      <c r="AQ129" s="84">
        <f>'CC70 - Valores'!AH39</f>
        <v>1.2556088242830783E-2</v>
      </c>
      <c r="AR129" s="84">
        <f>'CC70 - Valores'!AI39</f>
        <v>1.2717611625905092E-2</v>
      </c>
      <c r="AS129" s="84">
        <f>'CC70 - Valores'!AJ39</f>
        <v>1.2871315588142581E-2</v>
      </c>
      <c r="AT129" s="84">
        <f>'CC70 - Valores'!AK39</f>
        <v>1.3023967627506081E-2</v>
      </c>
      <c r="AU129" s="84">
        <f>'CC70 - Valores'!AL39</f>
        <v>1.3177036755402894E-2</v>
      </c>
      <c r="AV129" s="84">
        <f>'CC70 - Valores'!AM39</f>
        <v>1.332909795303331E-2</v>
      </c>
      <c r="AW129" s="84">
        <f>'CC70 - Valores'!AN39</f>
        <v>1.3481621697548062E-2</v>
      </c>
      <c r="AX129" s="84">
        <f>'CC70 - Valores'!AO39</f>
        <v>1.3630297165699063E-2</v>
      </c>
      <c r="AY129" s="84">
        <f>'CC70 - Valores'!AP39</f>
        <v>1.377810445618812E-2</v>
      </c>
      <c r="AZ129" s="84">
        <f>'CC70 - Valores'!AQ39</f>
        <v>1.3924922683496769E-2</v>
      </c>
      <c r="BA129" s="84">
        <f>'CC70 - Valores'!AR39</f>
        <v>1.4070306553314959E-2</v>
      </c>
      <c r="BB129" s="84">
        <f>'CC70 - Valores'!AS39</f>
        <v>1.4213853505790826E-2</v>
      </c>
      <c r="BC129" s="84">
        <f>'CC70 - Valores'!AT39</f>
        <v>1.4355758386661768E-2</v>
      </c>
      <c r="BD129" s="84">
        <f>'CC70 - Valores'!AU39</f>
        <v>1.4496073044310515E-2</v>
      </c>
      <c r="BE129" s="84">
        <f>'CC70 - Valores'!AV39</f>
        <v>1.4634760226621605E-2</v>
      </c>
      <c r="BF129" s="84">
        <f>'CC70 - Valores'!AW39</f>
        <v>1.4771557439292824E-2</v>
      </c>
      <c r="BG129" s="84">
        <f>'CC70 - Valores'!AX39</f>
        <v>1.4906389723166026E-2</v>
      </c>
      <c r="BH129" s="84">
        <f>'CC70 - Valores'!AY39</f>
        <v>1.5039104551881219E-2</v>
      </c>
      <c r="BI129" s="84">
        <f>'CC70 - Valores'!AZ39</f>
        <v>1.5169797671688799E-2</v>
      </c>
      <c r="BJ129" s="84">
        <f>'CC70 - Valores'!BA39</f>
        <v>1.5298377905599131E-2</v>
      </c>
      <c r="BK129" s="84">
        <f>'CC70 - Valores'!BB39</f>
        <v>1.5424751286648298E-2</v>
      </c>
    </row>
    <row r="130" spans="1:65" x14ac:dyDescent="0.3">
      <c r="A130" s="386"/>
      <c r="B130" t="s">
        <v>396</v>
      </c>
      <c r="C130" s="103"/>
      <c r="D130" s="103"/>
      <c r="E130" s="103"/>
      <c r="F130" s="103"/>
      <c r="G130" s="103"/>
      <c r="H130" s="359"/>
      <c r="I130" s="359"/>
      <c r="J130" s="359"/>
      <c r="K130" s="82">
        <f t="shared" si="80"/>
        <v>7.8406349999999998</v>
      </c>
      <c r="L130" s="82">
        <f t="shared" ref="L130:O130" si="83">L114</f>
        <v>10.08887</v>
      </c>
      <c r="M130" s="82">
        <f t="shared" si="83"/>
        <v>11.390245</v>
      </c>
      <c r="N130" s="82">
        <f t="shared" si="83"/>
        <v>11.6717</v>
      </c>
      <c r="O130" s="82">
        <f t="shared" si="83"/>
        <v>8.1132930000000005</v>
      </c>
      <c r="P130" s="84">
        <f>'CC70 - Valores'!G40</f>
        <v>9.1918462572518376</v>
      </c>
      <c r="Q130" s="84">
        <f>'CC70 - Valores'!H40</f>
        <v>9.7773850526807866</v>
      </c>
      <c r="R130" s="84">
        <f>'CC70 - Valores'!I40</f>
        <v>9.8198030344444778</v>
      </c>
      <c r="S130" s="84">
        <f>'CC70 - Valores'!J40</f>
        <v>10.436326251271314</v>
      </c>
      <c r="T130" s="84">
        <f>'CC70 - Valores'!K40</f>
        <v>10.463536922451556</v>
      </c>
      <c r="U130" s="84">
        <f>'CC70 - Valores'!L40</f>
        <v>10.490815994821787</v>
      </c>
      <c r="V130" s="84">
        <f>'CC70 - Valores'!M40</f>
        <v>10.518163639075933</v>
      </c>
      <c r="W130" s="84">
        <f>'CC70 - Valores'!N40</f>
        <v>10.545580026307164</v>
      </c>
      <c r="X130" s="84">
        <f>'CC70 - Valores'!O40</f>
        <v>10.573065328008765</v>
      </c>
      <c r="Y130" s="84">
        <f>'CC70 - Valores'!P40</f>
        <v>10.600619716074988</v>
      </c>
      <c r="Z130" s="84">
        <f>'CC70 - Valores'!Q40</f>
        <v>10.628243362801911</v>
      </c>
      <c r="AA130" s="84">
        <f>'CC70 - Valores'!R40</f>
        <v>10.655936440888315</v>
      </c>
      <c r="AB130" s="84">
        <f>'CC70 - Valores'!S40</f>
        <v>10.683699123436526</v>
      </c>
      <c r="AC130" s="84">
        <f>'CC70 - Valores'!T40</f>
        <v>10.711538671722634</v>
      </c>
      <c r="AD130" s="84">
        <f>'CC70 - Valores'!U40</f>
        <v>10.739449116541039</v>
      </c>
      <c r="AE130" s="84">
        <f>'CC70 - Valores'!V40</f>
        <v>10.767430632138309</v>
      </c>
      <c r="AF130" s="84">
        <f>'CC70 - Valores'!W40</f>
        <v>10.795483393168128</v>
      </c>
      <c r="AG130" s="84">
        <f>'CC70 - Valores'!X40</f>
        <v>10.823607574692179</v>
      </c>
      <c r="AH130" s="84">
        <f>'CC70 - Valores'!Y40</f>
        <v>10.851803352181006</v>
      </c>
      <c r="AI130" s="84">
        <f>'CC70 - Valores'!Z40</f>
        <v>10.8800709015149</v>
      </c>
      <c r="AJ130" s="84">
        <f>'CC70 - Valores'!AA40</f>
        <v>10.908410398984762</v>
      </c>
      <c r="AK130" s="84">
        <f>'CC70 - Valores'!AB40</f>
        <v>10.93682202129299</v>
      </c>
      <c r="AL130" s="84">
        <f>'CC70 - Valores'!AC40</f>
        <v>10.965305945554356</v>
      </c>
      <c r="AM130" s="84">
        <f>'CC70 - Valores'!AD40</f>
        <v>10.99386234929689</v>
      </c>
      <c r="AN130" s="84">
        <f>'CC70 - Valores'!AE40</f>
        <v>11.02249141046275</v>
      </c>
      <c r="AO130" s="84">
        <f>'CC70 - Valores'!AF40</f>
        <v>11.051193307409118</v>
      </c>
      <c r="AP130" s="84">
        <f>'CC70 - Valores'!AG40</f>
        <v>11.079968218909087</v>
      </c>
      <c r="AQ130" s="84">
        <f>'CC70 - Valores'!AH40</f>
        <v>11.10881632415254</v>
      </c>
      <c r="AR130" s="84">
        <f>'CC70 - Valores'!AI40</f>
        <v>11.137737802747035</v>
      </c>
      <c r="AS130" s="84">
        <f>'CC70 - Valores'!AJ40</f>
        <v>11.16673283471871</v>
      </c>
      <c r="AT130" s="84">
        <f>'CC70 - Valores'!AK40</f>
        <v>11.195801600513162</v>
      </c>
      <c r="AU130" s="84">
        <f>'CC70 - Valores'!AL40</f>
        <v>11.224944280996345</v>
      </c>
      <c r="AV130" s="84">
        <f>'CC70 - Valores'!AM40</f>
        <v>11.254161057455466</v>
      </c>
      <c r="AW130" s="84">
        <f>'CC70 - Valores'!AN40</f>
        <v>11.283452111599878</v>
      </c>
      <c r="AX130" s="84">
        <f>'CC70 - Valores'!AO40</f>
        <v>11.312817625561983</v>
      </c>
      <c r="AY130" s="84">
        <f>'CC70 - Valores'!AP40</f>
        <v>11.342257781898123</v>
      </c>
      <c r="AZ130" s="84">
        <f>'CC70 - Valores'!AQ40</f>
        <v>11.371772763589492</v>
      </c>
      <c r="BA130" s="84">
        <f>'CC70 - Valores'!AR40</f>
        <v>11.401362754043031</v>
      </c>
      <c r="BB130" s="84">
        <f>'CC70 - Valores'!AS40</f>
        <v>11.431027937092338</v>
      </c>
      <c r="BC130" s="84">
        <f>'CC70 - Valores'!AT40</f>
        <v>11.460768496998563</v>
      </c>
      <c r="BD130" s="84">
        <f>'CC70 - Valores'!AU40</f>
        <v>11.490584618451333</v>
      </c>
      <c r="BE130" s="84">
        <f>'CC70 - Valores'!AV40</f>
        <v>11.520476486569645</v>
      </c>
      <c r="BF130" s="84">
        <f>'CC70 - Valores'!AW40</f>
        <v>11.550444286902788</v>
      </c>
      <c r="BG130" s="84">
        <f>'CC70 - Valores'!AX40</f>
        <v>11.580488205431248</v>
      </c>
      <c r="BH130" s="84">
        <f>'CC70 - Valores'!AY40</f>
        <v>11.610608428567621</v>
      </c>
      <c r="BI130" s="84">
        <f>'CC70 - Valores'!AZ40</f>
        <v>11.640805143157539</v>
      </c>
      <c r="BJ130" s="84">
        <f>'CC70 - Valores'!BA40</f>
        <v>11.671078536480573</v>
      </c>
      <c r="BK130" s="84">
        <f>'CC70 - Valores'!BB40</f>
        <v>11.701428796251166</v>
      </c>
    </row>
    <row r="131" spans="1:65" x14ac:dyDescent="0.3">
      <c r="A131" s="386"/>
      <c r="B131" t="s">
        <v>397</v>
      </c>
      <c r="C131" s="103"/>
      <c r="D131" s="103"/>
      <c r="E131" s="103"/>
      <c r="F131" s="103"/>
      <c r="G131" s="103"/>
      <c r="H131" s="359"/>
      <c r="I131" s="359"/>
      <c r="J131" s="359"/>
      <c r="K131" s="82">
        <f t="shared" si="80"/>
        <v>1.4492659999999999</v>
      </c>
      <c r="L131" s="82">
        <f t="shared" ref="L131:O131" si="84">L115</f>
        <v>1.628519</v>
      </c>
      <c r="M131" s="82">
        <f t="shared" si="84"/>
        <v>1.463279</v>
      </c>
      <c r="N131" s="82">
        <f t="shared" si="84"/>
        <v>1.849405</v>
      </c>
      <c r="O131" s="82">
        <f t="shared" si="84"/>
        <v>1.736397</v>
      </c>
      <c r="P131" s="84">
        <f>'CC70 - Valores'!G41</f>
        <v>1.8829251028288905</v>
      </c>
      <c r="Q131" s="84">
        <f>'CC70 - Valores'!H41</f>
        <v>2.0071079895573583</v>
      </c>
      <c r="R131" s="84">
        <f>'CC70 - Valores'!I41</f>
        <v>2.0200813459494822</v>
      </c>
      <c r="S131" s="84">
        <f>'CC70 - Valores'!J41</f>
        <v>2.151450644725716</v>
      </c>
      <c r="T131" s="84">
        <f>'CC70 - Valores'!K41</f>
        <v>2.2153713797596195</v>
      </c>
      <c r="U131" s="84">
        <f>'CC70 - Valores'!L41</f>
        <v>2.2822839118272658</v>
      </c>
      <c r="V131" s="84">
        <f>'CC70 - Valores'!M41</f>
        <v>2.3435683612215867</v>
      </c>
      <c r="W131" s="84">
        <f>'CC70 - Valores'!N41</f>
        <v>2.4139686415720769</v>
      </c>
      <c r="X131" s="84">
        <f>'CC70 - Valores'!O41</f>
        <v>2.3952858308906038</v>
      </c>
      <c r="Y131" s="84">
        <f>'CC70 - Valores'!P41</f>
        <v>2.4513849576118218</v>
      </c>
      <c r="Z131" s="84">
        <f>'CC70 - Valores'!Q41</f>
        <v>2.5173671626298217</v>
      </c>
      <c r="AA131" s="84">
        <f>'CC70 - Valores'!R41</f>
        <v>2.5691676056405601</v>
      </c>
      <c r="AB131" s="84">
        <f>'CC70 - Valores'!S41</f>
        <v>2.6196589593152715</v>
      </c>
      <c r="AC131" s="84">
        <f>'CC70 - Valores'!T41</f>
        <v>2.6692716851341793</v>
      </c>
      <c r="AD131" s="84">
        <f>'CC70 - Valores'!U41</f>
        <v>2.7141993272849132</v>
      </c>
      <c r="AE131" s="84">
        <f>'CC70 - Valores'!V41</f>
        <v>2.7553527906614863</v>
      </c>
      <c r="AF131" s="84">
        <f>'CC70 - Valores'!W41</f>
        <v>2.8092276662483266</v>
      </c>
      <c r="AG131" s="84">
        <f>'CC70 - Valores'!X41</f>
        <v>2.8605400426559275</v>
      </c>
      <c r="AH131" s="84">
        <f>'CC70 - Valores'!Y41</f>
        <v>2.9101772509585788</v>
      </c>
      <c r="AI131" s="84">
        <f>'CC70 - Valores'!Z41</f>
        <v>2.959002199633797</v>
      </c>
      <c r="AJ131" s="84">
        <f>'CC70 - Valores'!AA41</f>
        <v>3.003493981464584</v>
      </c>
      <c r="AK131" s="84">
        <f>'CC70 - Valores'!AB41</f>
        <v>3.0518794967509071</v>
      </c>
      <c r="AL131" s="84">
        <f>'CC70 - Valores'!AC41</f>
        <v>3.0978953225357717</v>
      </c>
      <c r="AM131" s="84">
        <f>'CC70 - Valores'!AD41</f>
        <v>3.1490720824615273</v>
      </c>
      <c r="AN131" s="84">
        <f>'CC70 - Valores'!AE41</f>
        <v>3.1960071005602386</v>
      </c>
      <c r="AO131" s="84">
        <f>'CC70 - Valores'!AF41</f>
        <v>3.2422265906206706</v>
      </c>
      <c r="AP131" s="84">
        <f>'CC70 - Valores'!AG41</f>
        <v>3.2887835989542031</v>
      </c>
      <c r="AQ131" s="84">
        <f>'CC70 - Valores'!AH41</f>
        <v>3.3352784456632558</v>
      </c>
      <c r="AR131" s="84">
        <f>'CC70 - Valores'!AI41</f>
        <v>3.3839752678513069</v>
      </c>
      <c r="AS131" s="84">
        <f>'CC70 - Valores'!AJ41</f>
        <v>3.4308023741897391</v>
      </c>
      <c r="AT131" s="84">
        <f>'CC70 - Valores'!AK41</f>
        <v>3.4774643689669227</v>
      </c>
      <c r="AU131" s="84">
        <f>'CC70 - Valores'!AL41</f>
        <v>3.524327562450519</v>
      </c>
      <c r="AV131" s="84">
        <f>'CC70 - Valores'!AM41</f>
        <v>3.5710281606608056</v>
      </c>
      <c r="AW131" s="84">
        <f>'CC70 - Valores'!AN41</f>
        <v>3.6179320950431659</v>
      </c>
      <c r="AX131" s="84">
        <f>'CC70 - Valores'!AO41</f>
        <v>3.663948797044307</v>
      </c>
      <c r="AY131" s="84">
        <f>'CC70 - Valores'!AP41</f>
        <v>3.7098243625933165</v>
      </c>
      <c r="AZ131" s="84">
        <f>'CC70 - Valores'!AQ41</f>
        <v>3.7555232746400069</v>
      </c>
      <c r="BA131" s="84">
        <f>'CC70 - Valores'!AR41</f>
        <v>3.8009283171932178</v>
      </c>
      <c r="BB131" s="84">
        <f>'CC70 - Valores'!AS41</f>
        <v>3.8459330627545101</v>
      </c>
      <c r="BC131" s="84">
        <f>'CC70 - Valores'!AT41</f>
        <v>3.8905811339697642</v>
      </c>
      <c r="BD131" s="84">
        <f>'CC70 - Valores'!AU41</f>
        <v>3.934879970562422</v>
      </c>
      <c r="BE131" s="84">
        <f>'CC70 - Valores'!AV41</f>
        <v>3.9788144498938087</v>
      </c>
      <c r="BF131" s="84">
        <f>'CC70 - Valores'!AW41</f>
        <v>4.0223128513278068</v>
      </c>
      <c r="BG131" s="84">
        <f>'CC70 - Valores'!AX41</f>
        <v>4.0653504169277923</v>
      </c>
      <c r="BH131" s="84">
        <f>'CC70 - Valores'!AY41</f>
        <v>4.107882867643994</v>
      </c>
      <c r="BI131" s="84">
        <f>'CC70 - Valores'!AZ41</f>
        <v>4.1499279372286351</v>
      </c>
      <c r="BJ131" s="84">
        <f>'CC70 - Valores'!BA41</f>
        <v>4.1914564306462134</v>
      </c>
      <c r="BK131" s="84">
        <f>'CC70 - Valores'!BB41</f>
        <v>4.2324383707746183</v>
      </c>
    </row>
    <row r="132" spans="1:65" x14ac:dyDescent="0.3">
      <c r="A132" s="386"/>
      <c r="B132" t="s">
        <v>398</v>
      </c>
      <c r="C132" s="103"/>
      <c r="D132" s="103"/>
      <c r="E132" s="103"/>
      <c r="F132" s="103"/>
      <c r="G132" s="103"/>
      <c r="H132" s="359"/>
      <c r="I132" s="359"/>
      <c r="J132" s="359"/>
      <c r="K132" s="82">
        <f t="shared" si="80"/>
        <v>2.7857560000000001</v>
      </c>
      <c r="L132" s="82">
        <f t="shared" ref="L132:O132" si="85">L116</f>
        <v>2.2759480000000001</v>
      </c>
      <c r="M132" s="82">
        <f t="shared" si="85"/>
        <v>2.4463119999999998</v>
      </c>
      <c r="N132" s="82">
        <f t="shared" si="85"/>
        <v>2.4188550000000002</v>
      </c>
      <c r="O132" s="82">
        <f t="shared" si="85"/>
        <v>2.2964022335077923</v>
      </c>
      <c r="P132" s="84">
        <f>'CC70 - Valores'!G42</f>
        <v>2.0318641294869884</v>
      </c>
      <c r="Q132" s="84">
        <f>'CC70 - Valores'!H42</f>
        <v>2.1619842994558089</v>
      </c>
      <c r="R132" s="84">
        <f>'CC70 - Valores'!I42</f>
        <v>2.1719905350761777</v>
      </c>
      <c r="S132" s="84">
        <f>'CC70 - Valores'!J42</f>
        <v>2.3091538902870905</v>
      </c>
      <c r="T132" s="84">
        <f>'CC70 - Valores'!K42</f>
        <v>2.373507752906042</v>
      </c>
      <c r="U132" s="84">
        <f>'CC70 - Valores'!L42</f>
        <v>2.4408421992694214</v>
      </c>
      <c r="V132" s="84">
        <f>'CC70 - Valores'!M42</f>
        <v>2.501922755482759</v>
      </c>
      <c r="W132" s="84">
        <f>'CC70 - Valores'!N42</f>
        <v>2.5725272282741569</v>
      </c>
      <c r="X132" s="84">
        <f>'CC70 - Valores'!O42</f>
        <v>2.5478630126767916</v>
      </c>
      <c r="Y132" s="84">
        <f>'CC70 - Valores'!P42</f>
        <v>2.6028907711976212</v>
      </c>
      <c r="Z132" s="84">
        <f>'CC70 - Valores'!Q42</f>
        <v>2.6682309766699559</v>
      </c>
      <c r="AA132" s="84">
        <f>'CC70 - Valores'!R42</f>
        <v>2.7182880519569728</v>
      </c>
      <c r="AB132" s="84">
        <f>'CC70 - Valores'!S42</f>
        <v>2.7667764106547184</v>
      </c>
      <c r="AC132" s="84">
        <f>'CC70 - Valores'!T42</f>
        <v>2.8141586058864951</v>
      </c>
      <c r="AD132" s="84">
        <f>'CC70 - Valores'!U42</f>
        <v>2.8564156592391798</v>
      </c>
      <c r="AE132" s="84">
        <f>'CC70 - Valores'!V42</f>
        <v>2.8945317552259886</v>
      </c>
      <c r="AF132" s="84">
        <f>'CC70 - Valores'!W42</f>
        <v>2.9459109263355159</v>
      </c>
      <c r="AG132" s="84">
        <f>'CC70 - Valores'!X42</f>
        <v>2.9944099601469425</v>
      </c>
      <c r="AH132" s="84">
        <f>'CC70 - Valores'!Y42</f>
        <v>3.0409738207926162</v>
      </c>
      <c r="AI132" s="84">
        <f>'CC70 - Valores'!Z42</f>
        <v>3.0865164926688973</v>
      </c>
      <c r="AJ132" s="84">
        <f>'CC70 - Valores'!AA42</f>
        <v>3.1273529230243851</v>
      </c>
      <c r="AK132" s="84">
        <f>'CC70 - Valores'!AB42</f>
        <v>3.1721121582007705</v>
      </c>
      <c r="AL132" s="84">
        <f>'CC70 - Valores'!AC42</f>
        <v>3.2142328830839713</v>
      </c>
      <c r="AM132" s="84">
        <f>'CC70 - Valores'!AD42</f>
        <v>3.2615838397353833</v>
      </c>
      <c r="AN132" s="84">
        <f>'CC70 - Valores'!AE42</f>
        <v>3.3043462453802239</v>
      </c>
      <c r="AO132" s="84">
        <f>'CC70 - Valores'!AF42</f>
        <v>3.3462086831888378</v>
      </c>
      <c r="AP132" s="84">
        <f>'CC70 - Valores'!AG42</f>
        <v>3.3882691931093598</v>
      </c>
      <c r="AQ132" s="84">
        <f>'CC70 - Valores'!AH42</f>
        <v>3.4301124136959515</v>
      </c>
      <c r="AR132" s="84">
        <f>'CC70 - Valores'!AI42</f>
        <v>3.4740852585642084</v>
      </c>
      <c r="AS132" s="84">
        <f>'CC70 - Valores'!AJ42</f>
        <v>3.5159667906282239</v>
      </c>
      <c r="AT132" s="84">
        <f>'CC70 - Valores'!AK42</f>
        <v>3.5575272645301101</v>
      </c>
      <c r="AU132" s="84">
        <f>'CC70 - Valores'!AL42</f>
        <v>3.5991464220861644</v>
      </c>
      <c r="AV132" s="84">
        <f>'CC70 - Valores'!AM42</f>
        <v>3.6404497507525675</v>
      </c>
      <c r="AW132" s="84">
        <f>'CC70 - Valores'!AN42</f>
        <v>3.681815626731916</v>
      </c>
      <c r="AX132" s="84">
        <f>'CC70 - Valores'!AO42</f>
        <v>3.7221239376880422</v>
      </c>
      <c r="AY132" s="84">
        <f>'CC70 - Valores'!AP42</f>
        <v>3.7621452203584416</v>
      </c>
      <c r="AZ132" s="84">
        <f>'CC70 - Valores'!AQ42</f>
        <v>3.8018449809152868</v>
      </c>
      <c r="BA132" s="84">
        <f>'CC70 - Valores'!AR42</f>
        <v>3.8411053618803215</v>
      </c>
      <c r="BB132" s="84">
        <f>'CC70 - Valores'!AS42</f>
        <v>3.8798202131360378</v>
      </c>
      <c r="BC132" s="84">
        <f>'CC70 - Valores'!AT42</f>
        <v>3.9180371282806732</v>
      </c>
      <c r="BD132" s="84">
        <f>'CC70 - Valores'!AU42</f>
        <v>3.9557666155962243</v>
      </c>
      <c r="BE132" s="84">
        <f>'CC70 - Valores'!AV42</f>
        <v>3.9929962098192058</v>
      </c>
      <c r="BF132" s="84">
        <f>'CC70 - Valores'!AW42</f>
        <v>4.0296560286909671</v>
      </c>
      <c r="BG132" s="84">
        <f>'CC70 - Valores'!AX42</f>
        <v>4.0657242774459696</v>
      </c>
      <c r="BH132" s="84">
        <f>'CC70 - Valores'!AY42</f>
        <v>4.1011595302150798</v>
      </c>
      <c r="BI132" s="84">
        <f>'CC70 - Valores'!AZ42</f>
        <v>4.1359834094014598</v>
      </c>
      <c r="BJ132" s="84">
        <f>'CC70 - Valores'!BA42</f>
        <v>4.1701700165721247</v>
      </c>
      <c r="BK132" s="84">
        <f>'CC70 - Valores'!BB42</f>
        <v>4.2036928420307182</v>
      </c>
    </row>
    <row r="133" spans="1:65" x14ac:dyDescent="0.3">
      <c r="A133" s="386"/>
      <c r="B133" t="s">
        <v>399</v>
      </c>
      <c r="C133" s="103"/>
      <c r="D133" s="103"/>
      <c r="E133" s="103"/>
      <c r="F133" s="103"/>
      <c r="G133" s="103"/>
      <c r="H133" s="359"/>
      <c r="I133" s="359"/>
      <c r="J133" s="359"/>
      <c r="K133" s="82">
        <f t="shared" si="80"/>
        <v>2.5503999999999999E-2</v>
      </c>
      <c r="L133" s="82">
        <f t="shared" ref="L133:O133" si="86">L117</f>
        <v>3.9515000000000002E-2</v>
      </c>
      <c r="M133" s="82">
        <f t="shared" si="86"/>
        <v>2.7237999999999998E-2</v>
      </c>
      <c r="N133" s="82">
        <f t="shared" si="86"/>
        <v>2.0077000000000001E-2</v>
      </c>
      <c r="O133" s="82">
        <f t="shared" si="86"/>
        <v>2.9453725766288387E-2</v>
      </c>
      <c r="P133" s="84">
        <f>'CC70 - Valores'!G43</f>
        <v>2.6954272462386786E-2</v>
      </c>
      <c r="Q133" s="84">
        <f>'CC70 - Valores'!H43</f>
        <v>2.856693671726622E-2</v>
      </c>
      <c r="R133" s="84">
        <f>'CC70 - Valores'!I43</f>
        <v>2.8586445371470835E-2</v>
      </c>
      <c r="S133" s="84">
        <f>'CC70 - Valores'!J43</f>
        <v>3.0270601402522322E-2</v>
      </c>
      <c r="T133" s="84">
        <f>'CC70 - Valores'!K43</f>
        <v>3.0990926994803512E-2</v>
      </c>
      <c r="U133" s="84">
        <f>'CC70 - Valores'!L43</f>
        <v>3.1743591334776201E-2</v>
      </c>
      <c r="V133" s="84">
        <f>'CC70 - Valores'!M43</f>
        <v>3.2408757503608339E-2</v>
      </c>
      <c r="W133" s="84">
        <f>'CC70 - Valores'!N43</f>
        <v>3.3190572493659247E-2</v>
      </c>
      <c r="X133" s="84">
        <f>'CC70 - Valores'!O43</f>
        <v>3.2744535130764515E-2</v>
      </c>
      <c r="Y133" s="84">
        <f>'CC70 - Valores'!P43</f>
        <v>3.3318954462652414E-2</v>
      </c>
      <c r="Z133" s="84">
        <f>'CC70 - Valores'!Q43</f>
        <v>3.4019253176190895E-2</v>
      </c>
      <c r="AA133" s="84">
        <f>'CC70 - Valores'!R43</f>
        <v>3.4519859093420785E-2</v>
      </c>
      <c r="AB133" s="84">
        <f>'CC70 - Valores'!S43</f>
        <v>3.4996103928644023E-2</v>
      </c>
      <c r="AC133" s="84">
        <f>'CC70 - Valores'!T43</f>
        <v>3.5454068976098041E-2</v>
      </c>
      <c r="AD133" s="84">
        <f>'CC70 - Valores'!U43</f>
        <v>3.5843747441412971E-2</v>
      </c>
      <c r="AE133" s="84">
        <f>'CC70 - Valores'!V43</f>
        <v>3.6178224343330512E-2</v>
      </c>
      <c r="AF133" s="84">
        <f>'CC70 - Valores'!W43</f>
        <v>3.6673751313294478E-2</v>
      </c>
      <c r="AG133" s="84">
        <f>'CC70 - Valores'!X43</f>
        <v>3.7129131853215459E-2</v>
      </c>
      <c r="AH133" s="84">
        <f>'CC70 - Valores'!Y43</f>
        <v>3.7556453024845921E-2</v>
      </c>
      <c r="AI133" s="84">
        <f>'CC70 - Valores'!Z43</f>
        <v>3.7967218356617503E-2</v>
      </c>
      <c r="AJ133" s="84">
        <f>'CC70 - Valores'!AA43</f>
        <v>3.8316746206421476E-2</v>
      </c>
      <c r="AK133" s="84">
        <f>'CC70 - Valores'!AB43</f>
        <v>3.8710394950090557E-2</v>
      </c>
      <c r="AL133" s="84">
        <f>'CC70 - Valores'!AC43</f>
        <v>3.9068372878727081E-2</v>
      </c>
      <c r="AM133" s="84">
        <f>'CC70 - Valores'!AD43</f>
        <v>3.9485673612661996E-2</v>
      </c>
      <c r="AN133" s="84">
        <f>'CC70 - Valores'!AE43</f>
        <v>3.9844010828634716E-2</v>
      </c>
      <c r="AO133" s="84">
        <f>'CC70 - Valores'!AF43</f>
        <v>4.0188059964220355E-2</v>
      </c>
      <c r="AP133" s="84">
        <f>'CC70 - Valores'!AG43</f>
        <v>4.0531002024589084E-2</v>
      </c>
      <c r="AQ133" s="84">
        <f>'CC70 - Valores'!AH43</f>
        <v>4.0867917118047728E-2</v>
      </c>
      <c r="AR133" s="84">
        <f>'CC70 - Valores'!AI43</f>
        <v>4.1226451174426228E-2</v>
      </c>
      <c r="AS133" s="84">
        <f>'CC70 - Valores'!AJ43</f>
        <v>4.1556870776191059E-2</v>
      </c>
      <c r="AT133" s="84">
        <f>'CC70 - Valores'!AK43</f>
        <v>4.1880146196855643E-2</v>
      </c>
      <c r="AU133" s="84">
        <f>'CC70 - Valores'!AL43</f>
        <v>4.2200746270537902E-2</v>
      </c>
      <c r="AV133" s="84">
        <f>'CC70 - Valores'!AM43</f>
        <v>4.2514346132285857E-2</v>
      </c>
      <c r="AW133" s="84">
        <f>'CC70 - Valores'!AN43</f>
        <v>4.2825358257742849E-2</v>
      </c>
      <c r="AX133" s="84">
        <f>'CC70 - Valores'!AO43</f>
        <v>4.3120953319762463E-2</v>
      </c>
      <c r="AY133" s="84">
        <f>'CC70 - Valores'!AP43</f>
        <v>4.3410088490379417E-2</v>
      </c>
      <c r="AZ133" s="84">
        <f>'CC70 - Valores'!AQ43</f>
        <v>4.3692424498921877E-2</v>
      </c>
      <c r="BA133" s="84">
        <f>'CC70 - Valores'!AR43</f>
        <v>4.3966685836742618E-2</v>
      </c>
      <c r="BB133" s="84">
        <f>'CC70 - Valores'!AS43</f>
        <v>4.4231751456886681E-2</v>
      </c>
      <c r="BC133" s="84">
        <f>'CC70 - Valores'!AT43</f>
        <v>4.4488243207258832E-2</v>
      </c>
      <c r="BD133" s="84">
        <f>'CC70 - Valores'!AU43</f>
        <v>4.4736358843610498E-2</v>
      </c>
      <c r="BE133" s="84">
        <f>'CC70 - Valores'!AV43</f>
        <v>4.4976037984449338E-2</v>
      </c>
      <c r="BF133" s="84">
        <f>'CC70 - Valores'!AW43</f>
        <v>4.5206586948683784E-2</v>
      </c>
      <c r="BG133" s="84">
        <f>'CC70 - Valores'!AX43</f>
        <v>4.5427854205778773E-2</v>
      </c>
      <c r="BH133" s="84">
        <f>'CC70 - Valores'!AY43</f>
        <v>4.563947639959804E-2</v>
      </c>
      <c r="BI133" s="84">
        <f>'CC70 - Valores'!AZ43</f>
        <v>4.5841785154048624E-2</v>
      </c>
      <c r="BJ133" s="84">
        <f>'CC70 - Valores'!BA43</f>
        <v>4.6034590749395241E-2</v>
      </c>
      <c r="BK133" s="84">
        <f>'CC70 - Valores'!BB43</f>
        <v>4.6217700918018099E-2</v>
      </c>
    </row>
    <row r="134" spans="1:65" x14ac:dyDescent="0.3">
      <c r="A134" s="386"/>
      <c r="B134" t="s">
        <v>400</v>
      </c>
      <c r="C134" s="103"/>
      <c r="D134" s="103"/>
      <c r="E134" s="103"/>
      <c r="F134" s="103"/>
      <c r="G134" s="103"/>
      <c r="H134" s="359"/>
      <c r="I134" s="359"/>
      <c r="J134" s="359"/>
      <c r="K134" s="82">
        <f t="shared" si="80"/>
        <v>4.3652640246656008E-2</v>
      </c>
      <c r="L134" s="82">
        <f t="shared" ref="L134:O134" si="87">L118</f>
        <v>3.5010121222727224E-2</v>
      </c>
      <c r="M134" s="82">
        <f t="shared" si="87"/>
        <v>3.7421596562221979E-2</v>
      </c>
      <c r="N134" s="82">
        <f t="shared" si="87"/>
        <v>2.7855525305192988E-2</v>
      </c>
      <c r="O134" s="82">
        <f t="shared" si="87"/>
        <v>2.3652076736890879E-2</v>
      </c>
      <c r="P134" s="84">
        <f>'CC70 - Valores'!G44</f>
        <v>2.6056744527322692E-2</v>
      </c>
      <c r="Q134" s="84">
        <f>'CC70 - Valores'!H44</f>
        <v>2.7789975778349477E-2</v>
      </c>
      <c r="R134" s="84">
        <f>'CC70 - Valores'!I44</f>
        <v>2.7939274699615893E-2</v>
      </c>
      <c r="S134" s="84">
        <f>'CC70 - Valores'!J44</f>
        <v>2.9818473938051468E-2</v>
      </c>
      <c r="T134" s="84">
        <f>'CC70 - Valores'!K44</f>
        <v>3.0730948994392701E-2</v>
      </c>
      <c r="U134" s="84">
        <f>'CC70 - Valores'!L44</f>
        <v>3.1699788783826288E-2</v>
      </c>
      <c r="V134" s="84">
        <f>'CC70 - Valores'!M44</f>
        <v>3.2594235426568724E-2</v>
      </c>
      <c r="W134" s="84">
        <f>'CC70 - Valores'!N44</f>
        <v>3.3642489614415336E-2</v>
      </c>
      <c r="X134" s="84">
        <f>'CC70 - Valores'!O44</f>
        <v>3.3278574307654213E-2</v>
      </c>
      <c r="Y134" s="84">
        <f>'CC70 - Valores'!P44</f>
        <v>3.4101789615386596E-2</v>
      </c>
      <c r="Z134" s="84">
        <f>'CC70 - Valores'!Q44</f>
        <v>3.5094010220170391E-2</v>
      </c>
      <c r="AA134" s="84">
        <f>'CC70 - Valores'!R44</f>
        <v>3.5864569430777871E-2</v>
      </c>
      <c r="AB134" s="84">
        <f>'CC70 - Valores'!S44</f>
        <v>3.6619391847461297E-2</v>
      </c>
      <c r="AC134" s="84">
        <f>'CC70 - Valores'!T44</f>
        <v>3.7365025689256065E-2</v>
      </c>
      <c r="AD134" s="84">
        <f>'CC70 - Valores'!U44</f>
        <v>3.803505581097448E-2</v>
      </c>
      <c r="AE134" s="84">
        <f>'CC70 - Valores'!V44</f>
        <v>3.864231470048346E-2</v>
      </c>
      <c r="AF134" s="84">
        <f>'CC70 - Valores'!W44</f>
        <v>3.9477694245749914E-2</v>
      </c>
      <c r="AG134" s="84">
        <f>'CC70 - Valores'!X44</f>
        <v>4.027523473220937E-2</v>
      </c>
      <c r="AH134" s="84">
        <f>'CC70 - Valores'!Y44</f>
        <v>4.1049356383302343E-2</v>
      </c>
      <c r="AI134" s="84">
        <f>'CC70 - Valores'!Z44</f>
        <v>4.1815011392310225E-2</v>
      </c>
      <c r="AJ134" s="84">
        <f>'CC70 - Valores'!AA44</f>
        <v>4.2505472382470405E-2</v>
      </c>
      <c r="AK134" s="84">
        <f>'CC70 - Valores'!AB44</f>
        <v>4.3274784980501357E-2</v>
      </c>
      <c r="AL134" s="84">
        <f>'CC70 - Valores'!AC44</f>
        <v>4.4005011005736255E-2</v>
      </c>
      <c r="AM134" s="84">
        <f>'CC70 - Valores'!AD44</f>
        <v>4.4842294006005118E-2</v>
      </c>
      <c r="AN134" s="84">
        <f>'CC70 - Valores'!AE44</f>
        <v>4.56040248443767E-2</v>
      </c>
      <c r="AO134" s="84">
        <f>'CC70 - Valores'!AF44</f>
        <v>4.6358235387700841E-2</v>
      </c>
      <c r="AP134" s="84">
        <f>'CC70 - Valores'!AG44</f>
        <v>4.7126137345925828E-2</v>
      </c>
      <c r="AQ134" s="84">
        <f>'CC70 - Valores'!AH44</f>
        <v>4.7899976931321947E-2</v>
      </c>
      <c r="AR134" s="84">
        <f>'CC70 - Valores'!AI44</f>
        <v>4.8727636081939613E-2</v>
      </c>
      <c r="AS134" s="84">
        <f>'CC70 - Valores'!AJ44</f>
        <v>4.9524757562180249E-2</v>
      </c>
      <c r="AT134" s="84">
        <f>'CC70 - Valores'!AK44</f>
        <v>5.0326964727834794E-2</v>
      </c>
      <c r="AU134" s="84">
        <f>'CC70 - Valores'!AL44</f>
        <v>5.1142604701680777E-2</v>
      </c>
      <c r="AV134" s="84">
        <f>'CC70 - Valores'!AM44</f>
        <v>5.1964299052178448E-2</v>
      </c>
      <c r="AW134" s="84">
        <f>'CC70 - Valores'!AN44</f>
        <v>5.2800663615550025E-2</v>
      </c>
      <c r="AX134" s="84">
        <f>'CC70 - Valores'!AO44</f>
        <v>5.3627617553090423E-2</v>
      </c>
      <c r="AY134" s="84">
        <f>'CC70 - Valores'!AP44</f>
        <v>5.4462166888981284E-2</v>
      </c>
      <c r="AZ134" s="84">
        <f>'CC70 - Valores'!AQ44</f>
        <v>5.5303974606444734E-2</v>
      </c>
      <c r="BA134" s="84">
        <f>'CC70 - Valores'!AR44</f>
        <v>5.6150752217168642E-2</v>
      </c>
      <c r="BB134" s="84">
        <f>'CC70 - Valores'!AS44</f>
        <v>5.7000350774160019E-2</v>
      </c>
      <c r="BC134" s="84">
        <f>'CC70 - Valores'!AT44</f>
        <v>5.7854164880240866E-2</v>
      </c>
      <c r="BD134" s="84">
        <f>'CC70 - Valores'!AU44</f>
        <v>5.8712778756166095E-2</v>
      </c>
      <c r="BE134" s="84">
        <f>'CC70 - Valores'!AV44</f>
        <v>5.9576249286501681E-2</v>
      </c>
      <c r="BF134" s="84">
        <f>'CC70 - Valores'!AW44</f>
        <v>6.0443206968293001E-2</v>
      </c>
      <c r="BG134" s="84">
        <f>'CC70 - Valores'!AX44</f>
        <v>6.1313418732384051E-2</v>
      </c>
      <c r="BH134" s="84">
        <f>'CC70 - Valores'!AY44</f>
        <v>6.2186136264514358E-2</v>
      </c>
      <c r="BI134" s="84">
        <f>'CC70 - Valores'!AZ44</f>
        <v>6.3062210582122635E-2</v>
      </c>
      <c r="BJ134" s="84">
        <f>'CC70 - Valores'!BA44</f>
        <v>6.3941289441876326E-2</v>
      </c>
      <c r="BK134" s="84">
        <f>'CC70 - Valores'!BB44</f>
        <v>6.4822984109036225E-2</v>
      </c>
    </row>
    <row r="135" spans="1:65" ht="25.8" x14ac:dyDescent="0.3">
      <c r="A135" s="386"/>
      <c r="B135" t="s">
        <v>401</v>
      </c>
      <c r="C135" s="104"/>
      <c r="D135" s="103"/>
      <c r="E135" s="103"/>
      <c r="F135" s="103"/>
      <c r="G135" s="103"/>
      <c r="H135" s="359"/>
      <c r="I135" s="359"/>
      <c r="J135" s="359"/>
      <c r="K135" s="82">
        <f t="shared" si="80"/>
        <v>6.6623000000000002E-2</v>
      </c>
      <c r="L135" s="82">
        <f t="shared" ref="L135:O135" si="88">L119</f>
        <v>6.9685999999999998E-2</v>
      </c>
      <c r="M135" s="82">
        <f t="shared" si="88"/>
        <v>7.7360999999999999E-2</v>
      </c>
      <c r="N135" s="82">
        <f t="shared" si="88"/>
        <v>8.7922E-2</v>
      </c>
      <c r="O135" s="82">
        <f t="shared" si="88"/>
        <v>6.8358373950290235E-2</v>
      </c>
      <c r="P135" s="84">
        <f>'CC70 - Valores'!G45</f>
        <v>8.3817665548220066E-2</v>
      </c>
      <c r="Q135" s="84">
        <f>'CC70 - Valores'!H45</f>
        <v>8.9039964550933812E-2</v>
      </c>
      <c r="R135" s="84">
        <f>'CC70 - Valores'!I45</f>
        <v>8.9303172101164216E-2</v>
      </c>
      <c r="S135" s="84">
        <f>'CC70 - Valores'!J45</f>
        <v>9.4791353210737422E-2</v>
      </c>
      <c r="T135" s="84">
        <f>'CC70 - Valores'!K45</f>
        <v>9.7275190363567271E-2</v>
      </c>
      <c r="U135" s="84">
        <f>'CC70 - Valores'!L45</f>
        <v>9.9873687056326266E-2</v>
      </c>
      <c r="V135" s="84">
        <f>'CC70 - Valores'!M45</f>
        <v>0.10220826521552603</v>
      </c>
      <c r="W135" s="84">
        <f>'CC70 - Valores'!N45</f>
        <v>0.10492532895605686</v>
      </c>
      <c r="X135" s="84">
        <f>'CC70 - Valores'!O45</f>
        <v>0.10374196279544207</v>
      </c>
      <c r="Y135" s="84">
        <f>'CC70 - Valores'!P45</f>
        <v>0.10581215453308257</v>
      </c>
      <c r="Z135" s="84">
        <f>'CC70 - Valores'!Q45</f>
        <v>0.10829612251382821</v>
      </c>
      <c r="AA135" s="84">
        <f>'CC70 - Valores'!R45</f>
        <v>0.11015079452331818</v>
      </c>
      <c r="AB135" s="84">
        <f>'CC70 - Valores'!S45</f>
        <v>0.11193590740540671</v>
      </c>
      <c r="AC135" s="84">
        <f>'CC70 - Valores'!T45</f>
        <v>0.11367051241898822</v>
      </c>
      <c r="AD135" s="84">
        <f>'CC70 - Valores'!U45</f>
        <v>0.11519184652730488</v>
      </c>
      <c r="AE135" s="84">
        <f>'CC70 - Valores'!V45</f>
        <v>0.11654056657928055</v>
      </c>
      <c r="AF135" s="84">
        <f>'CC70 - Valores'!W45</f>
        <v>0.11842131410294118</v>
      </c>
      <c r="AG135" s="84">
        <f>'CC70 - Valores'!X45</f>
        <v>0.120179993811025</v>
      </c>
      <c r="AH135" s="84">
        <f>'CC70 - Valores'!Y45</f>
        <v>0.12185519104854446</v>
      </c>
      <c r="AI135" s="84">
        <f>'CC70 - Valores'!Z45</f>
        <v>0.12348406587589755</v>
      </c>
      <c r="AJ135" s="84">
        <f>'CC70 - Valores'!AA45</f>
        <v>0.12491843463897363</v>
      </c>
      <c r="AK135" s="84">
        <f>'CC70 - Valores'!AB45</f>
        <v>0.12650603295672</v>
      </c>
      <c r="AL135" s="84">
        <f>'CC70 - Valores'!AC45</f>
        <v>0.12798279042284499</v>
      </c>
      <c r="AM135" s="84">
        <f>'CC70 - Valores'!AD45</f>
        <v>0.12966484541232248</v>
      </c>
      <c r="AN135" s="84">
        <f>'CC70 - Valores'!AE45</f>
        <v>0.1311580007691035</v>
      </c>
      <c r="AO135" s="84">
        <f>'CC70 - Valores'!AF45</f>
        <v>0.13261060143410713</v>
      </c>
      <c r="AP135" s="84">
        <f>'CC70 - Valores'!AG45</f>
        <v>0.13406672482555371</v>
      </c>
      <c r="AQ135" s="84">
        <f>'CC70 - Valores'!AH45</f>
        <v>0.13550979609551178</v>
      </c>
      <c r="AR135" s="84">
        <f>'CC70 - Valores'!AI45</f>
        <v>0.13703354831802844</v>
      </c>
      <c r="AS135" s="84">
        <f>'CC70 - Valores'!AJ45</f>
        <v>0.13846951425634232</v>
      </c>
      <c r="AT135" s="84">
        <f>'CC70 - Valores'!AK45</f>
        <v>0.13988851037612757</v>
      </c>
      <c r="AU135" s="84">
        <f>'CC70 - Valores'!AL45</f>
        <v>0.14130574335522011</v>
      </c>
      <c r="AV135" s="84">
        <f>'CC70 - Valores'!AM45</f>
        <v>0.14270638770403313</v>
      </c>
      <c r="AW135" s="84">
        <f>'CC70 - Valores'!AN45</f>
        <v>0.14410556769329874</v>
      </c>
      <c r="AX135" s="84">
        <f>'CC70 - Valores'!AO45</f>
        <v>0.14545892631178414</v>
      </c>
      <c r="AY135" s="84">
        <f>'CC70 - Valores'!AP45</f>
        <v>0.14679718549771986</v>
      </c>
      <c r="AZ135" s="84">
        <f>'CC70 - Valores'!AQ45</f>
        <v>0.14811908597774906</v>
      </c>
      <c r="BA135" s="84">
        <f>'CC70 - Valores'!AR45</f>
        <v>0.14942007984579025</v>
      </c>
      <c r="BB135" s="84">
        <f>'CC70 - Valores'!AS45</f>
        <v>0.15069610153488208</v>
      </c>
      <c r="BC135" s="84">
        <f>'CC70 - Valores'!AT45</f>
        <v>0.15194916980314371</v>
      </c>
      <c r="BD135" s="84">
        <f>'CC70 - Valores'!AU45</f>
        <v>0.15317983549397785</v>
      </c>
      <c r="BE135" s="84">
        <f>'CC70 - Valores'!AV45</f>
        <v>0.15438774445138004</v>
      </c>
      <c r="BF135" s="84">
        <f>'CC70 - Valores'!AW45</f>
        <v>0.15557028645738633</v>
      </c>
      <c r="BG135" s="84">
        <f>'CC70 - Valores'!AX45</f>
        <v>0.15672675322894603</v>
      </c>
      <c r="BH135" s="84">
        <f>'CC70 - Valores'!AY45</f>
        <v>0.15785566972098669</v>
      </c>
      <c r="BI135" s="84">
        <f>'CC70 - Valores'!AZ45</f>
        <v>0.15895804205883041</v>
      </c>
      <c r="BJ135" s="84">
        <f>'CC70 - Valores'!BA45</f>
        <v>0.16003301121665114</v>
      </c>
      <c r="BK135" s="84">
        <f>'CC70 - Valores'!BB45</f>
        <v>0.16107969885598664</v>
      </c>
    </row>
    <row r="136" spans="1:65" ht="25.8" x14ac:dyDescent="0.3">
      <c r="A136" s="386"/>
      <c r="B136" t="s">
        <v>402</v>
      </c>
      <c r="C136" s="104"/>
      <c r="D136" s="103"/>
      <c r="E136" s="103"/>
      <c r="F136" s="103"/>
      <c r="G136" s="103"/>
      <c r="H136" s="359"/>
      <c r="I136" s="359"/>
      <c r="J136" s="359"/>
      <c r="K136" s="82">
        <f t="shared" si="80"/>
        <v>2.1217E-2</v>
      </c>
      <c r="L136" s="82">
        <f t="shared" ref="L136:O136" si="89">L120</f>
        <v>2.3028E-2</v>
      </c>
      <c r="M136" s="82">
        <f t="shared" si="89"/>
        <v>3.3656999999999999E-2</v>
      </c>
      <c r="N136" s="82">
        <f t="shared" si="89"/>
        <v>2.7061000000000002E-2</v>
      </c>
      <c r="O136" s="82">
        <f t="shared" si="89"/>
        <v>1.9469815087454573E-2</v>
      </c>
      <c r="P136" s="84">
        <f>'CC70 - Valores'!G46</f>
        <v>2.3147915967647342E-2</v>
      </c>
      <c r="Q136" s="84">
        <f>'CC70 - Valores'!H46</f>
        <v>3.1607871657460269E-2</v>
      </c>
      <c r="R136" s="84">
        <f>'CC70 - Valores'!I46</f>
        <v>4.0144587760213568E-2</v>
      </c>
      <c r="S136" s="84">
        <f>'CC70 - Valores'!J46</f>
        <v>4.8758064275907245E-2</v>
      </c>
      <c r="T136" s="84">
        <f>'CC70 - Valores'!K46</f>
        <v>5.7448301204541294E-2</v>
      </c>
      <c r="U136" s="84">
        <f>'CC70 - Valores'!L46</f>
        <v>6.6215298546115714E-2</v>
      </c>
      <c r="V136" s="84">
        <f>'CC70 - Valores'!M46</f>
        <v>7.5059056300630506E-2</v>
      </c>
      <c r="W136" s="84">
        <f>'CC70 - Valores'!N46</f>
        <v>8.3979574468085655E-2</v>
      </c>
      <c r="X136" s="84">
        <f>'CC70 - Valores'!O46</f>
        <v>8.4589404787234576E-2</v>
      </c>
      <c r="Y136" s="84">
        <f>'CC70 - Valores'!P46</f>
        <v>8.5201321276596284E-2</v>
      </c>
      <c r="Z136" s="84">
        <f>'CC70 - Valores'!Q46</f>
        <v>8.5815323936170723E-2</v>
      </c>
      <c r="AA136" s="84">
        <f>'CC70 - Valores'!R46</f>
        <v>8.6431412765957949E-2</v>
      </c>
      <c r="AB136" s="84">
        <f>'CC70 - Valores'!S46</f>
        <v>8.7049587765957948E-2</v>
      </c>
      <c r="AC136" s="84">
        <f>'CC70 - Valores'!T46</f>
        <v>8.7669848936170691E-2</v>
      </c>
      <c r="AD136" s="84">
        <f>'CC70 - Valores'!U46</f>
        <v>8.8292196276596221E-2</v>
      </c>
      <c r="AE136" s="84">
        <f>'CC70 - Valores'!V46</f>
        <v>8.8916629787234497E-2</v>
      </c>
      <c r="AF136" s="84">
        <f>'CC70 - Valores'!W46</f>
        <v>8.9543149468085545E-2</v>
      </c>
      <c r="AG136" s="84">
        <f>'CC70 - Valores'!X46</f>
        <v>9.0171755319149366E-2</v>
      </c>
      <c r="AH136" s="84">
        <f>'CC70 - Valores'!Y46</f>
        <v>9.0802447340425946E-2</v>
      </c>
      <c r="AI136" s="84">
        <f>'CC70 - Valores'!Z46</f>
        <v>9.1435225531915298E-2</v>
      </c>
      <c r="AJ136" s="84">
        <f>'CC70 - Valores'!AA46</f>
        <v>9.207008989361741E-2</v>
      </c>
      <c r="AK136" s="84">
        <f>'CC70 - Valores'!AB46</f>
        <v>9.2707040425532294E-2</v>
      </c>
      <c r="AL136" s="84">
        <f>'CC70 - Valores'!AC46</f>
        <v>9.3346077127659938E-2</v>
      </c>
      <c r="AM136" s="84">
        <f>'CC70 - Valores'!AD46</f>
        <v>9.3987200000000354E-2</v>
      </c>
      <c r="AN136" s="84">
        <f>'CC70 - Valores'!AE46</f>
        <v>9.4630409042553529E-2</v>
      </c>
      <c r="AO136" s="84">
        <f>'CC70 - Valores'!AF46</f>
        <v>9.5275704255319463E-2</v>
      </c>
      <c r="AP136" s="84">
        <f>'CC70 - Valores'!AG46</f>
        <v>9.5923085638298183E-2</v>
      </c>
      <c r="AQ136" s="84">
        <f>'CC70 - Valores'!AH46</f>
        <v>9.6572553191489663E-2</v>
      </c>
      <c r="AR136" s="84">
        <f>'CC70 - Valores'!AI46</f>
        <v>9.7224106914893915E-2</v>
      </c>
      <c r="AS136" s="84">
        <f>'CC70 - Valores'!AJ46</f>
        <v>9.7877746808510899E-2</v>
      </c>
      <c r="AT136" s="84">
        <f>'CC70 - Valores'!AK46</f>
        <v>9.8533472872340683E-2</v>
      </c>
      <c r="AU136" s="84">
        <f>'CC70 - Valores'!AL46</f>
        <v>9.9191285106383226E-2</v>
      </c>
      <c r="AV136" s="84">
        <f>'CC70 - Valores'!AM46</f>
        <v>9.9851183510638514E-2</v>
      </c>
      <c r="AW136" s="84">
        <f>'CC70 - Valores'!AN46</f>
        <v>0.1005131680851066</v>
      </c>
      <c r="AX136" s="84">
        <f>'CC70 - Valores'!AO46</f>
        <v>0.10117723882978744</v>
      </c>
      <c r="AY136" s="84">
        <f>'CC70 - Valores'!AP46</f>
        <v>0.10184339574468106</v>
      </c>
      <c r="AZ136" s="84">
        <f>'CC70 - Valores'!AQ46</f>
        <v>0.10251163882978741</v>
      </c>
      <c r="BA136" s="84">
        <f>'CC70 - Valores'!AR46</f>
        <v>0.10318196808510655</v>
      </c>
      <c r="BB136" s="84">
        <f>'CC70 - Valores'!AS46</f>
        <v>0.10385438351063846</v>
      </c>
      <c r="BC136" s="84">
        <f>'CC70 - Valores'!AT46</f>
        <v>0.1045288851063831</v>
      </c>
      <c r="BD136" s="84">
        <f>'CC70 - Valores'!AU46</f>
        <v>0.10520547287234054</v>
      </c>
      <c r="BE136" s="84">
        <f>'CC70 - Valores'!AV46</f>
        <v>0.10588414680851074</v>
      </c>
      <c r="BF136" s="84">
        <f>'CC70 - Valores'!AW46</f>
        <v>0.10656490691489369</v>
      </c>
      <c r="BG136" s="84">
        <f>'CC70 - Valores'!AX46</f>
        <v>0.10724775319148944</v>
      </c>
      <c r="BH136" s="84">
        <f>'CC70 - Valores'!AY46</f>
        <v>0.10793268563829793</v>
      </c>
      <c r="BI136" s="84">
        <f>'CC70 - Valores'!AZ46</f>
        <v>0.10861970425531918</v>
      </c>
      <c r="BJ136" s="84">
        <f>'CC70 - Valores'!BA46</f>
        <v>0.10930880904255322</v>
      </c>
      <c r="BK136" s="84">
        <f>'CC70 - Valores'!BB46</f>
        <v>0.11000000000000001</v>
      </c>
    </row>
    <row r="137" spans="1:65" s="396" customFormat="1" x14ac:dyDescent="0.3">
      <c r="A137" s="386"/>
      <c r="B137" s="396" t="s">
        <v>403</v>
      </c>
      <c r="C137" s="400"/>
      <c r="D137" s="400"/>
      <c r="E137" s="400"/>
      <c r="F137" s="400"/>
      <c r="G137" s="400"/>
      <c r="H137" s="401"/>
      <c r="I137" s="401"/>
      <c r="J137" s="401"/>
      <c r="K137" s="399">
        <f t="shared" si="80"/>
        <v>0.34609299999999998</v>
      </c>
      <c r="L137" s="399">
        <f t="shared" ref="L137:O137" si="90">L121</f>
        <v>0.34520899999999999</v>
      </c>
      <c r="M137" s="399">
        <f t="shared" si="90"/>
        <v>0.47258600000000001</v>
      </c>
      <c r="N137" s="399">
        <f t="shared" si="90"/>
        <v>0.34095900000000001</v>
      </c>
      <c r="O137" s="399">
        <f t="shared" si="90"/>
        <v>0.39773316804241943</v>
      </c>
      <c r="P137" s="402">
        <f>'CC70 - Valores'!G47</f>
        <v>0.42711323523978317</v>
      </c>
      <c r="Q137" s="402">
        <f>'CC70 - Valores'!H47</f>
        <v>0.45361493878976472</v>
      </c>
      <c r="R137" s="402">
        <f>'CC70 - Valores'!I47</f>
        <v>0.45487408744651103</v>
      </c>
      <c r="S137" s="402">
        <f>'CC70 - Valores'!J47</f>
        <v>0.48268214911254842</v>
      </c>
      <c r="T137" s="402">
        <f>'CC70 - Valores'!K47</f>
        <v>0.49520295384811891</v>
      </c>
      <c r="U137" s="402">
        <f>'CC70 - Valores'!L47</f>
        <v>0.50829219002909665</v>
      </c>
      <c r="V137" s="402">
        <f>'CC70 - Valores'!M47</f>
        <v>0.52003013735046777</v>
      </c>
      <c r="W137" s="402">
        <f>'CC70 - Valores'!N47</f>
        <v>0.53369122166327976</v>
      </c>
      <c r="X137" s="402">
        <f>'CC70 - Valores'!O47</f>
        <v>0.5276189419519568</v>
      </c>
      <c r="Y137" s="402">
        <f>'CC70 - Valores'!P47</f>
        <v>0.53799924969098589</v>
      </c>
      <c r="Z137" s="402">
        <f>'CC70 - Valores'!Q47</f>
        <v>0.55045818155151771</v>
      </c>
      <c r="AA137" s="402">
        <f>'CC70 - Valores'!R47</f>
        <v>0.55972846031485157</v>
      </c>
      <c r="AB137" s="402">
        <f>'CC70 - Valores'!S47</f>
        <v>0.56863935566601342</v>
      </c>
      <c r="AC137" s="402">
        <f>'CC70 - Valores'!T47</f>
        <v>0.57728752496112778</v>
      </c>
      <c r="AD137" s="402">
        <f>'CC70 - Valores'!U47</f>
        <v>0.58485498242023615</v>
      </c>
      <c r="AE137" s="402">
        <f>'CC70 - Valores'!V47</f>
        <v>0.5915487890075144</v>
      </c>
      <c r="AF137" s="402">
        <f>'CC70 - Valores'!W47</f>
        <v>0.60090793559311184</v>
      </c>
      <c r="AG137" s="402">
        <f>'CC70 - Valores'!X47</f>
        <v>0.6096444475754782</v>
      </c>
      <c r="AH137" s="402">
        <f>'CC70 - Valores'!Y47</f>
        <v>0.6179532182951859</v>
      </c>
      <c r="AI137" s="402">
        <f>'CC70 - Valores'!Z47</f>
        <v>0.62602118598573187</v>
      </c>
      <c r="AJ137" s="402">
        <f>'CC70 - Valores'!AA47</f>
        <v>0.63310810587105426</v>
      </c>
      <c r="AK137" s="402">
        <f>'CC70 - Valores'!AB47</f>
        <v>0.64095298799802791</v>
      </c>
      <c r="AL137" s="402">
        <f>'CC70 - Valores'!AC47</f>
        <v>0.64823596423705321</v>
      </c>
      <c r="AM137" s="402">
        <f>'CC70 - Valores'!AD47</f>
        <v>0.6565336956608856</v>
      </c>
      <c r="AN137" s="402">
        <f>'CC70 - Valores'!AE47</f>
        <v>0.66388056166224985</v>
      </c>
      <c r="AO137" s="402">
        <f>'CC70 - Valores'!AF47</f>
        <v>0.67101680072678671</v>
      </c>
      <c r="AP137" s="402">
        <f>'CC70 - Valores'!AG47</f>
        <v>0.67816167120155402</v>
      </c>
      <c r="AQ137" s="402">
        <f>'CC70 - Valores'!AH47</f>
        <v>0.68523260474600589</v>
      </c>
      <c r="AR137" s="402">
        <f>'CC70 - Valores'!AI47</f>
        <v>0.69269388001482546</v>
      </c>
      <c r="AS137" s="402">
        <f>'CC70 - Valores'!AJ47</f>
        <v>0.69970994214582438</v>
      </c>
      <c r="AT137" s="402">
        <f>'CC70 - Valores'!AK47</f>
        <v>0.70663195875948259</v>
      </c>
      <c r="AU137" s="402">
        <f>'CC70 - Valores'!AL47</f>
        <v>0.71353487563938045</v>
      </c>
      <c r="AV137" s="402">
        <f>'CC70 - Valores'!AM47</f>
        <v>0.72034516488858535</v>
      </c>
      <c r="AW137" s="402">
        <f>'CC70 - Valores'!AN47</f>
        <v>0.72713714821084363</v>
      </c>
      <c r="AX137" s="402">
        <f>'CC70 - Valores'!AO47</f>
        <v>0.73369216879426258</v>
      </c>
      <c r="AY137" s="402">
        <f>'CC70 - Valores'!AP47</f>
        <v>0.74016150593425412</v>
      </c>
      <c r="AZ137" s="402">
        <f>'CC70 - Valores'!AQ47</f>
        <v>0.74653874803615128</v>
      </c>
      <c r="BA137" s="402">
        <f>'CC70 - Valores'!AR47</f>
        <v>0.75280138632801052</v>
      </c>
      <c r="BB137" s="402">
        <f>'CC70 - Valores'!AS47</f>
        <v>0.75892937609871713</v>
      </c>
      <c r="BC137" s="402">
        <f>'CC70 - Valores'!AT47</f>
        <v>0.76493250294457094</v>
      </c>
      <c r="BD137" s="402">
        <f>'CC70 - Valores'!AU47</f>
        <v>0.77081332521319579</v>
      </c>
      <c r="BE137" s="402">
        <f>'CC70 - Valores'!AV47</f>
        <v>0.77656996504246489</v>
      </c>
      <c r="BF137" s="402">
        <f>'CC70 - Valores'!AW47</f>
        <v>0.78218956245608517</v>
      </c>
      <c r="BG137" s="402">
        <f>'CC70 - Valores'!AX47</f>
        <v>0.78766856252531947</v>
      </c>
      <c r="BH137" s="402">
        <f>'CC70 - Valores'!AY47</f>
        <v>0.79299969918267377</v>
      </c>
      <c r="BI137" s="402">
        <f>'CC70 - Valores'!AZ47</f>
        <v>0.79818776399091351</v>
      </c>
      <c r="BJ137" s="402">
        <f>'CC70 - Valores'!BA47</f>
        <v>0.80322848581888995</v>
      </c>
      <c r="BK137" s="402">
        <f>'CC70 - Valores'!BB47</f>
        <v>0.80811751661511366</v>
      </c>
      <c r="BM137" s="396">
        <f>100*(BK137-BK121)/BK121</f>
        <v>5.3277525509816757E-2</v>
      </c>
    </row>
    <row r="138" spans="1:65" x14ac:dyDescent="0.3">
      <c r="A138" s="386"/>
      <c r="B138" t="s">
        <v>404</v>
      </c>
      <c r="C138" s="276"/>
      <c r="D138" s="276"/>
      <c r="E138" s="276"/>
      <c r="F138" s="276"/>
      <c r="G138" s="276"/>
      <c r="H138" s="128"/>
      <c r="I138" s="359"/>
      <c r="J138" s="359"/>
      <c r="K138" s="82">
        <f t="shared" si="80"/>
        <v>0.99488900000000002</v>
      </c>
      <c r="L138" s="82">
        <f t="shared" ref="L138:O138" si="91">L122</f>
        <v>1.0141230000000001</v>
      </c>
      <c r="M138" s="82">
        <f t="shared" si="91"/>
        <v>1.069938660863619</v>
      </c>
      <c r="N138" s="82">
        <f t="shared" si="91"/>
        <v>1.2147110000000001</v>
      </c>
      <c r="O138" s="82">
        <f t="shared" si="91"/>
        <v>1.4325464089448898</v>
      </c>
      <c r="P138" s="84">
        <f>'CC70 - Valores'!G48</f>
        <v>1.1154268296438143</v>
      </c>
      <c r="Q138" s="84">
        <f>'CC70 - Valores'!H48</f>
        <v>1.1878325686095563</v>
      </c>
      <c r="R138" s="84">
        <f>'CC70 - Valores'!I48</f>
        <v>1.1941502233120946</v>
      </c>
      <c r="S138" s="84">
        <f>'CC70 - Valores'!J48</f>
        <v>1.2707620466187954</v>
      </c>
      <c r="T138" s="84">
        <f>'CC70 - Valores'!K48</f>
        <v>1.3072789623598691</v>
      </c>
      <c r="U138" s="84">
        <f>'CC70 - Valores'!L48</f>
        <v>1.345544061181094</v>
      </c>
      <c r="V138" s="84">
        <f>'CC70 - Valores'!M48</f>
        <v>1.3804280317567779</v>
      </c>
      <c r="W138" s="84">
        <f>'CC70 - Valores'!N48</f>
        <v>1.4207155113586483</v>
      </c>
      <c r="X138" s="84">
        <f>'CC70 - Valores'!O48</f>
        <v>1.4078130132716264</v>
      </c>
      <c r="Y138" s="84">
        <f>'CC70 - Valores'!P48</f>
        <v>1.4394718510510223</v>
      </c>
      <c r="Z138" s="84">
        <f>'CC70 - Valores'!Q48</f>
        <v>1.476993076296925</v>
      </c>
      <c r="AA138" s="84">
        <f>'CC70 - Valores'!R48</f>
        <v>1.5060182745632531</v>
      </c>
      <c r="AB138" s="84">
        <f>'CC70 - Valores'!S48</f>
        <v>1.5342233803354719</v>
      </c>
      <c r="AC138" s="84">
        <f>'CC70 - Valores'!T48</f>
        <v>1.5618648771306272</v>
      </c>
      <c r="AD138" s="84">
        <f>'CC70 - Valores'!U48</f>
        <v>1.5866633646486579</v>
      </c>
      <c r="AE138" s="84">
        <f>'CC70 - Valores'!V48</f>
        <v>1.6091596713876704</v>
      </c>
      <c r="AF138" s="84">
        <f>'CC70 - Valores'!W48</f>
        <v>1.6392384638218336</v>
      </c>
      <c r="AG138" s="84">
        <f>'CC70 - Valores'!X48</f>
        <v>1.6677487194141767</v>
      </c>
      <c r="AH138" s="84">
        <f>'CC70 - Valores'!Y48</f>
        <v>1.6952201512707719</v>
      </c>
      <c r="AI138" s="84">
        <f>'CC70 - Valores'!Z48</f>
        <v>1.7221698255121951</v>
      </c>
      <c r="AJ138" s="84">
        <f>'CC70 - Valores'!AA48</f>
        <v>1.7464797275234654</v>
      </c>
      <c r="AK138" s="84">
        <f>'CC70 - Valores'!AB48</f>
        <v>1.7730971830216946</v>
      </c>
      <c r="AL138" s="84">
        <f>'CC70 - Valores'!AC48</f>
        <v>1.7982555446944353</v>
      </c>
      <c r="AM138" s="84">
        <f>'CC70 - Valores'!AD48</f>
        <v>1.8264931280320686</v>
      </c>
      <c r="AN138" s="84">
        <f>'CC70 - Valores'!AE48</f>
        <v>1.8521445437587714</v>
      </c>
      <c r="AO138" s="84">
        <f>'CC70 - Valores'!AF48</f>
        <v>1.8773345916797735</v>
      </c>
      <c r="AP138" s="84">
        <f>'CC70 - Valores'!AG48</f>
        <v>1.9026999562513822</v>
      </c>
      <c r="AQ138" s="84">
        <f>'CC70 - Valores'!AH48</f>
        <v>1.9280003679672779</v>
      </c>
      <c r="AR138" s="84">
        <f>'CC70 - Valores'!AI48</f>
        <v>1.9546089501820014</v>
      </c>
      <c r="AS138" s="84">
        <f>'CC70 - Valores'!AJ48</f>
        <v>1.9800624586981728</v>
      </c>
      <c r="AT138" s="84">
        <f>'CC70 - Valores'!AK48</f>
        <v>2.0053941340825556</v>
      </c>
      <c r="AU138" s="84">
        <f>'CC70 - Valores'!AL48</f>
        <v>2.0308283011710548</v>
      </c>
      <c r="AV138" s="84">
        <f>'CC70 - Valores'!AM48</f>
        <v>2.0561462179107219</v>
      </c>
      <c r="AW138" s="84">
        <f>'CC70 - Valores'!AN48</f>
        <v>2.0815727068990189</v>
      </c>
      <c r="AX138" s="84">
        <f>'CC70 - Valores'!AO48</f>
        <v>2.1064457501763627</v>
      </c>
      <c r="AY138" s="84">
        <f>'CC70 - Valores'!AP48</f>
        <v>2.1312214551153423</v>
      </c>
      <c r="AZ138" s="84">
        <f>'CC70 - Valores'!AQ48</f>
        <v>2.1558804921094961</v>
      </c>
      <c r="BA138" s="84">
        <f>'CC70 - Valores'!AR48</f>
        <v>2.1803535764826392</v>
      </c>
      <c r="BB138" s="84">
        <f>'CC70 - Valores'!AS48</f>
        <v>2.204577812353218</v>
      </c>
      <c r="BC138" s="84">
        <f>'CC70 - Valores'!AT48</f>
        <v>2.228582122077833</v>
      </c>
      <c r="BD138" s="84">
        <f>'CC70 - Valores'!AU48</f>
        <v>2.2523734549337679</v>
      </c>
      <c r="BE138" s="84">
        <f>'CC70 - Valores'!AV48</f>
        <v>2.2759450279769795</v>
      </c>
      <c r="BF138" s="84">
        <f>'CC70 - Valores'!AW48</f>
        <v>2.2992552854983814</v>
      </c>
      <c r="BG138" s="84">
        <f>'CC70 - Valores'!AX48</f>
        <v>2.3222915056437472</v>
      </c>
      <c r="BH138" s="84">
        <f>'CC70 - Valores'!AY48</f>
        <v>2.3450289472436308</v>
      </c>
      <c r="BI138" s="84">
        <f>'CC70 - Valores'!AZ48</f>
        <v>2.3674811625156589</v>
      </c>
      <c r="BJ138" s="84">
        <f>'CC70 - Valores'!BA48</f>
        <v>2.3896328251953016</v>
      </c>
      <c r="BK138" s="84">
        <f>'CC70 - Valores'!BB48</f>
        <v>2.4114681323214948</v>
      </c>
    </row>
    <row r="139" spans="1:65" x14ac:dyDescent="0.3">
      <c r="A139" s="386"/>
      <c r="B139" t="s">
        <v>405</v>
      </c>
      <c r="C139" s="276"/>
      <c r="D139" s="276"/>
      <c r="E139" s="276"/>
      <c r="F139" s="276"/>
      <c r="G139" s="276"/>
      <c r="H139" s="128"/>
      <c r="I139" s="359"/>
      <c r="J139" s="359"/>
      <c r="K139" s="82">
        <f t="shared" si="80"/>
        <v>0.25402035975334397</v>
      </c>
      <c r="L139" s="82">
        <f t="shared" ref="L139:O139" si="92">L123</f>
        <v>0.24377087877727277</v>
      </c>
      <c r="M139" s="82">
        <f t="shared" si="92"/>
        <v>0.24379678429693205</v>
      </c>
      <c r="N139" s="82">
        <f t="shared" si="92"/>
        <v>0.19723267877640868</v>
      </c>
      <c r="O139" s="82">
        <f t="shared" si="92"/>
        <v>0.20503022433716797</v>
      </c>
      <c r="P139" s="84">
        <f>'CC70 - Valores'!G49</f>
        <v>0.16180655663212384</v>
      </c>
      <c r="Q139" s="84">
        <f>'CC70 - Valores'!H49</f>
        <v>0.17273787628267953</v>
      </c>
      <c r="R139" s="84">
        <f>'CC70 - Valores'!I49</f>
        <v>0.17402101189234598</v>
      </c>
      <c r="S139" s="84">
        <f>'CC70 - Valores'!J49</f>
        <v>0.18570830997551013</v>
      </c>
      <c r="T139" s="84">
        <f>'CC70 - Valores'!K49</f>
        <v>0.19152782706075305</v>
      </c>
      <c r="U139" s="84">
        <f>'CC70 - Valores'!L49</f>
        <v>0.19764920876108424</v>
      </c>
      <c r="V139" s="84">
        <f>'CC70 - Valores'!M49</f>
        <v>0.20330310187831291</v>
      </c>
      <c r="W139" s="84">
        <f>'CC70 - Valores'!N49</f>
        <v>0.20981583668532844</v>
      </c>
      <c r="X139" s="84">
        <f>'CC70 - Valores'!O49</f>
        <v>0.20823748724310054</v>
      </c>
      <c r="Y139" s="84">
        <f>'CC70 - Valores'!P49</f>
        <v>0.21346771152160884</v>
      </c>
      <c r="Z139" s="84">
        <f>'CC70 - Valores'!Q49</f>
        <v>0.21963444497493842</v>
      </c>
      <c r="AA139" s="84">
        <f>'CC70 - Valores'!R49</f>
        <v>0.22452479538867481</v>
      </c>
      <c r="AB139" s="84">
        <f>'CC70 - Valores'!S49</f>
        <v>0.22931452998429436</v>
      </c>
      <c r="AC139" s="84">
        <f>'CC70 - Valores'!T49</f>
        <v>0.23404194189360528</v>
      </c>
      <c r="AD139" s="84">
        <f>'CC70 - Valores'!U49</f>
        <v>0.2383454354727968</v>
      </c>
      <c r="AE139" s="84">
        <f>'CC70 - Valores'!V49</f>
        <v>0.2423036865009901</v>
      </c>
      <c r="AF139" s="84">
        <f>'CC70 - Valores'!W49</f>
        <v>0.24749047637084626</v>
      </c>
      <c r="AG139" s="84">
        <f>'CC70 - Valores'!X49</f>
        <v>0.25245602854812471</v>
      </c>
      <c r="AH139" s="84">
        <f>'CC70 - Valores'!Y49</f>
        <v>0.2572818288684513</v>
      </c>
      <c r="AI139" s="84">
        <f>'CC70 - Valores'!Z49</f>
        <v>0.26204937250904614</v>
      </c>
      <c r="AJ139" s="84">
        <f>'CC70 - Valores'!AA49</f>
        <v>0.26641117377737539</v>
      </c>
      <c r="AK139" s="84">
        <f>'CC70 - Valores'!AB49</f>
        <v>0.27117393386693156</v>
      </c>
      <c r="AL139" s="84">
        <f>'CC70 - Valores'!AC49</f>
        <v>0.27572151472614426</v>
      </c>
      <c r="AM139" s="84">
        <f>'CC70 - Valores'!AD49</f>
        <v>0.28080484512756454</v>
      </c>
      <c r="AN139" s="84">
        <f>'CC70 - Valores'!AE49</f>
        <v>0.285485547749254</v>
      </c>
      <c r="AO139" s="84">
        <f>'CC70 - Valores'!AF49</f>
        <v>0.29011414939008706</v>
      </c>
      <c r="AP139" s="84">
        <f>'CC70 - Valores'!AG49</f>
        <v>0.29479736551074553</v>
      </c>
      <c r="AQ139" s="84">
        <f>'CC70 - Valores'!AH49</f>
        <v>0.29949515584873976</v>
      </c>
      <c r="AR139" s="84">
        <f>'CC70 - Valores'!AI49</f>
        <v>0.30444259953095931</v>
      </c>
      <c r="AS139" s="84">
        <f>'CC70 - Valores'!AJ49</f>
        <v>0.30922049206271013</v>
      </c>
      <c r="AT139" s="84">
        <f>'CC70 - Valores'!AK49</f>
        <v>0.31400472999828916</v>
      </c>
      <c r="AU139" s="84">
        <f>'CC70 - Valores'!AL49</f>
        <v>0.31883456482094408</v>
      </c>
      <c r="AV139" s="84">
        <f>'CC70 - Valores'!AM49</f>
        <v>0.32367268878477717</v>
      </c>
      <c r="AW139" s="84">
        <f>'CC70 - Valores'!AN49</f>
        <v>0.32855895172698468</v>
      </c>
      <c r="AX139" s="84">
        <f>'CC70 - Valores'!AO49</f>
        <v>0.33337735397916812</v>
      </c>
      <c r="AY139" s="84">
        <f>'CC70 - Valores'!AP49</f>
        <v>0.33820807146108167</v>
      </c>
      <c r="AZ139" s="84">
        <f>'CC70 - Valores'!AQ49</f>
        <v>0.34304812082779823</v>
      </c>
      <c r="BA139" s="84">
        <f>'CC70 - Valores'!AR49</f>
        <v>0.34788549573258587</v>
      </c>
      <c r="BB139" s="84">
        <f>'CC70 - Valores'!AS49</f>
        <v>0.3527090993059952</v>
      </c>
      <c r="BC139" s="84">
        <f>'CC70 - Valores'!AT49</f>
        <v>0.35752429482973469</v>
      </c>
      <c r="BD139" s="84">
        <f>'CC70 - Valores'!AU49</f>
        <v>0.36233257309170863</v>
      </c>
      <c r="BE139" s="84">
        <f>'CC70 - Valores'!AV49</f>
        <v>0.3671329570558049</v>
      </c>
      <c r="BF139" s="84">
        <f>'CC70 - Valores'!AW49</f>
        <v>0.37191804663019451</v>
      </c>
      <c r="BG139" s="84">
        <f>'CC70 - Valores'!AX49</f>
        <v>0.37668565477001198</v>
      </c>
      <c r="BH139" s="84">
        <f>'CC70 - Valores'!AY49</f>
        <v>0.38143132349598929</v>
      </c>
      <c r="BI139" s="84">
        <f>'CC70 - Valores'!AZ49</f>
        <v>0.38615770797075788</v>
      </c>
      <c r="BJ139" s="84">
        <f>'CC70 - Valores'!BA49</f>
        <v>0.39086209089985346</v>
      </c>
      <c r="BK139" s="84">
        <f>'CC70 - Valores'!BB49</f>
        <v>0.39554162492357103</v>
      </c>
    </row>
    <row r="140" spans="1:65" x14ac:dyDescent="0.3">
      <c r="A140" s="386"/>
      <c r="B140" t="s">
        <v>406</v>
      </c>
      <c r="C140" s="277"/>
      <c r="D140" s="277"/>
      <c r="E140" s="277"/>
      <c r="F140" s="277"/>
      <c r="G140" s="277"/>
      <c r="H140" s="356"/>
      <c r="I140" s="356"/>
      <c r="J140" s="356"/>
      <c r="K140" s="82">
        <f t="shared" si="80"/>
        <v>0.50568682919999997</v>
      </c>
      <c r="L140" s="82">
        <f t="shared" ref="L140:O140" si="93">L124</f>
        <v>0.5241654161</v>
      </c>
      <c r="M140" s="82">
        <f t="shared" si="93"/>
        <v>0.39211125349999998</v>
      </c>
      <c r="N140" s="82">
        <f t="shared" si="93"/>
        <v>0.43874862749999999</v>
      </c>
      <c r="O140" s="82">
        <f t="shared" si="93"/>
        <v>0.33956945422631124</v>
      </c>
      <c r="P140" s="84">
        <f>'CC70 - Valores'!G50</f>
        <v>0.40863166872674972</v>
      </c>
      <c r="Q140" s="84">
        <f>'CC70 - Valores'!H50</f>
        <v>0.4359622804338652</v>
      </c>
      <c r="R140" s="84">
        <f>'CC70 - Valores'!I50</f>
        <v>0.43910507816506783</v>
      </c>
      <c r="S140" s="84">
        <f>'CC70 - Valores'!J50</f>
        <v>0.46812500383086042</v>
      </c>
      <c r="T140" s="84">
        <f>'CC70 - Valores'!K50</f>
        <v>0.48246263198576056</v>
      </c>
      <c r="U140" s="84">
        <f>'CC70 - Valores'!L50</f>
        <v>0.49749273955935214</v>
      </c>
      <c r="V140" s="84">
        <f>'CC70 - Valores'!M50</f>
        <v>0.51132240871648904</v>
      </c>
      <c r="W140" s="84">
        <f>'CC70 - Valores'!N50</f>
        <v>0.52719721498104088</v>
      </c>
      <c r="X140" s="84">
        <f>'CC70 - Valores'!O50</f>
        <v>0.52340930134454622</v>
      </c>
      <c r="Y140" s="84">
        <f>'CC70 - Valores'!P50</f>
        <v>0.53615479782986442</v>
      </c>
      <c r="Z140" s="84">
        <f>'CC70 - Valores'!Q50</f>
        <v>0.55112185260351032</v>
      </c>
      <c r="AA140" s="84">
        <f>'CC70 - Valores'!R50</f>
        <v>0.56297325168039858</v>
      </c>
      <c r="AB140" s="84">
        <f>'CC70 - Valores'!S50</f>
        <v>0.57455757083610937</v>
      </c>
      <c r="AC140" s="84">
        <f>'CC70 - Valores'!T50</f>
        <v>0.58596921199322471</v>
      </c>
      <c r="AD140" s="84">
        <f>'CC70 - Valores'!U50</f>
        <v>0.59635480724619128</v>
      </c>
      <c r="AE140" s="84">
        <f>'CC70 - Valores'!V50</f>
        <v>0.60591224230939589</v>
      </c>
      <c r="AF140" s="84">
        <f>'CC70 - Valores'!W50</f>
        <v>0.61834495077813112</v>
      </c>
      <c r="AG140" s="84">
        <f>'CC70 - Valores'!X50</f>
        <v>0.63022805227102152</v>
      </c>
      <c r="AH140" s="84">
        <f>'CC70 - Valores'!Y50</f>
        <v>0.64175823621418071</v>
      </c>
      <c r="AI140" s="84">
        <f>'CC70 - Valores'!Z50</f>
        <v>0.65312852357240003</v>
      </c>
      <c r="AJ140" s="84">
        <f>'CC70 - Valores'!AA50</f>
        <v>0.66353925881371301</v>
      </c>
      <c r="AK140" s="84">
        <f>'CC70 - Valores'!AB50</f>
        <v>0.67485455360276392</v>
      </c>
      <c r="AL140" s="84">
        <f>'CC70 - Valores'!AC50</f>
        <v>0.6856534983728001</v>
      </c>
      <c r="AM140" s="84">
        <f>'CC70 - Valores'!AD50</f>
        <v>0.69765228790345213</v>
      </c>
      <c r="AN140" s="84">
        <f>'CC70 - Valores'!AE50</f>
        <v>0.708707316951386</v>
      </c>
      <c r="AO140" s="84">
        <f>'CC70 - Valores'!AF50</f>
        <v>0.71962126453123854</v>
      </c>
      <c r="AP140" s="84">
        <f>'CC70 - Valores'!AG50</f>
        <v>0.73063538536942552</v>
      </c>
      <c r="AQ140" s="84">
        <f>'CC70 - Valores'!AH50</f>
        <v>0.74165837623890896</v>
      </c>
      <c r="AR140" s="84">
        <f>'CC70 - Valores'!AI50</f>
        <v>0.75321339221855799</v>
      </c>
      <c r="AS140" s="84">
        <f>'CC70 - Valores'!AJ50</f>
        <v>0.76436204357137472</v>
      </c>
      <c r="AT140" s="84">
        <f>'CC70 - Valores'!AK50</f>
        <v>0.77549730533192907</v>
      </c>
      <c r="AU140" s="84">
        <f>'CC70 - Valores'!AL50</f>
        <v>0.78670463573008176</v>
      </c>
      <c r="AV140" s="84">
        <f>'CC70 - Valores'!AM50</f>
        <v>0.79790016488257931</v>
      </c>
      <c r="AW140" s="84">
        <f>'CC70 - Valores'!AN50</f>
        <v>0.80916973570136808</v>
      </c>
      <c r="AX140" s="84">
        <f>'CC70 - Valores'!AO50</f>
        <v>0.8202590004083522</v>
      </c>
      <c r="AY140" s="84">
        <f>'CC70 - Valores'!AP50</f>
        <v>0.83134230467722248</v>
      </c>
      <c r="AZ140" s="84">
        <f>'CC70 - Valores'!AQ50</f>
        <v>0.84241179652512732</v>
      </c>
      <c r="BA140" s="84">
        <f>'CC70 - Valores'!AR50</f>
        <v>0.85344031771884055</v>
      </c>
      <c r="BB140" s="84">
        <f>'CC70 - Valores'!AS50</f>
        <v>0.86440303390507178</v>
      </c>
      <c r="BC140" s="84">
        <f>'CC70 - Valores'!AT50</f>
        <v>0.87531045776064986</v>
      </c>
      <c r="BD140" s="84">
        <f>'CC70 - Valores'!AU50</f>
        <v>0.88616464153974484</v>
      </c>
      <c r="BE140" s="84">
        <f>'CC70 - Valores'!AV50</f>
        <v>0.89696231811160709</v>
      </c>
      <c r="BF140" s="84">
        <f>'CC70 - Valores'!AW50</f>
        <v>0.90768671302482107</v>
      </c>
      <c r="BG140" s="84">
        <f>'CC70 - Valores'!AX50</f>
        <v>0.91833215606687069</v>
      </c>
      <c r="BH140" s="84">
        <f>'CC70 - Valores'!AY50</f>
        <v>0.92888827118785167</v>
      </c>
      <c r="BI140" s="84">
        <f>'CC70 - Valores'!AZ50</f>
        <v>0.93935952177357906</v>
      </c>
      <c r="BJ140" s="84">
        <f>'CC70 - Valores'!BA50</f>
        <v>0.94973913546762434</v>
      </c>
      <c r="BK140" s="84">
        <f>'CC70 - Valores'!BB50</f>
        <v>0.96002011463359016</v>
      </c>
    </row>
    <row r="141" spans="1:65" x14ac:dyDescent="0.3">
      <c r="A141" s="386"/>
      <c r="B141" t="s">
        <v>407</v>
      </c>
      <c r="C141" s="277"/>
      <c r="D141" s="277"/>
      <c r="E141" s="277"/>
      <c r="F141" s="277"/>
      <c r="G141" s="277"/>
      <c r="H141" s="356"/>
      <c r="I141" s="356"/>
      <c r="J141" s="356"/>
      <c r="K141" s="82">
        <f t="shared" si="80"/>
        <v>1.350093</v>
      </c>
      <c r="L141" s="82">
        <f t="shared" ref="L141:O141" si="94">L125</f>
        <v>1.0996859999999999</v>
      </c>
      <c r="M141" s="82">
        <f t="shared" si="94"/>
        <v>1.3365020000000001</v>
      </c>
      <c r="N141" s="82">
        <f t="shared" si="94"/>
        <v>1.5042139999999999</v>
      </c>
      <c r="O141" s="82">
        <f t="shared" si="94"/>
        <v>1.5612113866836195</v>
      </c>
      <c r="P141" s="84">
        <f>'CC70 - Valores'!G51</f>
        <v>1.4549287198973984</v>
      </c>
      <c r="Q141" s="84">
        <f>'CC70 - Valores'!H51</f>
        <v>1.554852435739156</v>
      </c>
      <c r="R141" s="84">
        <f>'CC70 - Valores'!I51</f>
        <v>1.5689030522721892</v>
      </c>
      <c r="S141" s="84">
        <f>'CC70 - Valores'!J51</f>
        <v>1.6752098580383215</v>
      </c>
      <c r="T141" s="84">
        <f>'CC70 - Valores'!K51</f>
        <v>1.7293950897434169</v>
      </c>
      <c r="U141" s="84">
        <f>'CC70 - Valores'!L51</f>
        <v>1.7861889531431416</v>
      </c>
      <c r="V141" s="84">
        <f>'CC70 - Valores'!M51</f>
        <v>1.8388461482418506</v>
      </c>
      <c r="W141" s="84">
        <f>'CC70 - Valores'!N51</f>
        <v>1.898933720189613</v>
      </c>
      <c r="X141" s="84">
        <f>'CC70 - Valores'!O51</f>
        <v>1.8890479933344442</v>
      </c>
      <c r="Y141" s="84">
        <f>'CC70 - Valores'!P51</f>
        <v>1.9382378567879439</v>
      </c>
      <c r="Z141" s="84">
        <f>'CC70 - Valores'!Q51</f>
        <v>1.9955033431400095</v>
      </c>
      <c r="AA141" s="84">
        <f>'CC70 - Valores'!R51</f>
        <v>2.0417765356266955</v>
      </c>
      <c r="AB141" s="84">
        <f>'CC70 - Valores'!S51</f>
        <v>2.0872303208871066</v>
      </c>
      <c r="AC141" s="84">
        <f>'CC70 - Valores'!T51</f>
        <v>2.1322014190201251</v>
      </c>
      <c r="AD141" s="84">
        <f>'CC70 - Valores'!U51</f>
        <v>2.1736359420795148</v>
      </c>
      <c r="AE141" s="84">
        <f>'CC70 - Valores'!V51</f>
        <v>2.2122372726692885</v>
      </c>
      <c r="AF141" s="84">
        <f>'CC70 - Valores'!W51</f>
        <v>2.2612652417015937</v>
      </c>
      <c r="AG141" s="84">
        <f>'CC70 - Valores'!X51</f>
        <v>2.3084611867702591</v>
      </c>
      <c r="AH141" s="84">
        <f>'CC70 - Valores'!Y51</f>
        <v>2.3545281761139756</v>
      </c>
      <c r="AI141" s="84">
        <f>'CC70 - Valores'!Z51</f>
        <v>2.4001567964996271</v>
      </c>
      <c r="AJ141" s="84">
        <f>'CC70 - Valores'!AA51</f>
        <v>2.442478324613012</v>
      </c>
      <c r="AK141" s="84">
        <f>'CC70 - Valores'!AB51</f>
        <v>2.4881766308323785</v>
      </c>
      <c r="AL141" s="84">
        <f>'CC70 - Valores'!AC51</f>
        <v>2.5321550800125237</v>
      </c>
      <c r="AM141" s="84">
        <f>'CC70 - Valores'!AD51</f>
        <v>2.580573615764159</v>
      </c>
      <c r="AN141" s="84">
        <f>'CC70 - Valores'!AE51</f>
        <v>2.6257369404683244</v>
      </c>
      <c r="AO141" s="84">
        <f>'CC70 - Valores'!AF51</f>
        <v>2.6705249201759504</v>
      </c>
      <c r="AP141" s="84">
        <f>'CC70 - Valores'!AG51</f>
        <v>2.7158038597219929</v>
      </c>
      <c r="AQ141" s="84">
        <f>'CC70 - Valores'!AH51</f>
        <v>2.7612456396789171</v>
      </c>
      <c r="AR141" s="84">
        <f>'CC70 - Valores'!AI51</f>
        <v>2.8087310352432766</v>
      </c>
      <c r="AS141" s="84">
        <f>'CC70 - Valores'!AJ51</f>
        <v>2.8548847806125499</v>
      </c>
      <c r="AT141" s="84">
        <f>'CC70 - Valores'!AK51</f>
        <v>2.9011186712009565</v>
      </c>
      <c r="AU141" s="84">
        <f>'CC70 - Valores'!AL51</f>
        <v>2.9477390583385268</v>
      </c>
      <c r="AV141" s="84">
        <f>'CC70 - Valores'!AM51</f>
        <v>2.9944428272047303</v>
      </c>
      <c r="AW141" s="84">
        <f>'CC70 - Valores'!AN51</f>
        <v>3.0415376156345668</v>
      </c>
      <c r="AX141" s="84">
        <f>'CC70 - Valores'!AO51</f>
        <v>3.08810577663996</v>
      </c>
      <c r="AY141" s="84">
        <f>'CC70 - Valores'!AP51</f>
        <v>3.1347732838886389</v>
      </c>
      <c r="AZ141" s="84">
        <f>'CC70 - Valores'!AQ51</f>
        <v>3.1815099522692654</v>
      </c>
      <c r="BA141" s="84">
        <f>'CC70 - Valores'!AR51</f>
        <v>3.2282158436805646</v>
      </c>
      <c r="BB141" s="84">
        <f>'CC70 - Valores'!AS51</f>
        <v>3.2747991843099382</v>
      </c>
      <c r="BC141" s="84">
        <f>'CC70 - Valores'!AT51</f>
        <v>3.3212954579206984</v>
      </c>
      <c r="BD141" s="84">
        <f>'CC70 - Valores'!AU51</f>
        <v>3.3677095309046816</v>
      </c>
      <c r="BE141" s="84">
        <f>'CC70 - Valores'!AV51</f>
        <v>3.4140269520023505</v>
      </c>
      <c r="BF141" s="84">
        <f>'CC70 - Valores'!AW51</f>
        <v>3.4601843977848605</v>
      </c>
      <c r="BG141" s="84">
        <f>'CC70 - Valores'!AX51</f>
        <v>3.5061584393048753</v>
      </c>
      <c r="BH141" s="84">
        <f>'CC70 - Valores'!AY51</f>
        <v>3.551908522289934</v>
      </c>
      <c r="BI141" s="84">
        <f>'CC70 - Valores'!AZ51</f>
        <v>3.5974474938083194</v>
      </c>
      <c r="BJ141" s="84">
        <f>'CC70 - Valores'!BA51</f>
        <v>3.6427475225530754</v>
      </c>
      <c r="BK141" s="84">
        <f>'CC70 - Valores'!BB51</f>
        <v>3.687779820908295</v>
      </c>
    </row>
    <row r="142" spans="1:65" x14ac:dyDescent="0.3">
      <c r="A142" s="357"/>
      <c r="C142" s="277"/>
      <c r="D142" s="277"/>
      <c r="E142" s="277"/>
      <c r="F142" s="277"/>
      <c r="G142" s="277"/>
      <c r="H142" s="356"/>
      <c r="I142" s="356"/>
      <c r="J142" s="356"/>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c r="AR142" s="84"/>
      <c r="AS142" s="84"/>
      <c r="AT142" s="84"/>
      <c r="AU142" s="84"/>
      <c r="AV142" s="84"/>
      <c r="AW142" s="84"/>
      <c r="AX142" s="84"/>
      <c r="AY142" s="84"/>
      <c r="AZ142" s="84"/>
      <c r="BA142" s="84"/>
      <c r="BB142" s="84"/>
      <c r="BC142" s="84"/>
      <c r="BD142" s="84"/>
      <c r="BE142" s="84"/>
      <c r="BF142" s="84"/>
      <c r="BG142" s="84"/>
      <c r="BH142" s="84"/>
      <c r="BI142" s="84"/>
      <c r="BJ142" s="84"/>
      <c r="BK142" s="84"/>
    </row>
    <row r="143" spans="1:65" x14ac:dyDescent="0.3">
      <c r="A143" s="357"/>
      <c r="C143" s="277"/>
      <c r="D143" s="277"/>
      <c r="E143" s="277"/>
      <c r="F143" s="277"/>
      <c r="G143" s="277"/>
      <c r="H143" s="356"/>
      <c r="I143" s="356"/>
      <c r="J143" s="356"/>
      <c r="O143" s="84"/>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84"/>
      <c r="AR143" s="84"/>
      <c r="AS143" s="84"/>
      <c r="AT143" s="84"/>
      <c r="AU143" s="84"/>
      <c r="AV143" s="84"/>
      <c r="AW143" s="84"/>
      <c r="AX143" s="84"/>
      <c r="AY143" s="84"/>
      <c r="AZ143" s="84"/>
      <c r="BA143" s="84"/>
      <c r="BB143" s="84"/>
      <c r="BC143" s="84"/>
      <c r="BD143" s="84"/>
      <c r="BE143" s="84"/>
      <c r="BF143" s="84"/>
      <c r="BG143" s="84"/>
      <c r="BH143" s="84"/>
      <c r="BI143" s="84"/>
      <c r="BJ143" s="84"/>
      <c r="BK143" s="84"/>
    </row>
    <row r="144" spans="1:65" x14ac:dyDescent="0.3">
      <c r="A144" s="357"/>
      <c r="C144" s="277"/>
      <c r="D144" s="277"/>
      <c r="E144" s="277"/>
      <c r="F144" s="277"/>
      <c r="G144" s="277"/>
      <c r="H144" s="356"/>
      <c r="I144" s="356"/>
      <c r="J144" s="356"/>
      <c r="O144" s="84"/>
      <c r="P144" s="84"/>
      <c r="Q144" s="84"/>
      <c r="R144" s="84"/>
      <c r="S144" s="84"/>
      <c r="T144" s="84"/>
      <c r="U144" s="84"/>
      <c r="V144" s="84"/>
      <c r="W144" s="84"/>
      <c r="X144" s="84"/>
      <c r="Y144" s="84"/>
      <c r="Z144" s="84"/>
      <c r="AA144" s="84"/>
      <c r="AB144" s="84"/>
      <c r="AC144" s="84"/>
      <c r="AD144" s="84"/>
      <c r="AE144" s="84"/>
      <c r="AF144" s="84"/>
      <c r="AG144" s="84"/>
      <c r="AH144" s="84"/>
      <c r="AI144" s="84"/>
      <c r="AJ144" s="84"/>
      <c r="AK144" s="84"/>
      <c r="AL144" s="84"/>
      <c r="AM144" s="84"/>
      <c r="AN144" s="84"/>
      <c r="AO144" s="84"/>
      <c r="AP144" s="84"/>
      <c r="AQ144" s="84"/>
      <c r="AR144" s="84"/>
      <c r="AS144" s="84"/>
      <c r="AT144" s="84"/>
      <c r="AU144" s="84"/>
      <c r="AV144" s="84"/>
      <c r="AW144" s="84"/>
      <c r="AX144" s="84"/>
      <c r="AY144" s="84"/>
      <c r="AZ144" s="84"/>
      <c r="BA144" s="84"/>
      <c r="BB144" s="84"/>
      <c r="BC144" s="84"/>
      <c r="BD144" s="84"/>
      <c r="BE144" s="84"/>
      <c r="BF144" s="84"/>
      <c r="BG144" s="84"/>
      <c r="BH144" s="84"/>
      <c r="BI144" s="84"/>
      <c r="BJ144" s="84"/>
      <c r="BK144" s="84"/>
    </row>
    <row r="145" spans="1:63" x14ac:dyDescent="0.3">
      <c r="A145" s="357"/>
      <c r="C145" s="277"/>
      <c r="D145" s="277"/>
      <c r="E145" s="277"/>
      <c r="F145" s="277"/>
      <c r="G145" s="277"/>
      <c r="H145" s="356"/>
      <c r="I145" s="356"/>
      <c r="J145" s="356"/>
      <c r="O145" s="84"/>
      <c r="P145" s="84"/>
      <c r="Q145" s="84"/>
      <c r="R145" s="84"/>
      <c r="S145" s="84"/>
      <c r="T145" s="84"/>
      <c r="U145" s="84"/>
      <c r="V145" s="84"/>
      <c r="W145" s="84"/>
      <c r="X145" s="84"/>
      <c r="Y145" s="84"/>
      <c r="Z145" s="84"/>
      <c r="AA145" s="84"/>
      <c r="AB145" s="84"/>
      <c r="AC145" s="84"/>
      <c r="AD145" s="84"/>
      <c r="AE145" s="84"/>
      <c r="AF145" s="84"/>
      <c r="AG145" s="84"/>
      <c r="AH145" s="84"/>
      <c r="AI145" s="84"/>
      <c r="AJ145" s="84"/>
      <c r="AK145" s="84"/>
      <c r="AL145" s="84"/>
      <c r="AM145" s="84"/>
      <c r="AN145" s="84"/>
      <c r="AO145" s="84"/>
      <c r="AP145" s="84"/>
      <c r="AQ145" s="84"/>
      <c r="AR145" s="84"/>
      <c r="AS145" s="84"/>
      <c r="AT145" s="84"/>
      <c r="AU145" s="84"/>
      <c r="AV145" s="84"/>
      <c r="AW145" s="84"/>
      <c r="AX145" s="84"/>
      <c r="AY145" s="84"/>
      <c r="AZ145" s="84"/>
      <c r="BA145" s="84"/>
      <c r="BB145" s="84"/>
      <c r="BC145" s="84"/>
      <c r="BD145" s="84"/>
      <c r="BE145" s="84"/>
      <c r="BF145" s="84"/>
      <c r="BG145" s="84"/>
      <c r="BH145" s="84"/>
      <c r="BI145" s="84"/>
      <c r="BJ145" s="84"/>
      <c r="BK145" s="84"/>
    </row>
    <row r="146" spans="1:63" x14ac:dyDescent="0.3">
      <c r="A146" s="357"/>
      <c r="C146" s="277"/>
      <c r="D146" s="277"/>
      <c r="E146" s="277"/>
      <c r="F146" s="277"/>
      <c r="G146" s="277"/>
      <c r="H146" s="356"/>
      <c r="I146" s="356"/>
      <c r="J146" s="356"/>
      <c r="O146" s="84"/>
      <c r="P146" s="84"/>
      <c r="Q146" s="84"/>
      <c r="R146" s="84"/>
      <c r="S146" s="84"/>
      <c r="T146" s="84"/>
      <c r="U146" s="84"/>
      <c r="V146" s="84"/>
      <c r="W146" s="84"/>
      <c r="X146" s="84"/>
      <c r="Y146" s="84"/>
      <c r="Z146" s="84"/>
      <c r="AA146" s="84"/>
      <c r="AB146" s="84"/>
      <c r="AC146" s="84"/>
      <c r="AD146" s="84"/>
      <c r="AE146" s="84"/>
      <c r="AF146" s="84"/>
      <c r="AG146" s="84"/>
      <c r="AH146" s="84"/>
      <c r="AI146" s="84"/>
      <c r="AJ146" s="84"/>
      <c r="AK146" s="84"/>
      <c r="AL146" s="84"/>
      <c r="AM146" s="84"/>
      <c r="AN146" s="84"/>
      <c r="AO146" s="84"/>
      <c r="AP146" s="84"/>
      <c r="AQ146" s="84"/>
      <c r="AR146" s="84"/>
      <c r="AS146" s="84"/>
      <c r="AT146" s="84"/>
      <c r="AU146" s="84"/>
      <c r="AV146" s="84"/>
      <c r="AW146" s="84"/>
      <c r="AX146" s="84"/>
      <c r="AY146" s="84"/>
      <c r="AZ146" s="84"/>
      <c r="BA146" s="84"/>
      <c r="BB146" s="84"/>
      <c r="BC146" s="84"/>
      <c r="BD146" s="84"/>
      <c r="BE146" s="84"/>
      <c r="BF146" s="84"/>
      <c r="BG146" s="84"/>
      <c r="BH146" s="84"/>
      <c r="BI146" s="84"/>
      <c r="BJ146" s="84"/>
      <c r="BK146" s="84"/>
    </row>
    <row r="147" spans="1:63" s="85" customFormat="1" ht="20.399999999999999" thickBot="1" x14ac:dyDescent="0.45">
      <c r="B147" s="85" t="s">
        <v>411</v>
      </c>
      <c r="C147" s="284"/>
      <c r="D147" s="284"/>
      <c r="E147" s="284"/>
      <c r="F147" s="284"/>
      <c r="G147" s="284"/>
      <c r="H147" s="285"/>
      <c r="I147" s="285"/>
      <c r="J147" s="285"/>
      <c r="K147" s="86"/>
      <c r="L147" s="86"/>
      <c r="M147" s="86"/>
      <c r="N147" s="86"/>
      <c r="O147" s="86"/>
      <c r="P147" s="86"/>
      <c r="Q147" s="86"/>
      <c r="R147" s="86"/>
      <c r="S147" s="86"/>
    </row>
    <row r="148" spans="1:63" s="80" customFormat="1" ht="15.6" x14ac:dyDescent="0.3">
      <c r="C148" s="294">
        <v>2018</v>
      </c>
      <c r="D148" s="295">
        <v>2020</v>
      </c>
      <c r="E148" s="295">
        <v>2025</v>
      </c>
      <c r="F148" s="295">
        <v>2030</v>
      </c>
      <c r="G148" s="295">
        <v>2040</v>
      </c>
      <c r="H148" s="295">
        <v>2050</v>
      </c>
      <c r="I148" s="295">
        <v>2060</v>
      </c>
      <c r="J148" s="296">
        <v>2070</v>
      </c>
      <c r="K148" s="81">
        <v>2018</v>
      </c>
      <c r="L148" s="81">
        <v>2019</v>
      </c>
      <c r="M148" s="81">
        <v>2020</v>
      </c>
      <c r="N148" s="81">
        <v>2021</v>
      </c>
      <c r="O148" s="81">
        <v>2022</v>
      </c>
      <c r="P148" s="81">
        <v>2023</v>
      </c>
      <c r="Q148" s="81">
        <v>2024</v>
      </c>
      <c r="R148" s="81">
        <v>2025</v>
      </c>
      <c r="S148" s="81">
        <v>2026</v>
      </c>
      <c r="T148" s="80">
        <v>2027</v>
      </c>
      <c r="U148" s="80">
        <v>2028</v>
      </c>
      <c r="V148" s="80">
        <v>2029</v>
      </c>
      <c r="W148" s="80">
        <v>2030</v>
      </c>
      <c r="X148" s="80">
        <v>2031</v>
      </c>
      <c r="Y148" s="80">
        <v>2032</v>
      </c>
      <c r="Z148" s="80">
        <v>2033</v>
      </c>
      <c r="AA148" s="80">
        <v>2034</v>
      </c>
      <c r="AB148" s="80">
        <v>2035</v>
      </c>
      <c r="AC148" s="80">
        <v>2036</v>
      </c>
      <c r="AD148" s="80">
        <v>2037</v>
      </c>
      <c r="AE148" s="80">
        <v>2038</v>
      </c>
      <c r="AF148" s="80">
        <v>2039</v>
      </c>
      <c r="AG148" s="80">
        <v>2040</v>
      </c>
      <c r="AH148" s="80">
        <v>2041</v>
      </c>
      <c r="AI148" s="80">
        <v>2042</v>
      </c>
      <c r="AJ148" s="80">
        <v>2043</v>
      </c>
      <c r="AK148" s="80">
        <v>2044</v>
      </c>
      <c r="AL148" s="80">
        <v>2045</v>
      </c>
      <c r="AM148" s="80">
        <v>2046</v>
      </c>
      <c r="AN148" s="80">
        <v>2047</v>
      </c>
      <c r="AO148" s="80">
        <v>2048</v>
      </c>
      <c r="AP148" s="80">
        <v>2049</v>
      </c>
      <c r="AQ148" s="80">
        <v>2050</v>
      </c>
      <c r="AR148" s="80">
        <v>2051</v>
      </c>
      <c r="AS148" s="80">
        <v>2052</v>
      </c>
      <c r="AT148" s="80">
        <v>2053</v>
      </c>
      <c r="AU148" s="80">
        <v>2054</v>
      </c>
      <c r="AV148" s="80">
        <v>2055</v>
      </c>
      <c r="AW148" s="80">
        <v>2056</v>
      </c>
      <c r="AX148" s="80">
        <v>2057</v>
      </c>
      <c r="AY148" s="80">
        <v>2058</v>
      </c>
      <c r="AZ148" s="80">
        <v>2059</v>
      </c>
      <c r="BA148" s="80">
        <v>2060</v>
      </c>
      <c r="BB148" s="80">
        <v>2061</v>
      </c>
      <c r="BC148" s="80">
        <v>2062</v>
      </c>
      <c r="BD148" s="80">
        <v>2063</v>
      </c>
      <c r="BE148" s="80">
        <v>2064</v>
      </c>
      <c r="BF148" s="80">
        <v>2065</v>
      </c>
      <c r="BG148" s="80">
        <v>2066</v>
      </c>
      <c r="BH148" s="80">
        <v>2067</v>
      </c>
      <c r="BI148" s="80">
        <v>2068</v>
      </c>
      <c r="BJ148" s="80">
        <v>2069</v>
      </c>
      <c r="BK148" s="80">
        <v>2070</v>
      </c>
    </row>
    <row r="149" spans="1:63" x14ac:dyDescent="0.3">
      <c r="A149" s="386" t="s">
        <v>673</v>
      </c>
      <c r="B149" t="s">
        <v>412</v>
      </c>
      <c r="C149" s="297">
        <f>K149</f>
        <v>769</v>
      </c>
      <c r="D149" s="298">
        <f>M149</f>
        <v>831.7</v>
      </c>
      <c r="E149" s="298">
        <f>R149</f>
        <v>1141.1719294405848</v>
      </c>
      <c r="F149" s="298">
        <f>W149</f>
        <v>1251.8275567161202</v>
      </c>
      <c r="G149" s="298">
        <f>AG149</f>
        <v>1459.4374049851695</v>
      </c>
      <c r="H149" s="293">
        <f>AQ149</f>
        <v>1796.3719632733571</v>
      </c>
      <c r="I149" s="293">
        <f>BA149</f>
        <v>2190.637119497751</v>
      </c>
      <c r="J149" s="299">
        <f>BK149</f>
        <v>2683.1445059765238</v>
      </c>
      <c r="K149" s="82">
        <f>Tendencial!O387</f>
        <v>769</v>
      </c>
      <c r="L149" s="82">
        <f>Tendencial!P387</f>
        <v>567</v>
      </c>
      <c r="M149" s="82">
        <f>Tendencial!Q387</f>
        <v>831.7</v>
      </c>
      <c r="N149" s="82">
        <f>Tendencial!R387</f>
        <v>1015.3</v>
      </c>
      <c r="O149" s="82">
        <f>Tendencial!S387</f>
        <v>1050.2652263946095</v>
      </c>
      <c r="P149" s="82">
        <f>Tendencial!T387</f>
        <v>1081.1596377376859</v>
      </c>
      <c r="Q149" s="82">
        <f>Tendencial!U387</f>
        <v>1114.83532912432</v>
      </c>
      <c r="R149" s="82">
        <f>Tendencial!V387</f>
        <v>1141.1719294405848</v>
      </c>
      <c r="S149" s="82">
        <f>Tendencial!W387</f>
        <v>1163.4240103811824</v>
      </c>
      <c r="T149" s="82">
        <f>Tendencial!X387</f>
        <v>1192.985631747559</v>
      </c>
      <c r="U149" s="82">
        <f>Tendencial!Y387</f>
        <v>1218.674326160907</v>
      </c>
      <c r="V149" s="82">
        <f>Tendencial!Z387</f>
        <v>1233.9067410827945</v>
      </c>
      <c r="W149" s="82">
        <f>Tendencial!AA387</f>
        <v>1251.8275567161202</v>
      </c>
      <c r="X149" s="82">
        <f>Tendencial!AB387</f>
        <v>1278.0009702317777</v>
      </c>
      <c r="Y149" s="82">
        <f>Tendencial!AC387</f>
        <v>1295.2395664692137</v>
      </c>
      <c r="Z149" s="82">
        <f>Tendencial!AD387</f>
        <v>1317.5142889647161</v>
      </c>
      <c r="AA149" s="82">
        <f>Tendencial!AE387</f>
        <v>1333.2855083073509</v>
      </c>
      <c r="AB149" s="82">
        <f>Tendencial!AF387</f>
        <v>1349.846310562991</v>
      </c>
      <c r="AC149" s="82">
        <f>Tendencial!AG387</f>
        <v>1369.8928684047974</v>
      </c>
      <c r="AD149" s="82">
        <f>Tendencial!AH387</f>
        <v>1388.0134293685173</v>
      </c>
      <c r="AE149" s="82">
        <f>Tendencial!AI387</f>
        <v>1408.8302271735549</v>
      </c>
      <c r="AF149" s="82">
        <f>Tendencial!AJ387</f>
        <v>1434.7561715212962</v>
      </c>
      <c r="AG149" s="82">
        <f>Tendencial!AK387</f>
        <v>1459.4374049851695</v>
      </c>
      <c r="AH149" s="82">
        <f>Tendencial!AL387</f>
        <v>1487.3093319131444</v>
      </c>
      <c r="AI149" s="82">
        <f>Tendencial!AM387</f>
        <v>1516.7913042413127</v>
      </c>
      <c r="AJ149" s="82">
        <f>Tendencial!AN387</f>
        <v>1542.0955663090569</v>
      </c>
      <c r="AK149" s="82">
        <f>Tendencial!AO387</f>
        <v>1576.256769133272</v>
      </c>
      <c r="AL149" s="82">
        <f>Tendencial!AP387</f>
        <v>1607.9955740996847</v>
      </c>
      <c r="AM149" s="82">
        <f>Tendencial!AQ387</f>
        <v>1648.385138977357</v>
      </c>
      <c r="AN149" s="82">
        <f>Tendencial!AR387</f>
        <v>1683.9224082510843</v>
      </c>
      <c r="AO149" s="82">
        <f>Tendencial!AS387</f>
        <v>1719.88149839896</v>
      </c>
      <c r="AP149" s="82">
        <f>Tendencial!AT387</f>
        <v>1757.9370280716655</v>
      </c>
      <c r="AQ149" s="82">
        <f>Tendencial!AU387</f>
        <v>1796.3719632733571</v>
      </c>
      <c r="AR149" s="82">
        <f>Tendencial!AV387</f>
        <v>1830.1678558823671</v>
      </c>
      <c r="AS149" s="82">
        <f>Tendencial!AW387</f>
        <v>1865.3307588844898</v>
      </c>
      <c r="AT149" s="82">
        <f>Tendencial!AX387</f>
        <v>1901.6777740919008</v>
      </c>
      <c r="AU149" s="82">
        <f>Tendencial!AY387</f>
        <v>1939.4768058679788</v>
      </c>
      <c r="AV149" s="82">
        <f>Tendencial!AZ387</f>
        <v>1978.6185913958695</v>
      </c>
      <c r="AW149" s="82">
        <f>Tendencial!BA387</f>
        <v>2018.7703389286551</v>
      </c>
      <c r="AX149" s="82">
        <f>Tendencial!BB387</f>
        <v>2060.1268077921181</v>
      </c>
      <c r="AY149" s="82">
        <f>Tendencial!BC387</f>
        <v>2102.5092522473815</v>
      </c>
      <c r="AZ149" s="82">
        <f>Tendencial!BD387</f>
        <v>2145.862224799389</v>
      </c>
      <c r="BA149" s="82">
        <f>Tendencial!BE387</f>
        <v>2190.637119497751</v>
      </c>
      <c r="BB149" s="82">
        <f>Tendencial!BF387</f>
        <v>2236.1700959465761</v>
      </c>
      <c r="BC149" s="82">
        <f>Tendencial!BG387</f>
        <v>2282.7402915357475</v>
      </c>
      <c r="BD149" s="82">
        <f>Tendencial!BH387</f>
        <v>2329.6679950291145</v>
      </c>
      <c r="BE149" s="82">
        <f>Tendencial!BI387</f>
        <v>2377.414638389886</v>
      </c>
      <c r="BF149" s="82">
        <f>Tendencial!BJ387</f>
        <v>2426.0121660823252</v>
      </c>
      <c r="BG149" s="82">
        <f>Tendencial!BK387</f>
        <v>2475.3475271778007</v>
      </c>
      <c r="BH149" s="82">
        <f>Tendencial!BL387</f>
        <v>2525.4498274128259</v>
      </c>
      <c r="BI149" s="82">
        <f>Tendencial!BM387</f>
        <v>2576.7914775118506</v>
      </c>
      <c r="BJ149" s="82">
        <f>Tendencial!BN387</f>
        <v>2629.3567428235538</v>
      </c>
      <c r="BK149" s="82">
        <f>Tendencial!BO387</f>
        <v>2683.1445059765238</v>
      </c>
    </row>
    <row r="150" spans="1:63" x14ac:dyDescent="0.3">
      <c r="A150" s="386"/>
      <c r="B150" t="s">
        <v>413</v>
      </c>
      <c r="C150" s="297">
        <f t="shared" ref="C150:C195" si="95">K150</f>
        <v>30.379732311994736</v>
      </c>
      <c r="D150" s="298">
        <f t="shared" ref="D150:D195" si="96">M150</f>
        <v>123.19989497262668</v>
      </c>
      <c r="E150" s="298">
        <f t="shared" ref="E150:E211" si="97">R150</f>
        <v>147.61961314253585</v>
      </c>
      <c r="F150" s="298">
        <f t="shared" ref="F150:F211" si="98">W150</f>
        <v>161.93379356446994</v>
      </c>
      <c r="G150" s="298">
        <f t="shared" ref="G150:G211" si="99">AG150</f>
        <v>188.78976915885849</v>
      </c>
      <c r="H150" s="293">
        <f t="shared" ref="H150:H211" si="100">AQ150</f>
        <v>232.3749186579665</v>
      </c>
      <c r="I150" s="293">
        <f t="shared" ref="I150:I211" si="101">BA150</f>
        <v>283.37623435450439</v>
      </c>
      <c r="J150" s="299">
        <f t="shared" ref="J150:J211" si="102">BK150</f>
        <v>347.08595940660757</v>
      </c>
      <c r="K150" s="82">
        <f>Tendencial!O388</f>
        <v>30.379732311994736</v>
      </c>
      <c r="L150" s="82">
        <f>Tendencial!P388</f>
        <v>115.22607457378612</v>
      </c>
      <c r="M150" s="82">
        <f>Tendencial!Q388</f>
        <v>123.19989497262668</v>
      </c>
      <c r="N150" s="82">
        <f>Tendencial!R388</f>
        <v>131.33708370927823</v>
      </c>
      <c r="O150" s="82">
        <f>Tendencial!S388</f>
        <v>135.86011223868107</v>
      </c>
      <c r="P150" s="82">
        <f>Tendencial!T388</f>
        <v>139.85654865029784</v>
      </c>
      <c r="Q150" s="82">
        <f>Tendencial!U388</f>
        <v>144.21276562913579</v>
      </c>
      <c r="R150" s="82">
        <f>Tendencial!V388</f>
        <v>147.61961314253585</v>
      </c>
      <c r="S150" s="82">
        <f>Tendencial!W388</f>
        <v>150.49809577545312</v>
      </c>
      <c r="T150" s="82">
        <f>Tendencial!X388</f>
        <v>154.32212526425226</v>
      </c>
      <c r="U150" s="82">
        <f>Tendencial!Y388</f>
        <v>157.64516102565082</v>
      </c>
      <c r="V150" s="82">
        <f>Tendencial!Z388</f>
        <v>159.61559434948654</v>
      </c>
      <c r="W150" s="82">
        <f>Tendencial!AA388</f>
        <v>161.93379356446994</v>
      </c>
      <c r="X150" s="82">
        <f>Tendencial!AB388</f>
        <v>165.31953157477574</v>
      </c>
      <c r="Y150" s="82">
        <f>Tendencial!AC388</f>
        <v>167.54948031610004</v>
      </c>
      <c r="Z150" s="82">
        <f>Tendencial!AD388</f>
        <v>170.43089181318734</v>
      </c>
      <c r="AA150" s="82">
        <f>Tendencial!AE388</f>
        <v>172.47102374956182</v>
      </c>
      <c r="AB150" s="82">
        <f>Tendencial!AF388</f>
        <v>174.61329447953503</v>
      </c>
      <c r="AC150" s="82">
        <f>Tendencial!AG388</f>
        <v>177.206475258962</v>
      </c>
      <c r="AD150" s="82">
        <f>Tendencial!AH388</f>
        <v>179.55051311196226</v>
      </c>
      <c r="AE150" s="82">
        <f>Tendencial!AI388</f>
        <v>182.24333052147605</v>
      </c>
      <c r="AF150" s="82">
        <f>Tendencial!AJ388</f>
        <v>185.59705643799472</v>
      </c>
      <c r="AG150" s="82">
        <f>Tendencial!AK388</f>
        <v>188.78976915885849</v>
      </c>
      <c r="AH150" s="82">
        <f>Tendencial!AL388</f>
        <v>192.39522331041798</v>
      </c>
      <c r="AI150" s="82">
        <f>Tendencial!AM388</f>
        <v>196.20894956628248</v>
      </c>
      <c r="AJ150" s="82">
        <f>Tendencial!AN388</f>
        <v>199.48225596379339</v>
      </c>
      <c r="AK150" s="82">
        <f>Tendencial!AO388</f>
        <v>203.90127768637151</v>
      </c>
      <c r="AL150" s="82">
        <f>Tendencial!AP388</f>
        <v>208.00694309039616</v>
      </c>
      <c r="AM150" s="82">
        <f>Tendencial!AQ388</f>
        <v>213.23165269673927</v>
      </c>
      <c r="AN150" s="82">
        <f>Tendencial!AR388</f>
        <v>217.82867949611156</v>
      </c>
      <c r="AO150" s="82">
        <f>Tendencial!AS388</f>
        <v>222.48027216119681</v>
      </c>
      <c r="AP150" s="82">
        <f>Tendencial!AT388</f>
        <v>227.40305585687793</v>
      </c>
      <c r="AQ150" s="82">
        <f>Tendencial!AU388</f>
        <v>232.3749186579665</v>
      </c>
      <c r="AR150" s="82">
        <f>Tendencial!AV388</f>
        <v>236.74668461543652</v>
      </c>
      <c r="AS150" s="82">
        <f>Tendencial!AW388</f>
        <v>241.29528417719268</v>
      </c>
      <c r="AT150" s="82">
        <f>Tendencial!AX388</f>
        <v>245.99705801633201</v>
      </c>
      <c r="AU150" s="82">
        <f>Tendencial!AY388</f>
        <v>250.88666168077052</v>
      </c>
      <c r="AV150" s="82">
        <f>Tendencial!AZ388</f>
        <v>255.94996116112824</v>
      </c>
      <c r="AW150" s="82">
        <f>Tendencial!BA388</f>
        <v>261.14390721331699</v>
      </c>
      <c r="AX150" s="82">
        <f>Tendencial!BB388</f>
        <v>266.4936934962293</v>
      </c>
      <c r="AY150" s="82">
        <f>Tendencial!BC388</f>
        <v>271.9761978350698</v>
      </c>
      <c r="AZ150" s="82">
        <f>Tendencial!BD388</f>
        <v>277.5842476578897</v>
      </c>
      <c r="BA150" s="82">
        <f>Tendencial!BE388</f>
        <v>283.37623435450439</v>
      </c>
      <c r="BB150" s="82">
        <f>Tendencial!BF388</f>
        <v>289.26628492024054</v>
      </c>
      <c r="BC150" s="82">
        <f>Tendencial!BG388</f>
        <v>295.29050798382019</v>
      </c>
      <c r="BD150" s="82">
        <f>Tendencial!BH388</f>
        <v>301.36097752188044</v>
      </c>
      <c r="BE150" s="82">
        <f>Tendencial!BI388</f>
        <v>307.53738340773748</v>
      </c>
      <c r="BF150" s="82">
        <f>Tendencial!BJ388</f>
        <v>313.82385791045181</v>
      </c>
      <c r="BG150" s="82">
        <f>Tendencial!BK388</f>
        <v>320.20577699842971</v>
      </c>
      <c r="BH150" s="82">
        <f>Tendencial!BL388</f>
        <v>326.68690572884918</v>
      </c>
      <c r="BI150" s="82">
        <f>Tendencial!BM388</f>
        <v>333.32835416461012</v>
      </c>
      <c r="BJ150" s="82">
        <f>Tendencial!BN388</f>
        <v>340.12808690413891</v>
      </c>
      <c r="BK150" s="82">
        <f>Tendencial!BO388</f>
        <v>347.08595940660757</v>
      </c>
    </row>
    <row r="151" spans="1:63" x14ac:dyDescent="0.3">
      <c r="A151" s="386"/>
      <c r="B151" t="s">
        <v>414</v>
      </c>
      <c r="C151" s="297">
        <f t="shared" si="95"/>
        <v>200</v>
      </c>
      <c r="D151" s="298">
        <f t="shared" si="96"/>
        <v>200</v>
      </c>
      <c r="E151" s="298">
        <f t="shared" si="97"/>
        <v>191.07576874312957</v>
      </c>
      <c r="F151" s="298">
        <f t="shared" si="98"/>
        <v>209.60374730792913</v>
      </c>
      <c r="G151" s="298">
        <f t="shared" si="99"/>
        <v>244.36556569238533</v>
      </c>
      <c r="H151" s="293">
        <f t="shared" si="100"/>
        <v>300.78128016987165</v>
      </c>
      <c r="I151" s="293">
        <f t="shared" si="101"/>
        <v>366.79632651887874</v>
      </c>
      <c r="J151" s="299">
        <f t="shared" si="102"/>
        <v>449.26087463410698</v>
      </c>
      <c r="K151" s="82">
        <f>Tendencial!O389</f>
        <v>200</v>
      </c>
      <c r="L151" s="82">
        <f>Tendencial!P389</f>
        <v>200</v>
      </c>
      <c r="M151" s="82">
        <f>Tendencial!Q389</f>
        <v>200</v>
      </c>
      <c r="N151" s="82">
        <f>Tendencial!R389</f>
        <v>170</v>
      </c>
      <c r="O151" s="82">
        <f>Tendencial!S389</f>
        <v>175.85451441651102</v>
      </c>
      <c r="P151" s="82">
        <f>Tendencial!T389</f>
        <v>181.02741890614266</v>
      </c>
      <c r="Q151" s="82">
        <f>Tendencial!U389</f>
        <v>186.6660159077459</v>
      </c>
      <c r="R151" s="82">
        <f>Tendencial!V389</f>
        <v>191.07576874312957</v>
      </c>
      <c r="S151" s="82">
        <f>Tendencial!W389</f>
        <v>194.80161702432881</v>
      </c>
      <c r="T151" s="82">
        <f>Tendencial!X389</f>
        <v>199.75136156513844</v>
      </c>
      <c r="U151" s="82">
        <f>Tendencial!Y389</f>
        <v>204.05263020521443</v>
      </c>
      <c r="V151" s="82">
        <f>Tendencial!Z389</f>
        <v>206.60311827447561</v>
      </c>
      <c r="W151" s="82">
        <f>Tendencial!AA389</f>
        <v>209.60374730792913</v>
      </c>
      <c r="X151" s="82">
        <f>Tendencial!AB389</f>
        <v>213.9861764398722</v>
      </c>
      <c r="Y151" s="82">
        <f>Tendencial!AC389</f>
        <v>216.8725758886697</v>
      </c>
      <c r="Z151" s="82">
        <f>Tendencial!AD389</f>
        <v>220.60221523096794</v>
      </c>
      <c r="AA151" s="82">
        <f>Tendencial!AE389</f>
        <v>223.24291974022424</v>
      </c>
      <c r="AB151" s="82">
        <f>Tendencial!AF389</f>
        <v>226.01583058771641</v>
      </c>
      <c r="AC151" s="82">
        <f>Tendencial!AG389</f>
        <v>229.37239006088402</v>
      </c>
      <c r="AD151" s="82">
        <f>Tendencial!AH389</f>
        <v>232.40646409203973</v>
      </c>
      <c r="AE151" s="82">
        <f>Tendencial!AI389</f>
        <v>235.89199115483535</v>
      </c>
      <c r="AF151" s="82">
        <f>Tendencial!AJ389</f>
        <v>240.2329844958341</v>
      </c>
      <c r="AG151" s="82">
        <f>Tendencial!AK389</f>
        <v>244.36556569238533</v>
      </c>
      <c r="AH151" s="82">
        <f>Tendencial!AL389</f>
        <v>249.03239084530148</v>
      </c>
      <c r="AI151" s="82">
        <f>Tendencial!AM389</f>
        <v>253.96879909487166</v>
      </c>
      <c r="AJ151" s="82">
        <f>Tendencial!AN389</f>
        <v>258.20569907666669</v>
      </c>
      <c r="AK151" s="82">
        <f>Tendencial!AO389</f>
        <v>263.9255892373252</v>
      </c>
      <c r="AL151" s="82">
        <f>Tendencial!AP389</f>
        <v>269.23987747163051</v>
      </c>
      <c r="AM151" s="82">
        <f>Tendencial!AQ389</f>
        <v>276.00263333610826</v>
      </c>
      <c r="AN151" s="82">
        <f>Tendencial!AR389</f>
        <v>281.95292958010867</v>
      </c>
      <c r="AO151" s="82">
        <f>Tendencial!AS389</f>
        <v>287.97385475014596</v>
      </c>
      <c r="AP151" s="82">
        <f>Tendencial!AT389</f>
        <v>294.34580397142042</v>
      </c>
      <c r="AQ151" s="82">
        <f>Tendencial!AU389</f>
        <v>300.78128016987165</v>
      </c>
      <c r="AR151" s="82">
        <f>Tendencial!AV389</f>
        <v>306.4400034472593</v>
      </c>
      <c r="AS151" s="82">
        <f>Tendencial!AW389</f>
        <v>312.32761647824606</v>
      </c>
      <c r="AT151" s="82">
        <f>Tendencial!AX389</f>
        <v>318.41349512028273</v>
      </c>
      <c r="AU151" s="82">
        <f>Tendencial!AY389</f>
        <v>324.74249679656879</v>
      </c>
      <c r="AV151" s="82">
        <f>Tendencial!AZ389</f>
        <v>331.29632673820322</v>
      </c>
      <c r="AW151" s="82">
        <f>Tendencial!BA389</f>
        <v>338.01926289556906</v>
      </c>
      <c r="AX151" s="82">
        <f>Tendencial!BB389</f>
        <v>344.94391541875308</v>
      </c>
      <c r="AY151" s="82">
        <f>Tendencial!BC389</f>
        <v>352.04035544376518</v>
      </c>
      <c r="AZ151" s="82">
        <f>Tendencial!BD389</f>
        <v>359.2992989420822</v>
      </c>
      <c r="BA151" s="82">
        <f>Tendencial!BE389</f>
        <v>366.79632651887874</v>
      </c>
      <c r="BB151" s="82">
        <f>Tendencial!BF389</f>
        <v>374.42028593609558</v>
      </c>
      <c r="BC151" s="82">
        <f>Tendencial!BG389</f>
        <v>382.21791545462122</v>
      </c>
      <c r="BD151" s="82">
        <f>Tendencial!BH389</f>
        <v>390.07540545154075</v>
      </c>
      <c r="BE151" s="82">
        <f>Tendencial!BI389</f>
        <v>398.07001726216924</v>
      </c>
      <c r="BF151" s="82">
        <f>Tendencial!BJ389</f>
        <v>406.20709960996265</v>
      </c>
      <c r="BG151" s="82">
        <f>Tendencial!BK389</f>
        <v>414.4677234514192</v>
      </c>
      <c r="BH151" s="82">
        <f>Tendencial!BL389</f>
        <v>422.85676219854253</v>
      </c>
      <c r="BI151" s="82">
        <f>Tendencial!BM389</f>
        <v>431.45331545061993</v>
      </c>
      <c r="BJ151" s="82">
        <f>Tendencial!BN389</f>
        <v>440.25474862602573</v>
      </c>
      <c r="BK151" s="82">
        <f>Tendencial!BO389</f>
        <v>449.26087463410698</v>
      </c>
    </row>
    <row r="152" spans="1:63" x14ac:dyDescent="0.3">
      <c r="A152" s="386"/>
      <c r="B152" t="s">
        <v>415</v>
      </c>
      <c r="C152" s="297">
        <f t="shared" si="95"/>
        <v>466</v>
      </c>
      <c r="D152" s="298">
        <f t="shared" si="96"/>
        <v>367.7</v>
      </c>
      <c r="E152" s="298">
        <f t="shared" si="97"/>
        <v>473.64311146091057</v>
      </c>
      <c r="F152" s="298">
        <f t="shared" si="98"/>
        <v>519.57070067977247</v>
      </c>
      <c r="G152" s="298">
        <f t="shared" si="99"/>
        <v>605.73911401630085</v>
      </c>
      <c r="H152" s="293">
        <f t="shared" si="100"/>
        <v>745.58371449167009</v>
      </c>
      <c r="I152" s="293">
        <f t="shared" si="101"/>
        <v>909.22336467679713</v>
      </c>
      <c r="J152" s="299">
        <f t="shared" si="102"/>
        <v>1113.6384268871336</v>
      </c>
      <c r="K152" s="82">
        <f>Tendencial!O390</f>
        <v>466</v>
      </c>
      <c r="L152" s="82">
        <f>Tendencial!P390</f>
        <v>438</v>
      </c>
      <c r="M152" s="82">
        <f>Tendencial!Q390</f>
        <v>367.7</v>
      </c>
      <c r="N152" s="82">
        <f>Tendencial!R390</f>
        <v>421.4</v>
      </c>
      <c r="O152" s="82">
        <f>Tendencial!S390</f>
        <v>435.91230808892789</v>
      </c>
      <c r="P152" s="82">
        <f>Tendencial!T390</f>
        <v>448.73502545322651</v>
      </c>
      <c r="Q152" s="82">
        <f>Tendencial!U390</f>
        <v>462.71211237367129</v>
      </c>
      <c r="R152" s="82">
        <f>Tendencial!V390</f>
        <v>473.64311146091057</v>
      </c>
      <c r="S152" s="82">
        <f>Tendencial!W390</f>
        <v>482.87883184736563</v>
      </c>
      <c r="T152" s="82">
        <f>Tendencial!X390</f>
        <v>495.14837507970196</v>
      </c>
      <c r="U152" s="82">
        <f>Tendencial!Y390</f>
        <v>505.81046099104327</v>
      </c>
      <c r="V152" s="82">
        <f>Tendencial!Z390</f>
        <v>512.13267082861182</v>
      </c>
      <c r="W152" s="82">
        <f>Tendencial!AA390</f>
        <v>519.57070067977247</v>
      </c>
      <c r="X152" s="82">
        <f>Tendencial!AB390</f>
        <v>530.43396912801245</v>
      </c>
      <c r="Y152" s="82">
        <f>Tendencial!AC390</f>
        <v>537.58884399697286</v>
      </c>
      <c r="Z152" s="82">
        <f>Tendencial!AD390</f>
        <v>546.83396175488156</v>
      </c>
      <c r="AA152" s="82">
        <f>Tendencial!AE390</f>
        <v>553.37980222664976</v>
      </c>
      <c r="AB152" s="82">
        <f>Tendencial!AF390</f>
        <v>560.25335888037444</v>
      </c>
      <c r="AC152" s="82">
        <f>Tendencial!AG390</f>
        <v>568.57367748033232</v>
      </c>
      <c r="AD152" s="82">
        <f>Tendencial!AH390</f>
        <v>576.0946115787383</v>
      </c>
      <c r="AE152" s="82">
        <f>Tendencial!AI390</f>
        <v>584.73461807439753</v>
      </c>
      <c r="AF152" s="82">
        <f>Tendencial!AJ390</f>
        <v>595.49517450908502</v>
      </c>
      <c r="AG152" s="82">
        <f>Tendencial!AK390</f>
        <v>605.73911401630085</v>
      </c>
      <c r="AH152" s="82">
        <f>Tendencial!AL390</f>
        <v>617.30735001300002</v>
      </c>
      <c r="AI152" s="82">
        <f>Tendencial!AM390</f>
        <v>629.54383493281694</v>
      </c>
      <c r="AJ152" s="82">
        <f>Tendencial!AN390</f>
        <v>640.04636229945481</v>
      </c>
      <c r="AK152" s="82">
        <f>Tendencial!AO390</f>
        <v>654.22496061534594</v>
      </c>
      <c r="AL152" s="82">
        <f>Tendencial!AP390</f>
        <v>667.39814333261802</v>
      </c>
      <c r="AM152" s="82">
        <f>Tendencial!AQ390</f>
        <v>684.16182169315289</v>
      </c>
      <c r="AN152" s="82">
        <f>Tendencial!AR390</f>
        <v>698.91155602975164</v>
      </c>
      <c r="AO152" s="82">
        <f>Tendencial!AS390</f>
        <v>713.83636701006765</v>
      </c>
      <c r="AP152" s="82">
        <f>Tendencial!AT390</f>
        <v>729.63130466797975</v>
      </c>
      <c r="AQ152" s="82">
        <f>Tendencial!AU390</f>
        <v>745.58371449167009</v>
      </c>
      <c r="AR152" s="82">
        <f>Tendencial!AV390</f>
        <v>759.61069089808871</v>
      </c>
      <c r="AS152" s="82">
        <f>Tendencial!AW390</f>
        <v>774.20504461137</v>
      </c>
      <c r="AT152" s="82">
        <f>Tendencial!AX390</f>
        <v>789.29086378639511</v>
      </c>
      <c r="AU152" s="82">
        <f>Tendencial!AY390</f>
        <v>804.97934205925958</v>
      </c>
      <c r="AV152" s="82">
        <f>Tendencial!AZ390</f>
        <v>821.22512992634631</v>
      </c>
      <c r="AW152" s="82">
        <f>Tendencial!BA390</f>
        <v>837.89010225995787</v>
      </c>
      <c r="AX152" s="82">
        <f>Tendencial!BB390</f>
        <v>855.05509386742699</v>
      </c>
      <c r="AY152" s="82">
        <f>Tendencial!BC390</f>
        <v>872.6459163764863</v>
      </c>
      <c r="AZ152" s="82">
        <f>Tendencial!BD390</f>
        <v>890.63955631878503</v>
      </c>
      <c r="BA152" s="82">
        <f>Tendencial!BE390</f>
        <v>909.22336467679713</v>
      </c>
      <c r="BB152" s="82">
        <f>Tendencial!BF390</f>
        <v>928.12181466747461</v>
      </c>
      <c r="BC152" s="82">
        <f>Tendencial!BG390</f>
        <v>947.45076219163172</v>
      </c>
      <c r="BD152" s="82">
        <f>Tendencial!BH390</f>
        <v>966.92809327811347</v>
      </c>
      <c r="BE152" s="82">
        <f>Tendencial!BI390</f>
        <v>986.74532514281259</v>
      </c>
      <c r="BF152" s="82">
        <f>Tendencial!BJ390</f>
        <v>1006.915716327284</v>
      </c>
      <c r="BG152" s="82">
        <f>Tendencial!BK390</f>
        <v>1027.3923450731063</v>
      </c>
      <c r="BH152" s="82">
        <f>Tendencial!BL390</f>
        <v>1048.1872917086225</v>
      </c>
      <c r="BI152" s="82">
        <f>Tendencial!BM390</f>
        <v>1069.4966301817133</v>
      </c>
      <c r="BJ152" s="82">
        <f>Tendencial!BN390</f>
        <v>1091.3138298294546</v>
      </c>
      <c r="BK152" s="82">
        <f>Tendencial!BO390</f>
        <v>1113.6384268871336</v>
      </c>
    </row>
    <row r="153" spans="1:63" x14ac:dyDescent="0.3">
      <c r="A153" s="386"/>
      <c r="B153" t="s">
        <v>416</v>
      </c>
      <c r="C153" s="297">
        <f t="shared" si="95"/>
        <v>517</v>
      </c>
      <c r="D153" s="298">
        <f t="shared" si="96"/>
        <v>650.4</v>
      </c>
      <c r="E153" s="298">
        <f t="shared" si="97"/>
        <v>697.53895342344822</v>
      </c>
      <c r="F153" s="298">
        <f t="shared" si="98"/>
        <v>765.17697399588701</v>
      </c>
      <c r="G153" s="298">
        <f t="shared" si="99"/>
        <v>892.07805922761372</v>
      </c>
      <c r="H153" s="293">
        <f t="shared" si="100"/>
        <v>1098.0286027848379</v>
      </c>
      <c r="I153" s="293">
        <f t="shared" si="101"/>
        <v>1339.0223543389195</v>
      </c>
      <c r="J153" s="299">
        <f t="shared" si="102"/>
        <v>1640.0664635172177</v>
      </c>
      <c r="K153" s="82">
        <f>Tendencial!O391</f>
        <v>517</v>
      </c>
      <c r="L153" s="82">
        <f>Tendencial!P391</f>
        <v>742</v>
      </c>
      <c r="M153" s="82">
        <f>Tendencial!Q391</f>
        <v>650.4</v>
      </c>
      <c r="N153" s="82">
        <f>Tendencial!R391</f>
        <v>620.6</v>
      </c>
      <c r="O153" s="82">
        <f>Tendencial!S391</f>
        <v>641.97242145227494</v>
      </c>
      <c r="P153" s="82">
        <f>Tendencial!T391</f>
        <v>660.85656572442429</v>
      </c>
      <c r="Q153" s="82">
        <f>Tendencial!U391</f>
        <v>681.44076160204179</v>
      </c>
      <c r="R153" s="82">
        <f>Tendencial!V391</f>
        <v>697.53895342344822</v>
      </c>
      <c r="S153" s="82">
        <f>Tendencial!W391</f>
        <v>711.14049132528498</v>
      </c>
      <c r="T153" s="82">
        <f>Tendencial!X391</f>
        <v>729.2099705136759</v>
      </c>
      <c r="U153" s="82">
        <f>Tendencial!Y391</f>
        <v>744.91213120797681</v>
      </c>
      <c r="V153" s="82">
        <f>Tendencial!Z391</f>
        <v>754.22291294787965</v>
      </c>
      <c r="W153" s="82">
        <f>Tendencial!AA391</f>
        <v>765.17697399588701</v>
      </c>
      <c r="X153" s="82">
        <f>Tendencial!AB391</f>
        <v>781.17541822696853</v>
      </c>
      <c r="Y153" s="82">
        <f>Tendencial!AC391</f>
        <v>791.71247409710816</v>
      </c>
      <c r="Z153" s="82">
        <f>Tendencial!AD391</f>
        <v>805.32785160199217</v>
      </c>
      <c r="AA153" s="82">
        <f>Tendencial!AE391</f>
        <v>814.96797641637136</v>
      </c>
      <c r="AB153" s="82">
        <f>Tendencial!AF391</f>
        <v>825.09073213374575</v>
      </c>
      <c r="AC153" s="82">
        <f>Tendencial!AG391</f>
        <v>837.3441486575565</v>
      </c>
      <c r="AD153" s="82">
        <f>Tendencial!AH391</f>
        <v>848.420303620705</v>
      </c>
      <c r="AE153" s="82">
        <f>Tendencial!AI391</f>
        <v>861.14452770994603</v>
      </c>
      <c r="AF153" s="82">
        <f>Tendencial!AJ391</f>
        <v>876.99170693008614</v>
      </c>
      <c r="AG153" s="82">
        <f>Tendencial!AK391</f>
        <v>892.07805922761372</v>
      </c>
      <c r="AH153" s="82">
        <f>Tendencial!AL391</f>
        <v>909.11471622702402</v>
      </c>
      <c r="AI153" s="82">
        <f>Tendencial!AM391</f>
        <v>927.13551010751371</v>
      </c>
      <c r="AJ153" s="82">
        <f>Tendencial!AN391</f>
        <v>942.60268733517262</v>
      </c>
      <c r="AK153" s="82">
        <f>Tendencial!AO391</f>
        <v>963.48365106284712</v>
      </c>
      <c r="AL153" s="82">
        <f>Tendencial!AP391</f>
        <v>982.88392916996406</v>
      </c>
      <c r="AM153" s="82">
        <f>Tendencial!AQ391</f>
        <v>1007.571966166993</v>
      </c>
      <c r="AN153" s="82">
        <f>Tendencial!AR391</f>
        <v>1029.2940476318558</v>
      </c>
      <c r="AO153" s="82">
        <f>Tendencial!AS391</f>
        <v>1051.2739662231802</v>
      </c>
      <c r="AP153" s="82">
        <f>Tendencial!AT391</f>
        <v>1074.5353290862563</v>
      </c>
      <c r="AQ153" s="82">
        <f>Tendencial!AU391</f>
        <v>1098.0286027848379</v>
      </c>
      <c r="AR153" s="82">
        <f>Tendencial!AV391</f>
        <v>1118.6862714080542</v>
      </c>
      <c r="AS153" s="82">
        <f>Tendencial!AW391</f>
        <v>1140.1795222729388</v>
      </c>
      <c r="AT153" s="82">
        <f>Tendencial!AX391</f>
        <v>1162.3965592449858</v>
      </c>
      <c r="AU153" s="82">
        <f>Tendencial!AY391</f>
        <v>1185.5011383055926</v>
      </c>
      <c r="AV153" s="82">
        <f>Tendencial!AZ391</f>
        <v>1209.4264727866416</v>
      </c>
      <c r="AW153" s="82">
        <f>Tendencial!BA391</f>
        <v>1233.9691444293549</v>
      </c>
      <c r="AX153" s="82">
        <f>Tendencial!BB391</f>
        <v>1259.2481994639902</v>
      </c>
      <c r="AY153" s="82">
        <f>Tendencial!BC391</f>
        <v>1285.1543799317697</v>
      </c>
      <c r="AZ153" s="82">
        <f>Tendencial!BD391</f>
        <v>1311.6537936673903</v>
      </c>
      <c r="BA153" s="82">
        <f>Tendencial!BE391</f>
        <v>1339.0223543389195</v>
      </c>
      <c r="BB153" s="82">
        <f>Tendencial!BF391</f>
        <v>1366.8542908937711</v>
      </c>
      <c r="BC153" s="82">
        <f>Tendencial!BG391</f>
        <v>1395.320225477283</v>
      </c>
      <c r="BD153" s="82">
        <f>Tendencial!BH391</f>
        <v>1424.0046860189786</v>
      </c>
      <c r="BE153" s="82">
        <f>Tendencial!BI391</f>
        <v>1453.1897218406025</v>
      </c>
      <c r="BF153" s="82">
        <f>Tendencial!BJ391</f>
        <v>1482.8948589290765</v>
      </c>
      <c r="BG153" s="82">
        <f>Tendencial!BK391</f>
        <v>1513.0509951408878</v>
      </c>
      <c r="BH153" s="82">
        <f>Tendencial!BL391</f>
        <v>1543.6759212965628</v>
      </c>
      <c r="BI153" s="82">
        <f>Tendencial!BM391</f>
        <v>1575.0583974626761</v>
      </c>
      <c r="BJ153" s="82">
        <f>Tendencial!BN391</f>
        <v>1607.18880586654</v>
      </c>
      <c r="BK153" s="82">
        <f>Tendencial!BO391</f>
        <v>1640.0664635172177</v>
      </c>
    </row>
    <row r="154" spans="1:63" x14ac:dyDescent="0.3">
      <c r="A154" s="386"/>
      <c r="B154" t="s">
        <v>417</v>
      </c>
      <c r="C154" s="297">
        <f t="shared" si="95"/>
        <v>201.02416595832574</v>
      </c>
      <c r="D154" s="298">
        <f t="shared" si="96"/>
        <v>199.73610791490233</v>
      </c>
      <c r="E154" s="298">
        <f t="shared" si="97"/>
        <v>302.23690714722079</v>
      </c>
      <c r="F154" s="298">
        <f t="shared" si="98"/>
        <v>331.54380971236543</v>
      </c>
      <c r="G154" s="298">
        <f t="shared" si="99"/>
        <v>386.52882714519052</v>
      </c>
      <c r="H154" s="293">
        <f t="shared" si="100"/>
        <v>475.76521316281452</v>
      </c>
      <c r="I154" s="293">
        <f t="shared" si="101"/>
        <v>580.18548353486176</v>
      </c>
      <c r="J154" s="299">
        <f t="shared" si="102"/>
        <v>710.62499523006693</v>
      </c>
      <c r="K154" s="82">
        <f>Tendencial!O392</f>
        <v>201.02416595832574</v>
      </c>
      <c r="L154" s="82">
        <f>Tendencial!P392</f>
        <v>247.82375039928598</v>
      </c>
      <c r="M154" s="82">
        <f>Tendencial!Q392</f>
        <v>199.73610791490233</v>
      </c>
      <c r="N154" s="82">
        <f>Tendencial!R392</f>
        <v>268.89999999999998</v>
      </c>
      <c r="O154" s="82">
        <f>Tendencial!S392</f>
        <v>278.16046427411652</v>
      </c>
      <c r="P154" s="82">
        <f>Tendencial!T392</f>
        <v>286.34278202271616</v>
      </c>
      <c r="Q154" s="82">
        <f>Tendencial!U392</f>
        <v>295.26171575054627</v>
      </c>
      <c r="R154" s="82">
        <f>Tendencial!V392</f>
        <v>302.23690714722079</v>
      </c>
      <c r="S154" s="82">
        <f>Tendencial!W392</f>
        <v>308.13032245789418</v>
      </c>
      <c r="T154" s="82">
        <f>Tendencial!X392</f>
        <v>315.95965367568067</v>
      </c>
      <c r="U154" s="82">
        <f>Tendencial!Y392</f>
        <v>322.76324860107144</v>
      </c>
      <c r="V154" s="82">
        <f>Tendencial!Z392</f>
        <v>326.79752061180278</v>
      </c>
      <c r="W154" s="82">
        <f>Tendencial!AA392</f>
        <v>331.54380971236543</v>
      </c>
      <c r="X154" s="82">
        <f>Tendencial!AB392</f>
        <v>338.4757814393036</v>
      </c>
      <c r="Y154" s="82">
        <f>Tendencial!AC392</f>
        <v>343.04138621448976</v>
      </c>
      <c r="Z154" s="82">
        <f>Tendencial!AD392</f>
        <v>348.94079809180738</v>
      </c>
      <c r="AA154" s="82">
        <f>Tendencial!AE392</f>
        <v>353.11777128321336</v>
      </c>
      <c r="AB154" s="82">
        <f>Tendencial!AF392</f>
        <v>357.50386379433479</v>
      </c>
      <c r="AC154" s="82">
        <f>Tendencial!AG392</f>
        <v>362.8131511021864</v>
      </c>
      <c r="AD154" s="82">
        <f>Tendencial!AH392</f>
        <v>367.61234231970269</v>
      </c>
      <c r="AE154" s="82">
        <f>Tendencial!AI392</f>
        <v>373.12562600903061</v>
      </c>
      <c r="AF154" s="82">
        <f>Tendencial!AJ392</f>
        <v>379.99205606429274</v>
      </c>
      <c r="AG154" s="82">
        <f>Tendencial!AK392</f>
        <v>386.52882714519052</v>
      </c>
      <c r="AH154" s="82">
        <f>Tendencial!AL392</f>
        <v>393.91064646059726</v>
      </c>
      <c r="AI154" s="82">
        <f>Tendencial!AM392</f>
        <v>401.71888280359383</v>
      </c>
      <c r="AJ154" s="82">
        <f>Tendencial!AN392</f>
        <v>408.42066165715079</v>
      </c>
      <c r="AK154" s="82">
        <f>Tendencial!AO392</f>
        <v>417.46818203480416</v>
      </c>
      <c r="AL154" s="82">
        <f>Tendencial!AP392</f>
        <v>425.87413560071417</v>
      </c>
      <c r="AM154" s="82">
        <f>Tendencial!AQ392</f>
        <v>436.571224141644</v>
      </c>
      <c r="AN154" s="82">
        <f>Tendencial!AR392</f>
        <v>445.9831927299482</v>
      </c>
      <c r="AO154" s="82">
        <f>Tendencial!AS392</f>
        <v>455.50687966067193</v>
      </c>
      <c r="AP154" s="82">
        <f>Tendencial!AT392</f>
        <v>465.58580404655839</v>
      </c>
      <c r="AQ154" s="82">
        <f>Tendencial!AU392</f>
        <v>475.76521316281452</v>
      </c>
      <c r="AR154" s="82">
        <f>Tendencial!AV392</f>
        <v>484.71598192334125</v>
      </c>
      <c r="AS154" s="82">
        <f>Tendencial!AW392</f>
        <v>494.02880041764917</v>
      </c>
      <c r="AT154" s="82">
        <f>Tendencial!AX392</f>
        <v>503.65522845790605</v>
      </c>
      <c r="AU154" s="82">
        <f>Tendencial!AY392</f>
        <v>513.66621993292563</v>
      </c>
      <c r="AV154" s="82">
        <f>Tendencial!AZ392</f>
        <v>524.03283682295796</v>
      </c>
      <c r="AW154" s="82">
        <f>Tendencial!BA392</f>
        <v>534.66693995657954</v>
      </c>
      <c r="AX154" s="82">
        <f>Tendencial!BB392</f>
        <v>545.62011091825127</v>
      </c>
      <c r="AY154" s="82">
        <f>Tendencial!BC392</f>
        <v>556.84500928722628</v>
      </c>
      <c r="AZ154" s="82">
        <f>Tendencial!BD392</f>
        <v>568.32694991485823</v>
      </c>
      <c r="BA154" s="82">
        <f>Tendencial!BE392</f>
        <v>580.18548353486176</v>
      </c>
      <c r="BB154" s="82">
        <f>Tendencial!BF392</f>
        <v>592.24479346009468</v>
      </c>
      <c r="BC154" s="82">
        <f>Tendencial!BG392</f>
        <v>604.57880862204502</v>
      </c>
      <c r="BD154" s="82">
        <f>Tendencial!BH392</f>
        <v>617.00750897599596</v>
      </c>
      <c r="BE154" s="82">
        <f>Tendencial!BI392</f>
        <v>629.6531037752784</v>
      </c>
      <c r="BF154" s="82">
        <f>Tendencial!BJ392</f>
        <v>642.52405344187628</v>
      </c>
      <c r="BG154" s="82">
        <f>Tendencial!BK392</f>
        <v>655.59041668286261</v>
      </c>
      <c r="BH154" s="82">
        <f>Tendencial!BL392</f>
        <v>668.85990208934174</v>
      </c>
      <c r="BI154" s="82">
        <f>Tendencial!BM392</f>
        <v>682.45762661571598</v>
      </c>
      <c r="BJ154" s="82">
        <f>Tendencial!BN392</f>
        <v>696.37942297375491</v>
      </c>
      <c r="BK154" s="82">
        <f>Tendencial!BO392</f>
        <v>710.62499523006693</v>
      </c>
    </row>
    <row r="155" spans="1:63" x14ac:dyDescent="0.3">
      <c r="A155" s="386"/>
      <c r="B155" t="s">
        <v>418</v>
      </c>
      <c r="C155" s="297">
        <f t="shared" si="95"/>
        <v>107.77264867839591</v>
      </c>
      <c r="D155" s="298">
        <f t="shared" si="96"/>
        <v>156.70408071033322</v>
      </c>
      <c r="E155" s="298">
        <f t="shared" si="97"/>
        <v>119.70334924201941</v>
      </c>
      <c r="F155" s="298">
        <f t="shared" si="98"/>
        <v>131.31058287232028</v>
      </c>
      <c r="G155" s="298">
        <f t="shared" si="99"/>
        <v>153.087839683759</v>
      </c>
      <c r="H155" s="293">
        <f t="shared" si="100"/>
        <v>188.43062551818431</v>
      </c>
      <c r="I155" s="293">
        <f t="shared" si="101"/>
        <v>229.78711043682699</v>
      </c>
      <c r="J155" s="299">
        <f t="shared" si="102"/>
        <v>281.44872440313179</v>
      </c>
      <c r="K155" s="82">
        <f>Tendencial!O393</f>
        <v>107.77264867839591</v>
      </c>
      <c r="L155" s="82">
        <f>Tendencial!P393</f>
        <v>121.71801820253535</v>
      </c>
      <c r="M155" s="82">
        <f>Tendencial!Q393</f>
        <v>156.70408071033322</v>
      </c>
      <c r="N155" s="82">
        <f>Tendencial!R393</f>
        <v>106.5</v>
      </c>
      <c r="O155" s="82">
        <f>Tendencial!S393</f>
        <v>110.16768109034368</v>
      </c>
      <c r="P155" s="82">
        <f>Tendencial!T393</f>
        <v>113.4083536088482</v>
      </c>
      <c r="Q155" s="82">
        <f>Tendencial!U393</f>
        <v>116.94076878926435</v>
      </c>
      <c r="R155" s="82">
        <f>Tendencial!V393</f>
        <v>119.70334924201941</v>
      </c>
      <c r="S155" s="82">
        <f>Tendencial!W393</f>
        <v>122.03748360641775</v>
      </c>
      <c r="T155" s="82">
        <f>Tendencial!X393</f>
        <v>125.13835298051319</v>
      </c>
      <c r="U155" s="82">
        <f>Tendencial!Y393</f>
        <v>127.83297127561961</v>
      </c>
      <c r="V155" s="82">
        <f>Tendencial!Z393</f>
        <v>129.43077703665676</v>
      </c>
      <c r="W155" s="82">
        <f>Tendencial!AA393</f>
        <v>131.31058287232028</v>
      </c>
      <c r="X155" s="82">
        <f>Tendencial!AB393</f>
        <v>134.05604582850813</v>
      </c>
      <c r="Y155" s="82">
        <f>Tendencial!AC393</f>
        <v>135.86429018907833</v>
      </c>
      <c r="Z155" s="82">
        <f>Tendencial!AD393</f>
        <v>138.20079954175341</v>
      </c>
      <c r="AA155" s="82">
        <f>Tendencial!AE393</f>
        <v>139.8551232490228</v>
      </c>
      <c r="AB155" s="82">
        <f>Tendencial!AF393</f>
        <v>141.59227033877525</v>
      </c>
      <c r="AC155" s="82">
        <f>Tendencial!AG393</f>
        <v>143.69505612637732</v>
      </c>
      <c r="AD155" s="82">
        <f>Tendencial!AH393</f>
        <v>145.59581426942486</v>
      </c>
      <c r="AE155" s="82">
        <f>Tendencial!AI393</f>
        <v>147.77939445876447</v>
      </c>
      <c r="AF155" s="82">
        <f>Tendencial!AJ393</f>
        <v>150.49889911062544</v>
      </c>
      <c r="AG155" s="82">
        <f>Tendencial!AK393</f>
        <v>153.087839683759</v>
      </c>
      <c r="AH155" s="82">
        <f>Tendencial!AL393</f>
        <v>156.01146838249764</v>
      </c>
      <c r="AI155" s="82">
        <f>Tendencial!AM393</f>
        <v>159.10398296237543</v>
      </c>
      <c r="AJ155" s="82">
        <f>Tendencial!AN393</f>
        <v>161.75827618626468</v>
      </c>
      <c r="AK155" s="82">
        <f>Tendencial!AO393</f>
        <v>165.34161913985369</v>
      </c>
      <c r="AL155" s="82">
        <f>Tendencial!AP393</f>
        <v>168.67086441605085</v>
      </c>
      <c r="AM155" s="82">
        <f>Tendencial!AQ393</f>
        <v>172.90753206056192</v>
      </c>
      <c r="AN155" s="82">
        <f>Tendencial!AR393</f>
        <v>176.63521764871513</v>
      </c>
      <c r="AO155" s="82">
        <f>Tendencial!AS393</f>
        <v>180.40715018170908</v>
      </c>
      <c r="AP155" s="82">
        <f>Tendencial!AT393</f>
        <v>184.39898895856632</v>
      </c>
      <c r="AQ155" s="82">
        <f>Tendencial!AU393</f>
        <v>188.43062551818431</v>
      </c>
      <c r="AR155" s="82">
        <f>Tendencial!AV393</f>
        <v>191.97564921843011</v>
      </c>
      <c r="AS155" s="82">
        <f>Tendencial!AW393</f>
        <v>195.66406561725418</v>
      </c>
      <c r="AT155" s="82">
        <f>Tendencial!AX393</f>
        <v>199.47668959005952</v>
      </c>
      <c r="AU155" s="82">
        <f>Tendencial!AY393</f>
        <v>203.44162299314462</v>
      </c>
      <c r="AV155" s="82">
        <f>Tendencial!AZ393</f>
        <v>207.54740469187442</v>
      </c>
      <c r="AW155" s="82">
        <f>Tendencial!BA393</f>
        <v>211.75912646104771</v>
      </c>
      <c r="AX155" s="82">
        <f>Tendencial!BB393</f>
        <v>216.09721760057184</v>
      </c>
      <c r="AY155" s="82">
        <f>Tendencial!BC393</f>
        <v>220.54292855741764</v>
      </c>
      <c r="AZ155" s="82">
        <f>Tendencial!BD393</f>
        <v>225.09044316077504</v>
      </c>
      <c r="BA155" s="82">
        <f>Tendencial!BE393</f>
        <v>229.78711043682699</v>
      </c>
      <c r="BB155" s="82">
        <f>Tendencial!BF393</f>
        <v>234.56329677761283</v>
      </c>
      <c r="BC155" s="82">
        <f>Tendencial!BG393</f>
        <v>239.44828232892451</v>
      </c>
      <c r="BD155" s="82">
        <f>Tendencial!BH393</f>
        <v>244.37076870934763</v>
      </c>
      <c r="BE155" s="82">
        <f>Tendencial!BI393</f>
        <v>249.37915787306491</v>
      </c>
      <c r="BF155" s="82">
        <f>Tendencial!BJ393</f>
        <v>254.47680063800607</v>
      </c>
      <c r="BG155" s="82">
        <f>Tendencial!BK393</f>
        <v>259.65183851515388</v>
      </c>
      <c r="BH155" s="82">
        <f>Tendencial!BL393</f>
        <v>264.90732455379288</v>
      </c>
      <c r="BI155" s="82">
        <f>Tendencial!BM393</f>
        <v>270.29281232641785</v>
      </c>
      <c r="BJ155" s="82">
        <f>Tendencial!BN393</f>
        <v>275.80665134512799</v>
      </c>
      <c r="BK155" s="82">
        <f>Tendencial!BO393</f>
        <v>281.44872440313179</v>
      </c>
    </row>
    <row r="156" spans="1:63" x14ac:dyDescent="0.3">
      <c r="A156" s="386"/>
      <c r="B156" t="s">
        <v>419</v>
      </c>
      <c r="C156" s="297">
        <f t="shared" si="95"/>
        <v>133.29921508867</v>
      </c>
      <c r="D156" s="298">
        <f t="shared" si="96"/>
        <v>211.50616730098926</v>
      </c>
      <c r="E156" s="298">
        <f t="shared" si="97"/>
        <v>246.82393453796178</v>
      </c>
      <c r="F156" s="298">
        <f t="shared" si="98"/>
        <v>270.75762638429262</v>
      </c>
      <c r="G156" s="298">
        <f t="shared" si="99"/>
        <v>315.66153461809921</v>
      </c>
      <c r="H156" s="293">
        <f t="shared" si="100"/>
        <v>388.53706828047075</v>
      </c>
      <c r="I156" s="293">
        <f t="shared" si="101"/>
        <v>473.81262983256181</v>
      </c>
      <c r="J156" s="299">
        <f t="shared" si="102"/>
        <v>580.33699113479827</v>
      </c>
      <c r="K156" s="82">
        <f>Tendencial!O394</f>
        <v>133.29921508867</v>
      </c>
      <c r="L156" s="82">
        <f>Tendencial!P394</f>
        <v>196.93190017375747</v>
      </c>
      <c r="M156" s="82">
        <f>Tendencial!Q394</f>
        <v>211.50616730098926</v>
      </c>
      <c r="N156" s="82">
        <f>Tendencial!R394</f>
        <v>219.59911059084641</v>
      </c>
      <c r="O156" s="82">
        <f>Tendencial!S394</f>
        <v>227.16173505441765</v>
      </c>
      <c r="P156" s="82">
        <f>Tendencial!T394</f>
        <v>233.84388343732647</v>
      </c>
      <c r="Q156" s="82">
        <f>Tendencial!U394</f>
        <v>241.12759453457522</v>
      </c>
      <c r="R156" s="82">
        <f>Tendencial!V394</f>
        <v>246.82393453796178</v>
      </c>
      <c r="S156" s="82">
        <f>Tendencial!W394</f>
        <v>251.63683435412523</v>
      </c>
      <c r="T156" s="82">
        <f>Tendencial!X394</f>
        <v>258.03071375891165</v>
      </c>
      <c r="U156" s="82">
        <f>Tendencial!Y394</f>
        <v>263.58691827522335</v>
      </c>
      <c r="V156" s="82">
        <f>Tendencial!Z394</f>
        <v>266.88153540217814</v>
      </c>
      <c r="W156" s="82">
        <f>Tendencial!AA394</f>
        <v>270.75762638429262</v>
      </c>
      <c r="X156" s="82">
        <f>Tendencial!AB394</f>
        <v>276.41867073489328</v>
      </c>
      <c r="Y156" s="82">
        <f>Tendencial!AC394</f>
        <v>280.14720456881003</v>
      </c>
      <c r="Z156" s="82">
        <f>Tendencial!AD394</f>
        <v>284.96500152406486</v>
      </c>
      <c r="AA156" s="82">
        <f>Tendencial!AE394</f>
        <v>288.37615659209968</v>
      </c>
      <c r="AB156" s="82">
        <f>Tendencial!AF394</f>
        <v>291.95809045008195</v>
      </c>
      <c r="AC156" s="82">
        <f>Tendencial!AG394</f>
        <v>296.29395794980485</v>
      </c>
      <c r="AD156" s="82">
        <f>Tendencial!AH394</f>
        <v>300.21325182456121</v>
      </c>
      <c r="AE156" s="82">
        <f>Tendencial!AI394</f>
        <v>304.71571443003324</v>
      </c>
      <c r="AF156" s="82">
        <f>Tendencial!AJ394</f>
        <v>310.32323370511625</v>
      </c>
      <c r="AG156" s="82">
        <f>Tendencial!AK394</f>
        <v>315.66153461809921</v>
      </c>
      <c r="AH156" s="82">
        <f>Tendencial!AL394</f>
        <v>321.6899502231779</v>
      </c>
      <c r="AI156" s="82">
        <f>Tendencial!AM394</f>
        <v>328.0666023474069</v>
      </c>
      <c r="AJ156" s="82">
        <f>Tendencial!AN394</f>
        <v>333.5396580395514</v>
      </c>
      <c r="AK156" s="82">
        <f>Tendencial!AO394</f>
        <v>340.92838034518633</v>
      </c>
      <c r="AL156" s="82">
        <f>Tendencial!AP394</f>
        <v>347.79316251975604</v>
      </c>
      <c r="AM156" s="82">
        <f>Tendencial!AQ394</f>
        <v>356.52901647847574</v>
      </c>
      <c r="AN156" s="82">
        <f>Tendencial!AR394</f>
        <v>364.21536802514959</v>
      </c>
      <c r="AO156" s="82">
        <f>Tendencial!AS394</f>
        <v>371.9929551561745</v>
      </c>
      <c r="AP156" s="82">
        <f>Tendencial!AT394</f>
        <v>380.22398093100924</v>
      </c>
      <c r="AQ156" s="82">
        <f>Tendencial!AU394</f>
        <v>388.53706828047075</v>
      </c>
      <c r="AR156" s="82">
        <f>Tendencial!AV394</f>
        <v>395.84677768514166</v>
      </c>
      <c r="AS156" s="82">
        <f>Tendencial!AW394</f>
        <v>403.45215759754035</v>
      </c>
      <c r="AT156" s="82">
        <f>Tendencial!AX394</f>
        <v>411.31364899139379</v>
      </c>
      <c r="AU156" s="82">
        <f>Tendencial!AY394</f>
        <v>419.489196868102</v>
      </c>
      <c r="AV156" s="82">
        <f>Tendencial!AZ394</f>
        <v>427.9551687866113</v>
      </c>
      <c r="AW156" s="82">
        <f>Tendencial!BA394</f>
        <v>436.63958526141471</v>
      </c>
      <c r="AX156" s="82">
        <f>Tendencial!BB394</f>
        <v>445.58457076283753</v>
      </c>
      <c r="AY156" s="82">
        <f>Tendencial!BC394</f>
        <v>454.75146439727246</v>
      </c>
      <c r="AZ156" s="82">
        <f>Tendencial!BD394</f>
        <v>464.1282734329173</v>
      </c>
      <c r="BA156" s="82">
        <f>Tendencial!BE394</f>
        <v>473.81262983256181</v>
      </c>
      <c r="BB156" s="82">
        <f>Tendencial!BF394</f>
        <v>483.66095163962962</v>
      </c>
      <c r="BC156" s="82">
        <f>Tendencial!BG394</f>
        <v>493.73361344542468</v>
      </c>
      <c r="BD156" s="82">
        <f>Tendencial!BH394</f>
        <v>503.88360059130707</v>
      </c>
      <c r="BE156" s="82">
        <f>Tendencial!BI394</f>
        <v>514.21071613914887</v>
      </c>
      <c r="BF156" s="82">
        <f>Tendencial!BJ394</f>
        <v>524.72186935314835</v>
      </c>
      <c r="BG156" s="82">
        <f>Tendencial!BK394</f>
        <v>535.39260846202717</v>
      </c>
      <c r="BH156" s="82">
        <f>Tendencial!BL394</f>
        <v>546.22922874191204</v>
      </c>
      <c r="BI156" s="82">
        <f>Tendencial!BM394</f>
        <v>557.33390784957703</v>
      </c>
      <c r="BJ156" s="82">
        <f>Tendencial!BN394</f>
        <v>568.70324253924696</v>
      </c>
      <c r="BK156" s="82">
        <f>Tendencial!BO394</f>
        <v>580.33699113479827</v>
      </c>
    </row>
    <row r="157" spans="1:63" x14ac:dyDescent="0.3">
      <c r="A157" s="386"/>
      <c r="B157" t="s">
        <v>420</v>
      </c>
      <c r="C157" s="297">
        <f t="shared" si="95"/>
        <v>1048.1144799708336</v>
      </c>
      <c r="D157" s="298">
        <f t="shared" si="96"/>
        <v>503.48773330439957</v>
      </c>
      <c r="E157" s="298">
        <f t="shared" si="97"/>
        <v>558.32540816529058</v>
      </c>
      <c r="F157" s="298">
        <f t="shared" si="98"/>
        <v>612.46435661864541</v>
      </c>
      <c r="G157" s="298">
        <f t="shared" si="99"/>
        <v>714.03875595632746</v>
      </c>
      <c r="H157" s="293">
        <f t="shared" si="100"/>
        <v>878.88606767863939</v>
      </c>
      <c r="I157" s="293">
        <f t="shared" si="101"/>
        <v>1071.7827282039698</v>
      </c>
      <c r="J157" s="299">
        <f t="shared" si="102"/>
        <v>1312.745006092262</v>
      </c>
      <c r="K157" s="82">
        <f>Tendencial!O395</f>
        <v>1048.1144799708336</v>
      </c>
      <c r="L157" s="82">
        <f>Tendencial!P395</f>
        <v>683.87502065145532</v>
      </c>
      <c r="M157" s="82">
        <f>Tendencial!Q395</f>
        <v>503.48773330439957</v>
      </c>
      <c r="N157" s="82">
        <f>Tendencial!R395</f>
        <v>496.74178998435787</v>
      </c>
      <c r="O157" s="82">
        <f>Tendencial!S395</f>
        <v>513.84874275345737</v>
      </c>
      <c r="P157" s="82">
        <f>Tendencial!T395</f>
        <v>528.9640241393264</v>
      </c>
      <c r="Q157" s="82">
        <f>Tendencial!U395</f>
        <v>545.44006394860185</v>
      </c>
      <c r="R157" s="82">
        <f>Tendencial!V395</f>
        <v>558.32540816529058</v>
      </c>
      <c r="S157" s="82">
        <f>Tendencial!W395</f>
        <v>569.21237607360263</v>
      </c>
      <c r="T157" s="82">
        <f>Tendencial!X395</f>
        <v>583.67558173929126</v>
      </c>
      <c r="U157" s="82">
        <f>Tendencial!Y395</f>
        <v>596.24393399502617</v>
      </c>
      <c r="V157" s="82">
        <f>Tendencial!Z395</f>
        <v>603.69648698831168</v>
      </c>
      <c r="W157" s="82">
        <f>Tendencial!AA395</f>
        <v>612.46435661864541</v>
      </c>
      <c r="X157" s="82">
        <f>Tendencial!AB395</f>
        <v>625.26986068618066</v>
      </c>
      <c r="Y157" s="82">
        <f>Tendencial!AC395</f>
        <v>633.7039502673897</v>
      </c>
      <c r="Z157" s="82">
        <f>Tendencial!AD395</f>
        <v>644.60199569615031</v>
      </c>
      <c r="AA157" s="82">
        <f>Tendencial!AE395</f>
        <v>652.31816207701934</v>
      </c>
      <c r="AB157" s="82">
        <f>Tendencial!AF395</f>
        <v>660.42063677025646</v>
      </c>
      <c r="AC157" s="82">
        <f>Tendencial!AG395</f>
        <v>670.22853889314024</v>
      </c>
      <c r="AD157" s="82">
        <f>Tendencial!AH395</f>
        <v>679.09413515891288</v>
      </c>
      <c r="AE157" s="82">
        <f>Tendencial!AI395</f>
        <v>689.27888193663068</v>
      </c>
      <c r="AF157" s="82">
        <f>Tendencial!AJ395</f>
        <v>701.96331018673595</v>
      </c>
      <c r="AG157" s="82">
        <f>Tendencial!AK395</f>
        <v>714.03875595632746</v>
      </c>
      <c r="AH157" s="82">
        <f>Tendencial!AL395</f>
        <v>727.67526819164266</v>
      </c>
      <c r="AI157" s="82">
        <f>Tendencial!AM395</f>
        <v>742.09950507390761</v>
      </c>
      <c r="AJ157" s="82">
        <f>Tendencial!AN395</f>
        <v>754.47977143238734</v>
      </c>
      <c r="AK157" s="82">
        <f>Tendencial!AO395</f>
        <v>771.19335070838395</v>
      </c>
      <c r="AL157" s="82">
        <f>Tendencial!AP395</f>
        <v>786.72175688486413</v>
      </c>
      <c r="AM157" s="82">
        <f>Tendencial!AQ395</f>
        <v>806.48260072808705</v>
      </c>
      <c r="AN157" s="82">
        <f>Tendencial!AR395</f>
        <v>823.86942900562815</v>
      </c>
      <c r="AO157" s="82">
        <f>Tendencial!AS395</f>
        <v>841.46263574872353</v>
      </c>
      <c r="AP157" s="82">
        <f>Tendencial!AT395</f>
        <v>860.08153846557821</v>
      </c>
      <c r="AQ157" s="82">
        <f>Tendencial!AU395</f>
        <v>878.88606767863939</v>
      </c>
      <c r="AR157" s="82">
        <f>Tendencial!AV395</f>
        <v>895.42091667767295</v>
      </c>
      <c r="AS157" s="82">
        <f>Tendencial!AW395</f>
        <v>912.62458394677651</v>
      </c>
      <c r="AT157" s="82">
        <f>Tendencial!AX395</f>
        <v>930.40758541896992</v>
      </c>
      <c r="AU157" s="82">
        <f>Tendencial!AY395</f>
        <v>948.90099495716015</v>
      </c>
      <c r="AV157" s="82">
        <f>Tendencial!AZ395</f>
        <v>968.05135505398698</v>
      </c>
      <c r="AW157" s="82">
        <f>Tendencial!BA395</f>
        <v>987.69584529375447</v>
      </c>
      <c r="AX157" s="82">
        <f>Tendencial!BB395</f>
        <v>1007.9297528783788</v>
      </c>
      <c r="AY157" s="82">
        <f>Tendencial!BC395</f>
        <v>1028.6656253521503</v>
      </c>
      <c r="AZ157" s="82">
        <f>Tendencial!BD395</f>
        <v>1049.8763346859698</v>
      </c>
      <c r="BA157" s="82">
        <f>Tendencial!BE395</f>
        <v>1071.7827282039698</v>
      </c>
      <c r="BB157" s="82">
        <f>Tendencial!BF395</f>
        <v>1094.0600178961838</v>
      </c>
      <c r="BC157" s="82">
        <f>Tendencial!BG395</f>
        <v>1116.8447734530503</v>
      </c>
      <c r="BD157" s="82">
        <f>Tendencial!BH395</f>
        <v>1139.8044419580738</v>
      </c>
      <c r="BE157" s="82">
        <f>Tendencial!BI395</f>
        <v>1163.1647818465542</v>
      </c>
      <c r="BF157" s="82">
        <f>Tendencial!BJ395</f>
        <v>1186.9414221447485</v>
      </c>
      <c r="BG157" s="82">
        <f>Tendencial!BK395</f>
        <v>1211.0790519882344</v>
      </c>
      <c r="BH157" s="82">
        <f>Tendencial!BL395</f>
        <v>1235.5919115382001</v>
      </c>
      <c r="BI157" s="82">
        <f>Tendencial!BM395</f>
        <v>1260.7111306566283</v>
      </c>
      <c r="BJ157" s="82">
        <f>Tendencial!BN395</f>
        <v>1286.4290110682682</v>
      </c>
      <c r="BK157" s="82">
        <f>Tendencial!BO395</f>
        <v>1312.745006092262</v>
      </c>
    </row>
    <row r="158" spans="1:63" x14ac:dyDescent="0.3">
      <c r="A158" s="386"/>
      <c r="B158" t="s">
        <v>421</v>
      </c>
      <c r="C158" s="297">
        <f t="shared" si="95"/>
        <v>330.0776224697172</v>
      </c>
      <c r="D158" s="298">
        <f t="shared" si="96"/>
        <v>370.99405287354472</v>
      </c>
      <c r="E158" s="298">
        <f t="shared" si="97"/>
        <v>527.93110928616454</v>
      </c>
      <c r="F158" s="298">
        <f t="shared" si="98"/>
        <v>579.12282417961353</v>
      </c>
      <c r="G158" s="298">
        <f t="shared" si="99"/>
        <v>675.16768356301986</v>
      </c>
      <c r="H158" s="293">
        <f t="shared" si="100"/>
        <v>831.04098409287496</v>
      </c>
      <c r="I158" s="293">
        <f t="shared" si="101"/>
        <v>1013.4366739171612</v>
      </c>
      <c r="J158" s="299">
        <f t="shared" si="102"/>
        <v>1241.2813695037655</v>
      </c>
      <c r="K158" s="82">
        <f>Tendencial!O396</f>
        <v>330.0776224697172</v>
      </c>
      <c r="L158" s="82">
        <f>Tendencial!P396</f>
        <v>414.51562066941744</v>
      </c>
      <c r="M158" s="82">
        <f>Tendencial!Q396</f>
        <v>370.99405287354472</v>
      </c>
      <c r="N158" s="82">
        <f>Tendencial!R396</f>
        <v>469.70000000000005</v>
      </c>
      <c r="O158" s="82">
        <f>Tendencial!S396</f>
        <v>485.87567894961904</v>
      </c>
      <c r="P158" s="82">
        <f>Tendencial!T396</f>
        <v>500.16810976597185</v>
      </c>
      <c r="Q158" s="82">
        <f>Tendencial!U396</f>
        <v>515.7472215992251</v>
      </c>
      <c r="R158" s="82">
        <f>Tendencial!V396</f>
        <v>527.93110928616454</v>
      </c>
      <c r="S158" s="82">
        <f>Tendencial!W396</f>
        <v>538.22540891957203</v>
      </c>
      <c r="T158" s="82">
        <f>Tendencial!X396</f>
        <v>551.90126192438549</v>
      </c>
      <c r="U158" s="82">
        <f>Tendencial!Y396</f>
        <v>563.78541416111307</v>
      </c>
      <c r="V158" s="82">
        <f>Tendencial!Z396</f>
        <v>570.83226266777172</v>
      </c>
      <c r="W158" s="82">
        <f>Tendencial!AA396</f>
        <v>579.12282417961353</v>
      </c>
      <c r="X158" s="82">
        <f>Tendencial!AB396</f>
        <v>591.23121808122323</v>
      </c>
      <c r="Y158" s="82">
        <f>Tendencial!AC396</f>
        <v>599.20616997004788</v>
      </c>
      <c r="Z158" s="82">
        <f>Tendencial!AD396</f>
        <v>609.51094408226834</v>
      </c>
      <c r="AA158" s="82">
        <f>Tendencial!AE396</f>
        <v>616.80705530578416</v>
      </c>
      <c r="AB158" s="82">
        <f>Tendencial!AF396</f>
        <v>624.4684448650022</v>
      </c>
      <c r="AC158" s="82">
        <f>Tendencial!AG396</f>
        <v>633.74242124468947</v>
      </c>
      <c r="AD158" s="82">
        <f>Tendencial!AH396</f>
        <v>642.12538931782967</v>
      </c>
      <c r="AE158" s="82">
        <f>Tendencial!AI396</f>
        <v>651.7556955613303</v>
      </c>
      <c r="AF158" s="82">
        <f>Tendencial!AJ396</f>
        <v>663.74960480996037</v>
      </c>
      <c r="AG158" s="82">
        <f>Tendencial!AK396</f>
        <v>675.16768356301986</v>
      </c>
      <c r="AH158" s="82">
        <f>Tendencial!AL396</f>
        <v>688.06184694140052</v>
      </c>
      <c r="AI158" s="82">
        <f>Tendencial!AM396</f>
        <v>701.700852558007</v>
      </c>
      <c r="AJ158" s="82">
        <f>Tendencial!AN396</f>
        <v>713.40715797829603</v>
      </c>
      <c r="AK158" s="82">
        <f>Tendencial!AO396</f>
        <v>729.21087802806835</v>
      </c>
      <c r="AL158" s="82">
        <f>Tendencial!AP396</f>
        <v>743.89394381426371</v>
      </c>
      <c r="AM158" s="82">
        <f>Tendencial!AQ396</f>
        <v>762.57904045864734</v>
      </c>
      <c r="AN158" s="82">
        <f>Tendencial!AR396</f>
        <v>779.01935896339444</v>
      </c>
      <c r="AO158" s="82">
        <f>Tendencial!AS396</f>
        <v>795.65482103613874</v>
      </c>
      <c r="AP158" s="82">
        <f>Tendencial!AT396</f>
        <v>813.26014191397758</v>
      </c>
      <c r="AQ158" s="82">
        <f>Tendencial!AU396</f>
        <v>831.04098409287496</v>
      </c>
      <c r="AR158" s="82">
        <f>Tendencial!AV396</f>
        <v>846.67570364222195</v>
      </c>
      <c r="AS158" s="82">
        <f>Tendencial!AW396</f>
        <v>862.94283211666004</v>
      </c>
      <c r="AT158" s="82">
        <f>Tendencial!AX396</f>
        <v>879.75775681174616</v>
      </c>
      <c r="AU158" s="82">
        <f>Tendencial!AY396</f>
        <v>897.24441614910836</v>
      </c>
      <c r="AV158" s="82">
        <f>Tendencial!AZ396</f>
        <v>915.35226275843593</v>
      </c>
      <c r="AW158" s="82">
        <f>Tendencial!BA396</f>
        <v>933.92733989440501</v>
      </c>
      <c r="AX158" s="82">
        <f>Tendencial!BB396</f>
        <v>953.05974748346114</v>
      </c>
      <c r="AY158" s="82">
        <f>Tendencial!BC396</f>
        <v>972.66679383492101</v>
      </c>
      <c r="AZ158" s="82">
        <f>Tendencial!BD396</f>
        <v>992.72282772409449</v>
      </c>
      <c r="BA158" s="82">
        <f>Tendencial!BE396</f>
        <v>1013.4366739171612</v>
      </c>
      <c r="BB158" s="82">
        <f>Tendencial!BF396</f>
        <v>1034.5012253187303</v>
      </c>
      <c r="BC158" s="82">
        <f>Tendencial!BG396</f>
        <v>1056.0456169943275</v>
      </c>
      <c r="BD158" s="82">
        <f>Tendencial!BH396</f>
        <v>1077.7553996505221</v>
      </c>
      <c r="BE158" s="82">
        <f>Tendencial!BI396</f>
        <v>1099.8440418120058</v>
      </c>
      <c r="BF158" s="82">
        <f>Tendencial!BJ396</f>
        <v>1122.3263216870562</v>
      </c>
      <c r="BG158" s="82">
        <f>Tendencial!BK396</f>
        <v>1145.1499394419511</v>
      </c>
      <c r="BH158" s="82">
        <f>Tendencial!BL396</f>
        <v>1168.3283600273853</v>
      </c>
      <c r="BI158" s="82">
        <f>Tendencial!BM396</f>
        <v>1192.0801309832723</v>
      </c>
      <c r="BJ158" s="82">
        <f>Tendencial!BN396</f>
        <v>1216.3979731155553</v>
      </c>
      <c r="BK158" s="82">
        <f>Tendencial!BO396</f>
        <v>1241.2813695037655</v>
      </c>
    </row>
    <row r="159" spans="1:63" x14ac:dyDescent="0.3">
      <c r="A159" s="386"/>
      <c r="B159" t="s">
        <v>422</v>
      </c>
      <c r="C159" s="297">
        <f t="shared" si="95"/>
        <v>462</v>
      </c>
      <c r="D159" s="298">
        <f t="shared" si="96"/>
        <v>495.5</v>
      </c>
      <c r="E159" s="298">
        <f t="shared" si="97"/>
        <v>605.48539189367011</v>
      </c>
      <c r="F159" s="298">
        <f t="shared" si="98"/>
        <v>664.1972863222436</v>
      </c>
      <c r="G159" s="298">
        <f t="shared" si="99"/>
        <v>774.35135434404685</v>
      </c>
      <c r="H159" s="293">
        <f t="shared" si="100"/>
        <v>953.12279780888139</v>
      </c>
      <c r="I159" s="293">
        <f t="shared" si="101"/>
        <v>1162.3128299748234</v>
      </c>
      <c r="J159" s="299">
        <f t="shared" si="102"/>
        <v>1423.6284303846676</v>
      </c>
      <c r="K159" s="82">
        <f>Tendencial!O397</f>
        <v>462</v>
      </c>
      <c r="L159" s="82">
        <f>Tendencial!P397</f>
        <v>486</v>
      </c>
      <c r="M159" s="82">
        <f>Tendencial!Q397</f>
        <v>495.5</v>
      </c>
      <c r="N159" s="82">
        <f>Tendencial!R397</f>
        <v>538.70000000000005</v>
      </c>
      <c r="O159" s="82">
        <f>Tendencial!S397</f>
        <v>557.25192303632059</v>
      </c>
      <c r="P159" s="82">
        <f>Tendencial!T397</f>
        <v>573.64394449846509</v>
      </c>
      <c r="Q159" s="82">
        <f>Tendencial!U397</f>
        <v>591.51166335001608</v>
      </c>
      <c r="R159" s="82">
        <f>Tendencial!V397</f>
        <v>605.48539189367011</v>
      </c>
      <c r="S159" s="82">
        <f>Tendencial!W397</f>
        <v>617.29194759415259</v>
      </c>
      <c r="T159" s="82">
        <f>Tendencial!X397</f>
        <v>632.97681455964755</v>
      </c>
      <c r="U159" s="82">
        <f>Tendencial!Y397</f>
        <v>646.60677583264123</v>
      </c>
      <c r="V159" s="82">
        <f>Tendencial!Z397</f>
        <v>654.68882243799999</v>
      </c>
      <c r="W159" s="82">
        <f>Tendencial!AA397</f>
        <v>664.1972863222436</v>
      </c>
      <c r="X159" s="82">
        <f>Tendencial!AB397</f>
        <v>678.08443087152432</v>
      </c>
      <c r="Y159" s="82">
        <f>Tendencial!AC397</f>
        <v>687.23092136015498</v>
      </c>
      <c r="Z159" s="82">
        <f>Tendencial!AD397</f>
        <v>699.04949026424947</v>
      </c>
      <c r="AA159" s="82">
        <f>Tendencial!AE397</f>
        <v>707.41741684740452</v>
      </c>
      <c r="AB159" s="82">
        <f>Tendencial!AF397</f>
        <v>716.20428198589889</v>
      </c>
      <c r="AC159" s="82">
        <f>Tendencial!AG397</f>
        <v>726.84062662234237</v>
      </c>
      <c r="AD159" s="82">
        <f>Tendencial!AH397</f>
        <v>736.45507180224581</v>
      </c>
      <c r="AE159" s="82">
        <f>Tendencial!AI397</f>
        <v>747.50009197123404</v>
      </c>
      <c r="AF159" s="82">
        <f>Tendencial!AJ397</f>
        <v>761.25593381121064</v>
      </c>
      <c r="AG159" s="82">
        <f>Tendencial!AK397</f>
        <v>774.35135434404685</v>
      </c>
      <c r="AH159" s="82">
        <f>Tendencial!AL397</f>
        <v>789.13969969625816</v>
      </c>
      <c r="AI159" s="82">
        <f>Tendencial!AM397</f>
        <v>804.78230630827841</v>
      </c>
      <c r="AJ159" s="82">
        <f>Tendencial!AN397</f>
        <v>818.20829466235477</v>
      </c>
      <c r="AK159" s="82">
        <f>Tendencial!AO397</f>
        <v>836.33361718910021</v>
      </c>
      <c r="AL159" s="82">
        <f>Tendencial!AP397</f>
        <v>853.17365878804299</v>
      </c>
      <c r="AM159" s="82">
        <f>Tendencial!AQ397</f>
        <v>874.6036386950675</v>
      </c>
      <c r="AN159" s="82">
        <f>Tendencial!AR397</f>
        <v>893.45907744002648</v>
      </c>
      <c r="AO159" s="82">
        <f>Tendencial!AS397</f>
        <v>912.53832678766821</v>
      </c>
      <c r="AP159" s="82">
        <f>Tendencial!AT397</f>
        <v>932.72990940825969</v>
      </c>
      <c r="AQ159" s="82">
        <f>Tendencial!AU397</f>
        <v>953.12279780888139</v>
      </c>
      <c r="AR159" s="82">
        <f>Tendencial!AV397</f>
        <v>971.05429327669742</v>
      </c>
      <c r="AS159" s="82">
        <f>Tendencial!AW397</f>
        <v>989.71109998135955</v>
      </c>
      <c r="AT159" s="82">
        <f>Tendencial!AX397</f>
        <v>1008.9961754193899</v>
      </c>
      <c r="AU159" s="82">
        <f>Tendencial!AY397</f>
        <v>1029.0516648488917</v>
      </c>
      <c r="AV159" s="82">
        <f>Tendencial!AZ397</f>
        <v>1049.8195953757063</v>
      </c>
      <c r="AW159" s="82">
        <f>Tendencial!BA397</f>
        <v>1071.1233936579004</v>
      </c>
      <c r="AX159" s="82">
        <f>Tendencial!BB397</f>
        <v>1093.0663955063665</v>
      </c>
      <c r="AY159" s="82">
        <f>Tendencial!BC397</f>
        <v>1115.5537616326842</v>
      </c>
      <c r="AZ159" s="82">
        <f>Tendencial!BD397</f>
        <v>1138.5560725888217</v>
      </c>
      <c r="BA159" s="82">
        <f>Tendencial!BE397</f>
        <v>1162.3128299748234</v>
      </c>
      <c r="BB159" s="82">
        <f>Tendencial!BF397</f>
        <v>1186.4718119633806</v>
      </c>
      <c r="BC159" s="82">
        <f>Tendencial!BG397</f>
        <v>1211.1811238553205</v>
      </c>
      <c r="BD159" s="82">
        <f>Tendencial!BH397</f>
        <v>1236.0801230396767</v>
      </c>
      <c r="BE159" s="82">
        <f>Tendencial!BI397</f>
        <v>1261.4136370537094</v>
      </c>
      <c r="BF159" s="82">
        <f>Tendencial!BJ397</f>
        <v>1287.1986150581583</v>
      </c>
      <c r="BG159" s="82">
        <f>Tendencial!BK397</f>
        <v>1313.3750742545858</v>
      </c>
      <c r="BH159" s="82">
        <f>Tendencial!BL397</f>
        <v>1339.958457625617</v>
      </c>
      <c r="BI159" s="82">
        <f>Tendencial!BM397</f>
        <v>1367.1994178426412</v>
      </c>
      <c r="BJ159" s="82">
        <f>Tendencial!BN397</f>
        <v>1395.0896063814125</v>
      </c>
      <c r="BK159" s="82">
        <f>Tendencial!BO397</f>
        <v>1423.6284303846676</v>
      </c>
    </row>
    <row r="160" spans="1:63" x14ac:dyDescent="0.3">
      <c r="A160" s="386"/>
      <c r="B160" t="s">
        <v>423</v>
      </c>
      <c r="C160" s="297">
        <f t="shared" si="95"/>
        <v>1244.0659714179023</v>
      </c>
      <c r="D160" s="298">
        <f t="shared" si="96"/>
        <v>607.660123075569</v>
      </c>
      <c r="E160" s="298">
        <f t="shared" si="97"/>
        <v>656.835014039778</v>
      </c>
      <c r="F160" s="298">
        <f t="shared" si="98"/>
        <v>720.52610967576709</v>
      </c>
      <c r="G160" s="298">
        <f t="shared" si="99"/>
        <v>840.02205422589725</v>
      </c>
      <c r="H160" s="293">
        <f t="shared" si="100"/>
        <v>1033.9546331951301</v>
      </c>
      <c r="I160" s="293">
        <f t="shared" si="101"/>
        <v>1260.8855212962715</v>
      </c>
      <c r="J160" s="299">
        <f t="shared" si="102"/>
        <v>1544.3626098635132</v>
      </c>
      <c r="K160" s="82">
        <f>Tendencial!O398</f>
        <v>1244.0659714179023</v>
      </c>
      <c r="L160" s="82">
        <f>Tendencial!P398</f>
        <v>618.36073373563374</v>
      </c>
      <c r="M160" s="82">
        <f>Tendencial!Q398</f>
        <v>607.660123075569</v>
      </c>
      <c r="N160" s="82">
        <f>Tendencial!R398</f>
        <v>584.38572887216105</v>
      </c>
      <c r="O160" s="82">
        <f>Tendencial!S398</f>
        <v>604.5109916632515</v>
      </c>
      <c r="P160" s="82">
        <f>Tendencial!T398</f>
        <v>622.29317731360118</v>
      </c>
      <c r="Q160" s="82">
        <f>Tendencial!U398</f>
        <v>641.67621036417938</v>
      </c>
      <c r="R160" s="82">
        <f>Tendencial!V398</f>
        <v>656.835014039778</v>
      </c>
      <c r="S160" s="82">
        <f>Tendencial!W398</f>
        <v>669.64285264845864</v>
      </c>
      <c r="T160" s="82">
        <f>Tendencial!X398</f>
        <v>686.65791189088236</v>
      </c>
      <c r="U160" s="82">
        <f>Tendencial!Y398</f>
        <v>701.44379429856338</v>
      </c>
      <c r="V160" s="82">
        <f>Tendencial!Z398</f>
        <v>710.21125800053358</v>
      </c>
      <c r="W160" s="82">
        <f>Tendencial!AA398</f>
        <v>720.52610967576709</v>
      </c>
      <c r="X160" s="82">
        <f>Tendencial!AB398</f>
        <v>735.59098639636204</v>
      </c>
      <c r="Y160" s="82">
        <f>Tendencial!AC398</f>
        <v>745.51316666519574</v>
      </c>
      <c r="Z160" s="82">
        <f>Tendencial!AD398</f>
        <v>758.33403728566191</v>
      </c>
      <c r="AA160" s="82">
        <f>Tendencial!AE398</f>
        <v>767.41162569376627</v>
      </c>
      <c r="AB160" s="82">
        <f>Tendencial!AF398</f>
        <v>776.94368173323232</v>
      </c>
      <c r="AC160" s="82">
        <f>Tendencial!AG398</f>
        <v>788.48206675811355</v>
      </c>
      <c r="AD160" s="82">
        <f>Tendencial!AH398</f>
        <v>798.91188772369605</v>
      </c>
      <c r="AE160" s="82">
        <f>Tendencial!AI398</f>
        <v>810.89360697719883</v>
      </c>
      <c r="AF160" s="82">
        <f>Tendencial!AJ398</f>
        <v>825.81604555136801</v>
      </c>
      <c r="AG160" s="82">
        <f>Tendencial!AK398</f>
        <v>840.02205422589725</v>
      </c>
      <c r="AH160" s="82">
        <f>Tendencial!AL398</f>
        <v>856.06456021710801</v>
      </c>
      <c r="AI160" s="82">
        <f>Tendencial!AM398</f>
        <v>873.0337751167292</v>
      </c>
      <c r="AJ160" s="82">
        <f>Tendencial!AN398</f>
        <v>887.59838619919833</v>
      </c>
      <c r="AK160" s="82">
        <f>Tendencial!AO398</f>
        <v>907.26086961452256</v>
      </c>
      <c r="AL160" s="82">
        <f>Tendencial!AP398</f>
        <v>925.52907081005935</v>
      </c>
      <c r="AM160" s="82">
        <f>Tendencial!AQ398</f>
        <v>948.77647089857305</v>
      </c>
      <c r="AN160" s="82">
        <f>Tendencial!AR398</f>
        <v>969.23098976654649</v>
      </c>
      <c r="AO160" s="82">
        <f>Tendencial!AS398</f>
        <v>989.92830002523465</v>
      </c>
      <c r="AP160" s="82">
        <f>Tendencial!AT398</f>
        <v>1011.8322776135338</v>
      </c>
      <c r="AQ160" s="82">
        <f>Tendencial!AU398</f>
        <v>1033.9546331951301</v>
      </c>
      <c r="AR160" s="82">
        <f>Tendencial!AV398</f>
        <v>1053.4068515889069</v>
      </c>
      <c r="AS160" s="82">
        <f>Tendencial!AW398</f>
        <v>1073.6458929561447</v>
      </c>
      <c r="AT160" s="82">
        <f>Tendencial!AX398</f>
        <v>1094.5664848741103</v>
      </c>
      <c r="AU160" s="82">
        <f>Tendencial!AY398</f>
        <v>1116.322827566049</v>
      </c>
      <c r="AV160" s="82">
        <f>Tendencial!AZ398</f>
        <v>1138.852031609262</v>
      </c>
      <c r="AW160" s="82">
        <f>Tendencial!BA398</f>
        <v>1161.9625489415164</v>
      </c>
      <c r="AX160" s="82">
        <f>Tendencial!BB398</f>
        <v>1185.7664790117949</v>
      </c>
      <c r="AY160" s="82">
        <f>Tendencial!BC398</f>
        <v>1210.1609394612906</v>
      </c>
      <c r="AZ160" s="82">
        <f>Tendencial!BD398</f>
        <v>1235.1140158560306</v>
      </c>
      <c r="BA160" s="82">
        <f>Tendencial!BE398</f>
        <v>1260.8855212962715</v>
      </c>
      <c r="BB160" s="82">
        <f>Tendencial!BF398</f>
        <v>1287.093362948754</v>
      </c>
      <c r="BC160" s="82">
        <f>Tendencial!BG398</f>
        <v>1313.8982065349817</v>
      </c>
      <c r="BD160" s="82">
        <f>Tendencial!BH398</f>
        <v>1340.9088242935436</v>
      </c>
      <c r="BE160" s="82">
        <f>Tendencial!BI398</f>
        <v>1368.3908069406268</v>
      </c>
      <c r="BF160" s="82">
        <f>Tendencial!BJ398</f>
        <v>1396.3625410506741</v>
      </c>
      <c r="BG160" s="82">
        <f>Tendencial!BK398</f>
        <v>1424.7589568420174</v>
      </c>
      <c r="BH160" s="82">
        <f>Tendencial!BL398</f>
        <v>1453.5968069759847</v>
      </c>
      <c r="BI160" s="82">
        <f>Tendencial!BM398</f>
        <v>1483.1480013171824</v>
      </c>
      <c r="BJ160" s="82">
        <f>Tendencial!BN398</f>
        <v>1513.4034833250009</v>
      </c>
      <c r="BK160" s="82">
        <f>Tendencial!BO398</f>
        <v>1544.3626098635132</v>
      </c>
    </row>
    <row r="161" spans="1:63" x14ac:dyDescent="0.3">
      <c r="A161" s="386"/>
      <c r="B161" t="s">
        <v>424</v>
      </c>
      <c r="C161" s="297">
        <f t="shared" si="95"/>
        <v>901.23942272500881</v>
      </c>
      <c r="D161" s="298">
        <f t="shared" si="96"/>
        <v>618.24892948451316</v>
      </c>
      <c r="E161" s="298">
        <f t="shared" si="97"/>
        <v>917.44956066036684</v>
      </c>
      <c r="F161" s="298">
        <f t="shared" si="98"/>
        <v>1006.4115776969265</v>
      </c>
      <c r="G161" s="298">
        <f t="shared" si="99"/>
        <v>1173.3203135055403</v>
      </c>
      <c r="H161" s="293">
        <f t="shared" si="100"/>
        <v>1444.2001472080103</v>
      </c>
      <c r="I161" s="293">
        <f t="shared" si="101"/>
        <v>1761.1711355665125</v>
      </c>
      <c r="J161" s="299">
        <f t="shared" si="102"/>
        <v>2157.12434269494</v>
      </c>
      <c r="K161" s="82">
        <f>Tendencial!O399</f>
        <v>901.23942272500881</v>
      </c>
      <c r="L161" s="82">
        <f>Tendencial!P399</f>
        <v>955.62587592882051</v>
      </c>
      <c r="M161" s="82">
        <f>Tendencial!Q399</f>
        <v>618.24892948451316</v>
      </c>
      <c r="N161" s="82">
        <f>Tendencial!R399</f>
        <v>816.25433898912627</v>
      </c>
      <c r="O161" s="82">
        <f>Tendencial!S399</f>
        <v>844.36476719589984</v>
      </c>
      <c r="P161" s="82">
        <f>Tendencial!T399</f>
        <v>869.20244798906538</v>
      </c>
      <c r="Q161" s="82">
        <f>Tendencial!U399</f>
        <v>896.27614956771083</v>
      </c>
      <c r="R161" s="82">
        <f>Tendencial!V399</f>
        <v>917.44956066036684</v>
      </c>
      <c r="S161" s="82">
        <f>Tendencial!W399</f>
        <v>935.33920669533188</v>
      </c>
      <c r="T161" s="82">
        <f>Tendencial!X399</f>
        <v>959.10538586194127</v>
      </c>
      <c r="U161" s="82">
        <f>Tendencial!Y399</f>
        <v>979.7579105126465</v>
      </c>
      <c r="V161" s="82">
        <f>Tendencial!Z399</f>
        <v>992.00406906014314</v>
      </c>
      <c r="W161" s="82">
        <f>Tendencial!AA399</f>
        <v>1006.4115776969265</v>
      </c>
      <c r="X161" s="82">
        <f>Tendencial!AB399</f>
        <v>1027.4537941337551</v>
      </c>
      <c r="Y161" s="82">
        <f>Tendencial!AC399</f>
        <v>1041.3128298639715</v>
      </c>
      <c r="Z161" s="82">
        <f>Tendencial!AD399</f>
        <v>1059.2206786640627</v>
      </c>
      <c r="AA161" s="82">
        <f>Tendencial!AE399</f>
        <v>1071.9000110974073</v>
      </c>
      <c r="AB161" s="82">
        <f>Tendencial!AF399</f>
        <v>1085.2141317497337</v>
      </c>
      <c r="AC161" s="82">
        <f>Tendencial!AG399</f>
        <v>1101.3306390088403</v>
      </c>
      <c r="AD161" s="82">
        <f>Tendencial!AH399</f>
        <v>1115.8987336720468</v>
      </c>
      <c r="AE161" s="82">
        <f>Tendencial!AI399</f>
        <v>1132.6344783112877</v>
      </c>
      <c r="AF161" s="82">
        <f>Tendencial!AJ399</f>
        <v>1153.477740959012</v>
      </c>
      <c r="AG161" s="82">
        <f>Tendencial!AK399</f>
        <v>1173.3203135055403</v>
      </c>
      <c r="AH161" s="82">
        <f>Tendencial!AL399</f>
        <v>1195.7280563312543</v>
      </c>
      <c r="AI161" s="82">
        <f>Tendencial!AM399</f>
        <v>1219.430201347333</v>
      </c>
      <c r="AJ161" s="82">
        <f>Tendencial!AN399</f>
        <v>1239.7736601355869</v>
      </c>
      <c r="AK161" s="82">
        <f>Tendencial!AO399</f>
        <v>1267.2376905013439</v>
      </c>
      <c r="AL161" s="82">
        <f>Tendencial!AP399</f>
        <v>1292.7542247948179</v>
      </c>
      <c r="AM161" s="82">
        <f>Tendencial!AQ399</f>
        <v>1325.2255707824893</v>
      </c>
      <c r="AN161" s="82">
        <f>Tendencial!AR399</f>
        <v>1353.795895061525</v>
      </c>
      <c r="AO161" s="82">
        <f>Tendencial!AS399</f>
        <v>1382.7053438543003</v>
      </c>
      <c r="AP161" s="82">
        <f>Tendencial!AT399</f>
        <v>1413.3002332642041</v>
      </c>
      <c r="AQ161" s="82">
        <f>Tendencial!AU399</f>
        <v>1444.2001472080103</v>
      </c>
      <c r="AR161" s="82">
        <f>Tendencial!AV399</f>
        <v>1471.3704850215777</v>
      </c>
      <c r="AS161" s="82">
        <f>Tendencial!AW399</f>
        <v>1499.6398360970593</v>
      </c>
      <c r="AT161" s="82">
        <f>Tendencial!AX399</f>
        <v>1528.8611587330811</v>
      </c>
      <c r="AU161" s="82">
        <f>Tendencial!AY399</f>
        <v>1559.2498356727162</v>
      </c>
      <c r="AV161" s="82">
        <f>Tendencial!AZ399</f>
        <v>1590.7180246542218</v>
      </c>
      <c r="AW161" s="82">
        <f>Tendencial!BA399</f>
        <v>1622.9981764730262</v>
      </c>
      <c r="AX161" s="82">
        <f>Tendencial!BB399</f>
        <v>1656.2468686379732</v>
      </c>
      <c r="AY161" s="82">
        <f>Tendencial!BC399</f>
        <v>1690.3203978249862</v>
      </c>
      <c r="AZ161" s="82">
        <f>Tendencial!BD399</f>
        <v>1725.1741868072106</v>
      </c>
      <c r="BA161" s="82">
        <f>Tendencial!BE399</f>
        <v>1761.1711355665125</v>
      </c>
      <c r="BB161" s="82">
        <f>Tendencial!BF399</f>
        <v>1797.7775470640433</v>
      </c>
      <c r="BC161" s="82">
        <f>Tendencial!BG399</f>
        <v>1835.2178348777272</v>
      </c>
      <c r="BD161" s="82">
        <f>Tendencial!BH399</f>
        <v>1872.9455425456638</v>
      </c>
      <c r="BE161" s="82">
        <f>Tendencial!BI399</f>
        <v>1911.3316400689534</v>
      </c>
      <c r="BF161" s="82">
        <f>Tendencial!BJ399</f>
        <v>1950.4018093224722</v>
      </c>
      <c r="BG161" s="82">
        <f>Tendencial!BK399</f>
        <v>1990.0651625774483</v>
      </c>
      <c r="BH161" s="82">
        <f>Tendencial!BL399</f>
        <v>2030.3450995026678</v>
      </c>
      <c r="BI161" s="82">
        <f>Tendencial!BM399</f>
        <v>2071.6214165165461</v>
      </c>
      <c r="BJ161" s="82">
        <f>Tendencial!BN399</f>
        <v>2113.8814636856509</v>
      </c>
      <c r="BK161" s="82">
        <f>Tendencial!BO399</f>
        <v>2157.12434269494</v>
      </c>
    </row>
    <row r="162" spans="1:63" x14ac:dyDescent="0.3">
      <c r="A162" s="386"/>
      <c r="B162" t="s">
        <v>425</v>
      </c>
      <c r="C162" s="297">
        <f t="shared" si="95"/>
        <v>0</v>
      </c>
      <c r="D162" s="298">
        <f t="shared" si="96"/>
        <v>0</v>
      </c>
      <c r="E162" s="298">
        <f t="shared" si="97"/>
        <v>0</v>
      </c>
      <c r="F162" s="298">
        <f t="shared" si="98"/>
        <v>0</v>
      </c>
      <c r="G162" s="298">
        <f t="shared" si="99"/>
        <v>0</v>
      </c>
      <c r="H162" s="293">
        <f t="shared" si="100"/>
        <v>0</v>
      </c>
      <c r="I162" s="293">
        <f t="shared" si="101"/>
        <v>0</v>
      </c>
      <c r="J162" s="299">
        <f t="shared" si="102"/>
        <v>0</v>
      </c>
      <c r="K162" s="82">
        <f>Tendencial!O400</f>
        <v>0</v>
      </c>
      <c r="L162" s="82">
        <f>Tendencial!P400</f>
        <v>129</v>
      </c>
      <c r="M162" s="82">
        <f>Tendencial!Q400</f>
        <v>0</v>
      </c>
      <c r="N162" s="82">
        <f>Tendencial!R400</f>
        <v>0</v>
      </c>
      <c r="O162" s="82">
        <f>Tendencial!S400</f>
        <v>0</v>
      </c>
      <c r="P162" s="82">
        <f>Tendencial!T400</f>
        <v>0</v>
      </c>
      <c r="Q162" s="82">
        <f>Tendencial!U400</f>
        <v>0</v>
      </c>
      <c r="R162" s="82">
        <f>Tendencial!V400</f>
        <v>0</v>
      </c>
      <c r="S162" s="82">
        <f>Tendencial!W400</f>
        <v>0</v>
      </c>
      <c r="T162" s="82">
        <f>Tendencial!X400</f>
        <v>0</v>
      </c>
      <c r="U162" s="82">
        <f>Tendencial!Y400</f>
        <v>0</v>
      </c>
      <c r="V162" s="82">
        <f>Tendencial!Z400</f>
        <v>0</v>
      </c>
      <c r="W162" s="82">
        <f>Tendencial!AA400</f>
        <v>0</v>
      </c>
      <c r="X162" s="82">
        <f>Tendencial!AB400</f>
        <v>0</v>
      </c>
      <c r="Y162" s="82">
        <f>Tendencial!AC400</f>
        <v>0</v>
      </c>
      <c r="Z162" s="82">
        <f>Tendencial!AD400</f>
        <v>0</v>
      </c>
      <c r="AA162" s="82">
        <f>Tendencial!AE400</f>
        <v>0</v>
      </c>
      <c r="AB162" s="82">
        <f>Tendencial!AF400</f>
        <v>0</v>
      </c>
      <c r="AC162" s="82">
        <f>Tendencial!AG400</f>
        <v>0</v>
      </c>
      <c r="AD162" s="82">
        <f>Tendencial!AH400</f>
        <v>0</v>
      </c>
      <c r="AE162" s="82">
        <f>Tendencial!AI400</f>
        <v>0</v>
      </c>
      <c r="AF162" s="82">
        <f>Tendencial!AJ400</f>
        <v>0</v>
      </c>
      <c r="AG162" s="82">
        <f>Tendencial!AK400</f>
        <v>0</v>
      </c>
      <c r="AH162" s="82">
        <f>Tendencial!AL400</f>
        <v>0</v>
      </c>
      <c r="AI162" s="82">
        <f>Tendencial!AM400</f>
        <v>0</v>
      </c>
      <c r="AJ162" s="82">
        <f>Tendencial!AN400</f>
        <v>0</v>
      </c>
      <c r="AK162" s="82">
        <f>Tendencial!AO400</f>
        <v>0</v>
      </c>
      <c r="AL162" s="82">
        <f>Tendencial!AP400</f>
        <v>0</v>
      </c>
      <c r="AM162" s="82">
        <f>Tendencial!AQ400</f>
        <v>0</v>
      </c>
      <c r="AN162" s="82">
        <f>Tendencial!AR400</f>
        <v>0</v>
      </c>
      <c r="AO162" s="82">
        <f>Tendencial!AS400</f>
        <v>0</v>
      </c>
      <c r="AP162" s="82">
        <f>Tendencial!AT400</f>
        <v>0</v>
      </c>
      <c r="AQ162" s="82">
        <f>Tendencial!AU400</f>
        <v>0</v>
      </c>
      <c r="AR162" s="82">
        <f>Tendencial!AV400</f>
        <v>0</v>
      </c>
      <c r="AS162" s="82">
        <f>Tendencial!AW400</f>
        <v>0</v>
      </c>
      <c r="AT162" s="82">
        <f>Tendencial!AX400</f>
        <v>0</v>
      </c>
      <c r="AU162" s="82">
        <f>Tendencial!AY400</f>
        <v>0</v>
      </c>
      <c r="AV162" s="82">
        <f>Tendencial!AZ400</f>
        <v>0</v>
      </c>
      <c r="AW162" s="82">
        <f>Tendencial!BA400</f>
        <v>0</v>
      </c>
      <c r="AX162" s="82">
        <f>Tendencial!BB400</f>
        <v>0</v>
      </c>
      <c r="AY162" s="82">
        <f>Tendencial!BC400</f>
        <v>0</v>
      </c>
      <c r="AZ162" s="82">
        <f>Tendencial!BD400</f>
        <v>0</v>
      </c>
      <c r="BA162" s="82">
        <f>Tendencial!BE400</f>
        <v>0</v>
      </c>
      <c r="BB162" s="82">
        <f>Tendencial!BF400</f>
        <v>0</v>
      </c>
      <c r="BC162" s="82">
        <f>Tendencial!BG400</f>
        <v>0</v>
      </c>
      <c r="BD162" s="82">
        <f>Tendencial!BH400</f>
        <v>0</v>
      </c>
      <c r="BE162" s="82">
        <f>Tendencial!BI400</f>
        <v>0</v>
      </c>
      <c r="BF162" s="82">
        <f>Tendencial!BJ400</f>
        <v>0</v>
      </c>
      <c r="BG162" s="82">
        <f>Tendencial!BK400</f>
        <v>0</v>
      </c>
      <c r="BH162" s="82">
        <f>Tendencial!BL400</f>
        <v>0</v>
      </c>
      <c r="BI162" s="82">
        <f>Tendencial!BM400</f>
        <v>0</v>
      </c>
      <c r="BJ162" s="82">
        <f>Tendencial!BN400</f>
        <v>0</v>
      </c>
      <c r="BK162" s="82">
        <f>Tendencial!BO400</f>
        <v>0</v>
      </c>
    </row>
    <row r="163" spans="1:63" x14ac:dyDescent="0.3">
      <c r="A163" s="386"/>
      <c r="B163" t="s">
        <v>426</v>
      </c>
      <c r="C163" s="297">
        <f t="shared" si="95"/>
        <v>168.86544963795106</v>
      </c>
      <c r="D163" s="298">
        <f t="shared" si="96"/>
        <v>164.93146787757703</v>
      </c>
      <c r="E163" s="298">
        <f t="shared" si="97"/>
        <v>176.9136823539329</v>
      </c>
      <c r="F163" s="298">
        <f t="shared" si="98"/>
        <v>194.06841074275314</v>
      </c>
      <c r="G163" s="298">
        <f t="shared" si="99"/>
        <v>226.25376494106735</v>
      </c>
      <c r="H163" s="293">
        <f t="shared" si="100"/>
        <v>278.48807940434</v>
      </c>
      <c r="I163" s="293">
        <f t="shared" si="101"/>
        <v>339.61024584747946</v>
      </c>
      <c r="J163" s="299">
        <f t="shared" si="102"/>
        <v>415.96271569063782</v>
      </c>
      <c r="K163" s="82">
        <f>Tendencial!O386</f>
        <v>168.86544963795106</v>
      </c>
      <c r="L163" s="82">
        <f>Tendencial!P386</f>
        <v>148.33635557383047</v>
      </c>
      <c r="M163" s="82">
        <f>Tendencial!Q386</f>
        <v>164.93146787757703</v>
      </c>
      <c r="N163" s="82">
        <f>Tendencial!R386</f>
        <v>157.4</v>
      </c>
      <c r="O163" s="82">
        <f>Tendencial!S386</f>
        <v>162.82059158328727</v>
      </c>
      <c r="P163" s="82">
        <f>Tendencial!T386</f>
        <v>167.61009256368737</v>
      </c>
      <c r="Q163" s="82">
        <f>Tendencial!U386</f>
        <v>172.83077002281885</v>
      </c>
      <c r="R163" s="82">
        <f>Tendencial!V386</f>
        <v>176.9136823539329</v>
      </c>
      <c r="S163" s="82">
        <f>Tendencial!W386</f>
        <v>180.36337952723147</v>
      </c>
      <c r="T163" s="82">
        <f>Tendencial!X386</f>
        <v>184.94626064913402</v>
      </c>
      <c r="U163" s="82">
        <f>Tendencial!Y386</f>
        <v>188.92872937823967</v>
      </c>
      <c r="V163" s="82">
        <f>Tendencial!Z386</f>
        <v>191.29018127295561</v>
      </c>
      <c r="W163" s="82">
        <f>Tendencial!AA386</f>
        <v>194.06841074275314</v>
      </c>
      <c r="X163" s="82">
        <f>Tendencial!AB386</f>
        <v>198.12602453903455</v>
      </c>
      <c r="Y163" s="82">
        <f>Tendencial!AC386</f>
        <v>200.79849085221531</v>
      </c>
      <c r="Z163" s="82">
        <f>Tendencial!AD386</f>
        <v>204.25169810208439</v>
      </c>
      <c r="AA163" s="82">
        <f>Tendencial!AE386</f>
        <v>206.69667980653699</v>
      </c>
      <c r="AB163" s="82">
        <f>Tendencial!AF386</f>
        <v>209.26406902650916</v>
      </c>
      <c r="AC163" s="82">
        <f>Tendencial!AG386</f>
        <v>212.37184820931259</v>
      </c>
      <c r="AD163" s="82">
        <f>Tendencial!AH386</f>
        <v>215.18104381227676</v>
      </c>
      <c r="AE163" s="82">
        <f>Tendencial!AI386</f>
        <v>218.40823181041813</v>
      </c>
      <c r="AF163" s="82">
        <f>Tendencial!AJ386</f>
        <v>222.42748093908403</v>
      </c>
      <c r="AG163" s="82">
        <f>Tendencial!AK386</f>
        <v>226.25376494106735</v>
      </c>
      <c r="AH163" s="82">
        <f>Tendencial!AL386</f>
        <v>230.57469599441441</v>
      </c>
      <c r="AI163" s="82">
        <f>Tendencial!AM386</f>
        <v>235.14522927960468</v>
      </c>
      <c r="AJ163" s="82">
        <f>Tendencial!AN386</f>
        <v>239.0681002039255</v>
      </c>
      <c r="AK163" s="82">
        <f>Tendencial!AO386</f>
        <v>244.36404556444106</v>
      </c>
      <c r="AL163" s="82">
        <f>Tendencial!AP386</f>
        <v>249.28445125902726</v>
      </c>
      <c r="AM163" s="82">
        <f>Tendencial!AQ386</f>
        <v>255.54596757119668</v>
      </c>
      <c r="AN163" s="82">
        <f>Tendencial!AR386</f>
        <v>261.05524185828887</v>
      </c>
      <c r="AO163" s="82">
        <f>Tendencial!AS386</f>
        <v>266.62991022160577</v>
      </c>
      <c r="AP163" s="82">
        <f>Tendencial!AT386</f>
        <v>272.52958555942104</v>
      </c>
      <c r="AQ163" s="82">
        <f>Tendencial!AU386</f>
        <v>278.48807940434</v>
      </c>
      <c r="AR163" s="82">
        <f>Tendencial!AV386</f>
        <v>283.72739142705069</v>
      </c>
      <c r="AS163" s="82">
        <f>Tendencial!AW386</f>
        <v>289.17862843338787</v>
      </c>
      <c r="AT163" s="82">
        <f>Tendencial!AX386</f>
        <v>294.81343607019124</v>
      </c>
      <c r="AU163" s="82">
        <f>Tendencial!AY386</f>
        <v>300.67334703399962</v>
      </c>
      <c r="AV163" s="82">
        <f>Tendencial!AZ386</f>
        <v>306.74142252113643</v>
      </c>
      <c r="AW163" s="82">
        <f>Tendencial!BA386</f>
        <v>312.96607046919161</v>
      </c>
      <c r="AX163" s="82">
        <f>Tendencial!BB386</f>
        <v>319.37748404065729</v>
      </c>
      <c r="AY163" s="82">
        <f>Tendencial!BC386</f>
        <v>325.94795262852142</v>
      </c>
      <c r="AZ163" s="82">
        <f>Tendencial!BD386</f>
        <v>332.66888031461019</v>
      </c>
      <c r="BA163" s="82">
        <f>Tendencial!BE386</f>
        <v>339.61024584747946</v>
      </c>
      <c r="BB163" s="82">
        <f>Tendencial!BF386</f>
        <v>346.66913533142019</v>
      </c>
      <c r="BC163" s="82">
        <f>Tendencial!BG386</f>
        <v>353.88882289739632</v>
      </c>
      <c r="BD163" s="82">
        <f>Tendencial!BH386</f>
        <v>361.16393422395595</v>
      </c>
      <c r="BE163" s="82">
        <f>Tendencial!BI386</f>
        <v>368.56600421803199</v>
      </c>
      <c r="BF163" s="82">
        <f>Tendencial!BJ386</f>
        <v>376.09998516828307</v>
      </c>
      <c r="BG163" s="82">
        <f>Tendencial!BK386</f>
        <v>383.74835100737283</v>
      </c>
      <c r="BH163" s="82">
        <f>Tendencial!BL386</f>
        <v>391.51561394147404</v>
      </c>
      <c r="BI163" s="82">
        <f>Tendencial!BM386</f>
        <v>399.4750108936916</v>
      </c>
      <c r="BJ163" s="82">
        <f>Tendencial!BN386</f>
        <v>407.62410255139088</v>
      </c>
      <c r="BK163" s="82">
        <f>Tendencial!BO386</f>
        <v>415.96271569063782</v>
      </c>
    </row>
    <row r="164" spans="1:63" x14ac:dyDescent="0.3">
      <c r="C164" s="297"/>
      <c r="D164" s="298"/>
      <c r="E164" s="298"/>
      <c r="F164" s="298"/>
      <c r="G164" s="298"/>
      <c r="H164" s="293"/>
      <c r="I164" s="293"/>
      <c r="J164" s="299"/>
    </row>
    <row r="165" spans="1:63" x14ac:dyDescent="0.3">
      <c r="A165" s="386" t="s">
        <v>427</v>
      </c>
      <c r="B165" t="s">
        <v>412</v>
      </c>
      <c r="C165" s="297">
        <f t="shared" si="95"/>
        <v>769</v>
      </c>
      <c r="D165" s="298">
        <f t="shared" si="96"/>
        <v>831.7</v>
      </c>
      <c r="E165" s="298">
        <f t="shared" si="97"/>
        <v>1123.1965940927525</v>
      </c>
      <c r="F165" s="298">
        <f t="shared" si="98"/>
        <v>1258.5848759044504</v>
      </c>
      <c r="G165" s="298">
        <f t="shared" si="99"/>
        <v>1499.3201992397544</v>
      </c>
      <c r="H165" s="293">
        <f t="shared" si="100"/>
        <v>1880.9926200366822</v>
      </c>
      <c r="I165" s="293">
        <f t="shared" si="101"/>
        <v>2349.7191361553309</v>
      </c>
      <c r="J165" s="299">
        <f t="shared" si="102"/>
        <v>2944.8795519623804</v>
      </c>
      <c r="K165" s="82">
        <f>K149</f>
        <v>769</v>
      </c>
      <c r="L165" s="82">
        <f t="shared" ref="L165:O165" si="103">L149</f>
        <v>567</v>
      </c>
      <c r="M165" s="82">
        <f t="shared" si="103"/>
        <v>831.7</v>
      </c>
      <c r="N165" s="82">
        <f t="shared" si="103"/>
        <v>1015.3</v>
      </c>
      <c r="O165" s="82">
        <f t="shared" si="103"/>
        <v>1050.2652263946095</v>
      </c>
      <c r="P165" s="82">
        <f t="shared" ref="P165" si="104">P149</f>
        <v>1081.1596377376859</v>
      </c>
      <c r="Q165" s="84">
        <f>'CC70 - Valores'!G104</f>
        <v>1086.5654359263742</v>
      </c>
      <c r="R165" s="84">
        <f>'CC70 - Valores'!H104</f>
        <v>1123.1965940927525</v>
      </c>
      <c r="S165" s="84">
        <f>'CC70 - Valores'!I104</f>
        <v>1152.5836487349907</v>
      </c>
      <c r="T165" s="84">
        <f>'CC70 - Valores'!J104</f>
        <v>1177.9668105109472</v>
      </c>
      <c r="U165" s="84">
        <f>'CC70 - Valores'!K104</f>
        <v>1210.8804162237723</v>
      </c>
      <c r="V165" s="84">
        <f>'CC70 - Valores'!L104</f>
        <v>1240.0011268687228</v>
      </c>
      <c r="W165" s="84">
        <f>'CC70 - Valores'!M104</f>
        <v>1258.5848759044504</v>
      </c>
      <c r="X165" s="84">
        <f>'CC70 - Valores'!N104</f>
        <v>1279.9936767422328</v>
      </c>
      <c r="Y165" s="84">
        <f>'CC70 - Valores'!O104</f>
        <v>1309.950994487572</v>
      </c>
      <c r="Z165" s="84">
        <f>'CC70 - Valores'!P104</f>
        <v>1330.8586545471171</v>
      </c>
      <c r="AA165" s="84">
        <f>'CC70 - Valores'!Q104</f>
        <v>1357.0397176336576</v>
      </c>
      <c r="AB165" s="84">
        <f>'CC70 - Valores'!R104</f>
        <v>1376.6172873273399</v>
      </c>
      <c r="AC165" s="84">
        <f>'CC70 - Valores'!S104</f>
        <v>1397.0909314326955</v>
      </c>
      <c r="AD165" s="84">
        <f>'CC70 - Valores'!T104</f>
        <v>1421.2638509699773</v>
      </c>
      <c r="AE165" s="84">
        <f>'CC70 - Valores'!U104</f>
        <v>1443.533966543258</v>
      </c>
      <c r="AF165" s="84">
        <f>'CC70 - Valores'!V104</f>
        <v>1468.7055118284311</v>
      </c>
      <c r="AG165" s="84">
        <f>'CC70 - Valores'!W104</f>
        <v>1499.3201992397544</v>
      </c>
      <c r="AH165" s="84">
        <f>'CC70 - Valores'!X104</f>
        <v>1528.7606817219651</v>
      </c>
      <c r="AI165" s="84">
        <f>'CC70 - Valores'!Y104</f>
        <v>1561.6747985088018</v>
      </c>
      <c r="AJ165" s="84">
        <f>'CC70 - Valores'!Z104</f>
        <v>1596.4228477139816</v>
      </c>
      <c r="AK165" s="84">
        <f>'CC70 - Valores'!AA104</f>
        <v>1626.910822456055</v>
      </c>
      <c r="AL165" s="84">
        <f>'CC70 - Valores'!AB104</f>
        <v>1666.8915333584353</v>
      </c>
      <c r="AM165" s="84">
        <f>'CC70 - Valores'!AC104</f>
        <v>1704.4753085456659</v>
      </c>
      <c r="AN165" s="84">
        <f>'CC70 - Valores'!AD104</f>
        <v>1751.4092101634417</v>
      </c>
      <c r="AO165" s="84">
        <f>'CC70 - Valores'!AE104</f>
        <v>1793.3773647874048</v>
      </c>
      <c r="AP165" s="84">
        <f>'CC70 - Valores'!AF104</f>
        <v>1835.9734995408896</v>
      </c>
      <c r="AQ165" s="84">
        <f>'CC70 - Valores'!AG104</f>
        <v>1880.9926200366822</v>
      </c>
      <c r="AR165" s="84">
        <f>'CC70 - Valores'!AH104</f>
        <v>1926.6089306106755</v>
      </c>
      <c r="AS165" s="84">
        <f>'CC70 - Valores'!AI104</f>
        <v>1967.4304450735447</v>
      </c>
      <c r="AT165" s="84">
        <f>'CC70 - Valores'!AJ104</f>
        <v>2009.8938926980375</v>
      </c>
      <c r="AU165" s="84">
        <f>'CC70 - Valores'!AK104</f>
        <v>2053.811996019253</v>
      </c>
      <c r="AV165" s="84">
        <f>'CC70 - Valores'!AL104</f>
        <v>2099.4836423520869</v>
      </c>
      <c r="AW165" s="84">
        <f>'CC70 - Valores'!AM104</f>
        <v>2146.8011716645183</v>
      </c>
      <c r="AX165" s="84">
        <f>'CC70 - Valores'!AN104</f>
        <v>2195.4127435849123</v>
      </c>
      <c r="AY165" s="84">
        <f>'CC70 - Valores'!AO104</f>
        <v>2245.538220493409</v>
      </c>
      <c r="AZ165" s="84">
        <f>'CC70 - Valores'!AP104</f>
        <v>2296.9913580802645</v>
      </c>
      <c r="BA165" s="84">
        <f>'CC70 - Valores'!AQ104</f>
        <v>2349.7191361553309</v>
      </c>
      <c r="BB165" s="84">
        <f>'CC70 - Valores'!AR104</f>
        <v>2404.2242386487815</v>
      </c>
      <c r="BC165" s="84">
        <f>'CC70 - Valores'!AS104</f>
        <v>2459.7871055412338</v>
      </c>
      <c r="BD165" s="84">
        <f>'CC70 - Valores'!AT104</f>
        <v>2516.7211714181617</v>
      </c>
      <c r="BE165" s="84">
        <f>'CC70 - Valores'!AU104</f>
        <v>2574.2831345071713</v>
      </c>
      <c r="BF165" s="84">
        <f>'CC70 - Valores'!AV104</f>
        <v>2632.9867120167987</v>
      </c>
      <c r="BG165" s="84">
        <f>'CC70 - Valores'!AW104</f>
        <v>2692.8735043513811</v>
      </c>
      <c r="BH165" s="84">
        <f>'CC70 - Valores'!AX104</f>
        <v>2753.8241239853032</v>
      </c>
      <c r="BI165" s="84">
        <f>'CC70 - Valores'!AY104</f>
        <v>2815.876557565301</v>
      </c>
      <c r="BJ165" s="84">
        <f>'CC70 - Valores'!AZ104</f>
        <v>2879.5644761194931</v>
      </c>
      <c r="BK165" s="84">
        <f>'CC70 - Valores'!BA104</f>
        <v>2944.8795519623804</v>
      </c>
    </row>
    <row r="166" spans="1:63" x14ac:dyDescent="0.3">
      <c r="A166" s="386"/>
      <c r="B166" t="s">
        <v>413</v>
      </c>
      <c r="C166" s="297">
        <f t="shared" si="95"/>
        <v>30.379732311994736</v>
      </c>
      <c r="D166" s="298">
        <f t="shared" si="96"/>
        <v>123.19989497262668</v>
      </c>
      <c r="E166" s="298">
        <f t="shared" si="97"/>
        <v>145.0780422229106</v>
      </c>
      <c r="F166" s="298">
        <f t="shared" si="98"/>
        <v>162.16944385907834</v>
      </c>
      <c r="G166" s="298">
        <f t="shared" si="99"/>
        <v>192.27855046976254</v>
      </c>
      <c r="H166" s="293">
        <f t="shared" si="100"/>
        <v>240.13762698486309</v>
      </c>
      <c r="I166" s="293">
        <f t="shared" si="101"/>
        <v>298.68065047988932</v>
      </c>
      <c r="J166" s="299">
        <f t="shared" si="102"/>
        <v>372.78038324693625</v>
      </c>
      <c r="K166" s="82">
        <f t="shared" ref="K166:O179" si="105">K150</f>
        <v>30.379732311994736</v>
      </c>
      <c r="L166" s="82">
        <f t="shared" si="105"/>
        <v>115.22607457378612</v>
      </c>
      <c r="M166" s="82">
        <f t="shared" si="105"/>
        <v>123.19989497262668</v>
      </c>
      <c r="N166" s="82">
        <f t="shared" si="105"/>
        <v>131.33708370927823</v>
      </c>
      <c r="O166" s="82">
        <f t="shared" si="105"/>
        <v>135.86011223868107</v>
      </c>
      <c r="P166" s="82">
        <f t="shared" ref="P166" si="106">P150</f>
        <v>139.85654865029784</v>
      </c>
      <c r="Q166" s="84">
        <f>'CC70 - Valores'!G105</f>
        <v>140.41597484489904</v>
      </c>
      <c r="R166" s="84">
        <f>'CC70 - Valores'!H105</f>
        <v>145.0780422229106</v>
      </c>
      <c r="S166" s="84">
        <f>'CC70 - Valores'!I105</f>
        <v>148.80057004767613</v>
      </c>
      <c r="T166" s="84">
        <f>'CC70 - Valores'!J105</f>
        <v>152.00307673320765</v>
      </c>
      <c r="U166" s="84">
        <f>'CC70 - Valores'!K105</f>
        <v>156.17399076742331</v>
      </c>
      <c r="V166" s="84">
        <f>'CC70 - Valores'!L105</f>
        <v>159.85219328000994</v>
      </c>
      <c r="W166" s="84">
        <f>'CC70 - Valores'!M105</f>
        <v>162.16944385907834</v>
      </c>
      <c r="X166" s="84">
        <f>'CC70 - Valores'!N105</f>
        <v>164.84860184863041</v>
      </c>
      <c r="Y166" s="84">
        <f>'CC70 - Valores'!O105</f>
        <v>168.62592220627127</v>
      </c>
      <c r="Z166" s="84">
        <f>'CC70 - Valores'!P105</f>
        <v>171.23556888305424</v>
      </c>
      <c r="AA166" s="84">
        <f>'CC70 - Valores'!Q105</f>
        <v>174.52123321670385</v>
      </c>
      <c r="AB166" s="84">
        <f>'CC70 - Valores'!R105</f>
        <v>176.95527036705045</v>
      </c>
      <c r="AC166" s="84">
        <f>'CC70 - Valores'!S105</f>
        <v>179.50246672496201</v>
      </c>
      <c r="AD166" s="84">
        <f>'CC70 - Valores'!T105</f>
        <v>182.52266951673087</v>
      </c>
      <c r="AE166" s="84">
        <f>'CC70 - Valores'!U105</f>
        <v>185.29612953154506</v>
      </c>
      <c r="AF166" s="84">
        <f>'CC70 - Valores'!V105</f>
        <v>188.43960375920625</v>
      </c>
      <c r="AG166" s="84">
        <f>'CC70 - Valores'!W105</f>
        <v>192.27855046976254</v>
      </c>
      <c r="AH166" s="84">
        <f>'CC70 - Valores'!X105</f>
        <v>195.96378038689511</v>
      </c>
      <c r="AI166" s="84">
        <f>'CC70 - Valores'!Y105</f>
        <v>200.0910322428347</v>
      </c>
      <c r="AJ166" s="84">
        <f>'CC70 - Valores'!Z105</f>
        <v>204.44972544806635</v>
      </c>
      <c r="AK166" s="84">
        <f>'CC70 - Valores'!AA105</f>
        <v>208.25947522620032</v>
      </c>
      <c r="AL166" s="84">
        <f>'CC70 - Valores'!AB105</f>
        <v>213.28073645994462</v>
      </c>
      <c r="AM166" s="84">
        <f>'CC70 - Valores'!AC105</f>
        <v>217.99127635873518</v>
      </c>
      <c r="AN166" s="84">
        <f>'CC70 - Valores'!AD105</f>
        <v>223.89323533157625</v>
      </c>
      <c r="AO166" s="84">
        <f>'CC70 - Valores'!AE105</f>
        <v>229.15577082990939</v>
      </c>
      <c r="AP166" s="84">
        <f>'CC70 - Valores'!AF105</f>
        <v>234.49420685790145</v>
      </c>
      <c r="AQ166" s="84">
        <f>'CC70 - Valores'!AG105</f>
        <v>240.13762698486309</v>
      </c>
      <c r="AR166" s="84">
        <f>'CC70 - Valores'!AH105</f>
        <v>245.85266394012856</v>
      </c>
      <c r="AS166" s="84">
        <f>'CC70 - Valores'!AI105</f>
        <v>250.95148569236272</v>
      </c>
      <c r="AT166" s="84">
        <f>'CC70 - Valores'!AJ105</f>
        <v>256.25559179617863</v>
      </c>
      <c r="AU166" s="84">
        <f>'CC70 - Valores'!AK105</f>
        <v>261.74086972937727</v>
      </c>
      <c r="AV166" s="84">
        <f>'CC70 - Valores'!AL105</f>
        <v>267.44518135170136</v>
      </c>
      <c r="AW166" s="84">
        <f>'CC70 - Valores'!AM105</f>
        <v>273.35455852008499</v>
      </c>
      <c r="AX166" s="84">
        <f>'CC70 - Valores'!AN105</f>
        <v>279.4239807182492</v>
      </c>
      <c r="AY166" s="84">
        <f>'CC70 - Valores'!AO105</f>
        <v>285.68123942795785</v>
      </c>
      <c r="AZ166" s="84">
        <f>'CC70 - Valores'!AP105</f>
        <v>292.10243647486499</v>
      </c>
      <c r="BA166" s="84">
        <f>'CC70 - Valores'!AQ105</f>
        <v>298.68065047988932</v>
      </c>
      <c r="BB166" s="84">
        <f>'CC70 - Valores'!AR105</f>
        <v>305.47958063415575</v>
      </c>
      <c r="BC166" s="84">
        <f>'CC70 - Valores'!AS105</f>
        <v>312.40758771385981</v>
      </c>
      <c r="BD166" s="84">
        <f>'CC70 - Valores'!AT105</f>
        <v>319.50432963849346</v>
      </c>
      <c r="BE166" s="84">
        <f>'CC70 - Valores'!AU105</f>
        <v>326.6752996337184</v>
      </c>
      <c r="BF166" s="84">
        <f>'CC70 - Valores'!AV105</f>
        <v>333.98559838080291</v>
      </c>
      <c r="BG166" s="84">
        <f>'CC70 - Valores'!AW105</f>
        <v>341.44035740657159</v>
      </c>
      <c r="BH166" s="84">
        <f>'CC70 - Valores'!AX105</f>
        <v>349.02429692828844</v>
      </c>
      <c r="BI166" s="84">
        <f>'CC70 - Valores'!AY105</f>
        <v>356.74210105590333</v>
      </c>
      <c r="BJ166" s="84">
        <f>'CC70 - Valores'!AZ105</f>
        <v>364.66121945608347</v>
      </c>
      <c r="BK166" s="84">
        <f>'CC70 - Valores'!BA105</f>
        <v>372.78038324693625</v>
      </c>
    </row>
    <row r="167" spans="1:63" x14ac:dyDescent="0.3">
      <c r="A167" s="386"/>
      <c r="B167" t="s">
        <v>414</v>
      </c>
      <c r="C167" s="297">
        <f t="shared" si="95"/>
        <v>200</v>
      </c>
      <c r="D167" s="298">
        <f t="shared" si="96"/>
        <v>200</v>
      </c>
      <c r="E167" s="298">
        <f t="shared" si="97"/>
        <v>187.78601200319238</v>
      </c>
      <c r="F167" s="298">
        <f t="shared" si="98"/>
        <v>209.90876816686722</v>
      </c>
      <c r="G167" s="298">
        <f t="shared" si="99"/>
        <v>248.88137193768415</v>
      </c>
      <c r="H167" s="293">
        <f t="shared" si="100"/>
        <v>310.82916899381996</v>
      </c>
      <c r="I167" s="293">
        <f t="shared" si="101"/>
        <v>386.60604566168047</v>
      </c>
      <c r="J167" s="299">
        <f t="shared" si="102"/>
        <v>482.51920449412421</v>
      </c>
      <c r="K167" s="82">
        <f t="shared" si="105"/>
        <v>200</v>
      </c>
      <c r="L167" s="82">
        <f t="shared" si="105"/>
        <v>200</v>
      </c>
      <c r="M167" s="82">
        <f t="shared" si="105"/>
        <v>200</v>
      </c>
      <c r="N167" s="82">
        <f t="shared" si="105"/>
        <v>170</v>
      </c>
      <c r="O167" s="82">
        <f t="shared" si="105"/>
        <v>175.85451441651102</v>
      </c>
      <c r="P167" s="82">
        <f t="shared" ref="P167" si="107">P151</f>
        <v>181.02741890614266</v>
      </c>
      <c r="Q167" s="84">
        <f>'CC70 - Valores'!G106</f>
        <v>181.75152858176722</v>
      </c>
      <c r="R167" s="84">
        <f>'CC70 - Valores'!H106</f>
        <v>187.78601200319238</v>
      </c>
      <c r="S167" s="84">
        <f>'CC70 - Valores'!I106</f>
        <v>192.60437489307461</v>
      </c>
      <c r="T167" s="84">
        <f>'CC70 - Valores'!J106</f>
        <v>196.74963319457208</v>
      </c>
      <c r="U167" s="84">
        <f>'CC70 - Valores'!K106</f>
        <v>202.14837790392011</v>
      </c>
      <c r="V167" s="84">
        <f>'CC70 - Valores'!L106</f>
        <v>206.90936702808744</v>
      </c>
      <c r="W167" s="84">
        <f>'CC70 - Valores'!M106</f>
        <v>209.90876816686722</v>
      </c>
      <c r="X167" s="84">
        <f>'CC70 - Valores'!N106</f>
        <v>213.37661475947186</v>
      </c>
      <c r="Y167" s="84">
        <f>'CC70 - Valores'!O106</f>
        <v>218.26589996866966</v>
      </c>
      <c r="Z167" s="84">
        <f>'CC70 - Valores'!P106</f>
        <v>221.64377255822043</v>
      </c>
      <c r="AA167" s="84">
        <f>'CC70 - Valores'!Q106</f>
        <v>225.89666839651119</v>
      </c>
      <c r="AB167" s="84">
        <f>'CC70 - Valores'!R106</f>
        <v>229.04723565347007</v>
      </c>
      <c r="AC167" s="84">
        <f>'CC70 - Valores'!S106</f>
        <v>232.34427384417248</v>
      </c>
      <c r="AD167" s="84">
        <f>'CC70 - Valores'!T106</f>
        <v>236.25356176271055</v>
      </c>
      <c r="AE167" s="84">
        <f>'CC70 - Valores'!U106</f>
        <v>239.84347094298499</v>
      </c>
      <c r="AF167" s="84">
        <f>'CC70 - Valores'!V106</f>
        <v>243.91231885409977</v>
      </c>
      <c r="AG167" s="84">
        <f>'CC70 - Valores'!W106</f>
        <v>248.88137193768415</v>
      </c>
      <c r="AH167" s="84">
        <f>'CC70 - Valores'!X106</f>
        <v>253.65145718869599</v>
      </c>
      <c r="AI167" s="84">
        <f>'CC70 - Valores'!Y106</f>
        <v>258.99368647911353</v>
      </c>
      <c r="AJ167" s="84">
        <f>'CC70 - Valores'!Z106</f>
        <v>264.6354886568563</v>
      </c>
      <c r="AK167" s="84">
        <f>'CC70 - Valores'!AA106</f>
        <v>269.56674983604006</v>
      </c>
      <c r="AL167" s="84">
        <f>'CC70 - Valores'!AB106</f>
        <v>276.06616634224218</v>
      </c>
      <c r="AM167" s="84">
        <f>'CC70 - Valores'!AC106</f>
        <v>282.16339159026876</v>
      </c>
      <c r="AN167" s="84">
        <f>'CC70 - Valores'!AD106</f>
        <v>289.8027650029137</v>
      </c>
      <c r="AO167" s="84">
        <f>'CC70 - Valores'!AE106</f>
        <v>296.61448191827435</v>
      </c>
      <c r="AP167" s="84">
        <f>'CC70 - Valores'!AF106</f>
        <v>303.52444290665386</v>
      </c>
      <c r="AQ167" s="84">
        <f>'CC70 - Valores'!AG106</f>
        <v>310.82916899381996</v>
      </c>
      <c r="AR167" s="84">
        <f>'CC70 - Valores'!AH106</f>
        <v>318.22659441972422</v>
      </c>
      <c r="AS167" s="84">
        <f>'CC70 - Valores'!AI106</f>
        <v>324.82640365409486</v>
      </c>
      <c r="AT167" s="84">
        <f>'CC70 - Valores'!AJ106</f>
        <v>331.69192869989735</v>
      </c>
      <c r="AU167" s="84">
        <f>'CC70 - Valores'!AK106</f>
        <v>338.79195880798085</v>
      </c>
      <c r="AV167" s="84">
        <f>'CC70 - Valores'!AL106</f>
        <v>346.17550158514234</v>
      </c>
      <c r="AW167" s="84">
        <f>'CC70 - Valores'!AM106</f>
        <v>353.82447695640104</v>
      </c>
      <c r="AX167" s="84">
        <f>'CC70 - Valores'!AN106</f>
        <v>361.6806112982589</v>
      </c>
      <c r="AY167" s="84">
        <f>'CC70 - Valores'!AO106</f>
        <v>369.7798773289033</v>
      </c>
      <c r="AZ167" s="84">
        <f>'CC70 - Valores'!AP106</f>
        <v>378.0913417466038</v>
      </c>
      <c r="BA167" s="84">
        <f>'CC70 - Valores'!AQ106</f>
        <v>386.60604566168047</v>
      </c>
      <c r="BB167" s="84">
        <f>'CC70 - Valores'!AR106</f>
        <v>395.40643998735129</v>
      </c>
      <c r="BC167" s="84">
        <f>'CC70 - Valores'!AS106</f>
        <v>404.37390881098327</v>
      </c>
      <c r="BD167" s="84">
        <f>'CC70 - Valores'!AT106</f>
        <v>413.55978452190021</v>
      </c>
      <c r="BE167" s="84">
        <f>'CC70 - Valores'!AU106</f>
        <v>422.84173950947019</v>
      </c>
      <c r="BF167" s="84">
        <f>'CC70 - Valores'!AV106</f>
        <v>432.30403874671583</v>
      </c>
      <c r="BG167" s="84">
        <f>'CC70 - Valores'!AW106</f>
        <v>441.9533243756394</v>
      </c>
      <c r="BH167" s="84">
        <f>'CC70 - Valores'!AX106</f>
        <v>451.76981856204696</v>
      </c>
      <c r="BI167" s="84">
        <f>'CC70 - Valores'!AY106</f>
        <v>461.75958432080847</v>
      </c>
      <c r="BJ167" s="84">
        <f>'CC70 - Valores'!AZ106</f>
        <v>472.00992710297822</v>
      </c>
      <c r="BK167" s="84">
        <f>'CC70 - Valores'!BA106</f>
        <v>482.51920449412421</v>
      </c>
    </row>
    <row r="168" spans="1:63" x14ac:dyDescent="0.3">
      <c r="A168" s="386"/>
      <c r="B168" t="s">
        <v>415</v>
      </c>
      <c r="C168" s="297">
        <f t="shared" si="95"/>
        <v>466</v>
      </c>
      <c r="D168" s="298">
        <f t="shared" si="96"/>
        <v>367.7</v>
      </c>
      <c r="E168" s="298">
        <f t="shared" si="97"/>
        <v>465.48838504791331</v>
      </c>
      <c r="F168" s="298">
        <f t="shared" si="98"/>
        <v>520.32679356186964</v>
      </c>
      <c r="G168" s="298">
        <f t="shared" si="99"/>
        <v>616.93300079141204</v>
      </c>
      <c r="H168" s="293">
        <f t="shared" si="100"/>
        <v>770.49065772938661</v>
      </c>
      <c r="I168" s="293">
        <f t="shared" si="101"/>
        <v>958.32816259901278</v>
      </c>
      <c r="J168" s="299">
        <f t="shared" si="102"/>
        <v>1196.0799574930822</v>
      </c>
      <c r="K168" s="82">
        <f t="shared" si="105"/>
        <v>466</v>
      </c>
      <c r="L168" s="82">
        <f t="shared" si="105"/>
        <v>438</v>
      </c>
      <c r="M168" s="82">
        <f t="shared" si="105"/>
        <v>367.7</v>
      </c>
      <c r="N168" s="82">
        <f t="shared" si="105"/>
        <v>421.4</v>
      </c>
      <c r="O168" s="82">
        <f t="shared" si="105"/>
        <v>435.91230808892789</v>
      </c>
      <c r="P168" s="82">
        <f t="shared" ref="P168" si="108">P152</f>
        <v>448.73502545322651</v>
      </c>
      <c r="Q168" s="84">
        <f>'CC70 - Valores'!G107</f>
        <v>450.52996555503944</v>
      </c>
      <c r="R168" s="84">
        <f>'CC70 - Valores'!H107</f>
        <v>465.48838504791331</v>
      </c>
      <c r="S168" s="84">
        <f>'CC70 - Valores'!I107</f>
        <v>477.43225635259785</v>
      </c>
      <c r="T168" s="84">
        <f>'CC70 - Valores'!J107</f>
        <v>487.70762016583927</v>
      </c>
      <c r="U168" s="84">
        <f>'CC70 - Valores'!K107</f>
        <v>501.0901555806584</v>
      </c>
      <c r="V168" s="84">
        <f>'CC70 - Valores'!L107</f>
        <v>512.89180744491784</v>
      </c>
      <c r="W168" s="84">
        <f>'CC70 - Valores'!M107</f>
        <v>520.32679356186964</v>
      </c>
      <c r="X168" s="84">
        <f>'CC70 - Valores'!N107</f>
        <v>528.92297329200835</v>
      </c>
      <c r="Y168" s="84">
        <f>'CC70 - Valores'!O107</f>
        <v>541.04264851057269</v>
      </c>
      <c r="Z168" s="84">
        <f>'CC70 - Valores'!P107</f>
        <v>549.41579856490625</v>
      </c>
      <c r="AA168" s="84">
        <f>'CC70 - Valores'!Q107</f>
        <v>559.95797683699868</v>
      </c>
      <c r="AB168" s="84">
        <f>'CC70 - Valores'!R107</f>
        <v>567.7676770845427</v>
      </c>
      <c r="AC168" s="84">
        <f>'CC70 - Valores'!S107</f>
        <v>575.9404529290249</v>
      </c>
      <c r="AD168" s="84">
        <f>'CC70 - Valores'!T107</f>
        <v>585.63088780474231</v>
      </c>
      <c r="AE168" s="84">
        <f>'CC70 - Valores'!U107</f>
        <v>594.52963914925795</v>
      </c>
      <c r="AF168" s="84">
        <f>'CC70 - Valores'!V107</f>
        <v>604.61559508892708</v>
      </c>
      <c r="AG168" s="84">
        <f>'CC70 - Valores'!W107</f>
        <v>616.93300079141204</v>
      </c>
      <c r="AH168" s="84">
        <f>'CC70 - Valores'!X107</f>
        <v>628.75720034892026</v>
      </c>
      <c r="AI168" s="84">
        <f>'CC70 - Valores'!Y107</f>
        <v>641.99964401352008</v>
      </c>
      <c r="AJ168" s="84">
        <f>'CC70 - Valores'!Z107</f>
        <v>655.98467599999526</v>
      </c>
      <c r="AK168" s="84">
        <f>'CC70 - Valores'!AA107</f>
        <v>668.2084022406309</v>
      </c>
      <c r="AL168" s="84">
        <f>'CC70 - Valores'!AB107</f>
        <v>684.31930880365189</v>
      </c>
      <c r="AM168" s="84">
        <f>'CC70 - Valores'!AC107</f>
        <v>699.43325421258373</v>
      </c>
      <c r="AN168" s="84">
        <f>'CC70 - Valores'!AD107</f>
        <v>718.36991277781055</v>
      </c>
      <c r="AO168" s="84">
        <f>'CC70 - Valores'!AE107</f>
        <v>735.25495694329879</v>
      </c>
      <c r="AP168" s="84">
        <f>'CC70 - Valores'!AF107</f>
        <v>752.38353082861136</v>
      </c>
      <c r="AQ168" s="84">
        <f>'CC70 - Valores'!AG107</f>
        <v>770.49065772938661</v>
      </c>
      <c r="AR168" s="84">
        <f>'CC70 - Valores'!AH107</f>
        <v>788.82756993218698</v>
      </c>
      <c r="AS168" s="84">
        <f>'CC70 - Valores'!AI107</f>
        <v>805.18733235197408</v>
      </c>
      <c r="AT168" s="84">
        <f>'CC70 - Valores'!AJ107</f>
        <v>822.20575737727495</v>
      </c>
      <c r="AU168" s="84">
        <f>'CC70 - Valores'!AK107</f>
        <v>839.80547906872448</v>
      </c>
      <c r="AV168" s="84">
        <f>'CC70 - Valores'!AL107</f>
        <v>858.10797863517075</v>
      </c>
      <c r="AW168" s="84">
        <f>'CC70 - Valores'!AM107</f>
        <v>877.06843876133792</v>
      </c>
      <c r="AX168" s="84">
        <f>'CC70 - Valores'!AN107</f>
        <v>896.54240941815499</v>
      </c>
      <c r="AY168" s="84">
        <f>'CC70 - Valores'!AO107</f>
        <v>916.61906062588184</v>
      </c>
      <c r="AZ168" s="84">
        <f>'CC70 - Valores'!AP107</f>
        <v>937.22171418834637</v>
      </c>
      <c r="BA168" s="84">
        <f>'CC70 - Valores'!AQ107</f>
        <v>958.32816259901278</v>
      </c>
      <c r="BB168" s="84">
        <f>'CC70 - Valores'!AR107</f>
        <v>980.14278712158739</v>
      </c>
      <c r="BC168" s="84">
        <f>'CC70 - Valores'!AS107</f>
        <v>1002.3715598408727</v>
      </c>
      <c r="BD168" s="84">
        <f>'CC70 - Valores'!AT107</f>
        <v>1025.1417246913456</v>
      </c>
      <c r="BE168" s="84">
        <f>'CC70 - Valores'!AU107</f>
        <v>1048.150053113475</v>
      </c>
      <c r="BF168" s="84">
        <f>'CC70 - Valores'!AV107</f>
        <v>1071.6054231050946</v>
      </c>
      <c r="BG168" s="84">
        <f>'CC70 - Valores'!AW107</f>
        <v>1095.5242993640852</v>
      </c>
      <c r="BH168" s="84">
        <f>'CC70 - Valores'!AX107</f>
        <v>1119.8576561296859</v>
      </c>
      <c r="BI168" s="84">
        <f>'CC70 - Valores'!AY107</f>
        <v>1144.6205225458159</v>
      </c>
      <c r="BJ168" s="84">
        <f>'CC70 - Valores'!AZ107</f>
        <v>1170.0293134187943</v>
      </c>
      <c r="BK168" s="84">
        <f>'CC70 - Valores'!BA107</f>
        <v>1196.0799574930822</v>
      </c>
    </row>
    <row r="169" spans="1:63" x14ac:dyDescent="0.3">
      <c r="A169" s="386"/>
      <c r="B169" t="s">
        <v>416</v>
      </c>
      <c r="C169" s="297">
        <f t="shared" si="95"/>
        <v>517</v>
      </c>
      <c r="D169" s="298">
        <f t="shared" si="96"/>
        <v>650.4</v>
      </c>
      <c r="E169" s="298">
        <f t="shared" si="97"/>
        <v>685.52940617165405</v>
      </c>
      <c r="F169" s="298">
        <f t="shared" si="98"/>
        <v>766.29047955504575</v>
      </c>
      <c r="G169" s="298">
        <f t="shared" si="99"/>
        <v>908.5634083795693</v>
      </c>
      <c r="H169" s="293">
        <f t="shared" si="100"/>
        <v>1134.7093075150867</v>
      </c>
      <c r="I169" s="293">
        <f t="shared" si="101"/>
        <v>1411.3394819861121</v>
      </c>
      <c r="J169" s="299">
        <f t="shared" si="102"/>
        <v>1761.478931229728</v>
      </c>
      <c r="K169" s="82">
        <f t="shared" si="105"/>
        <v>517</v>
      </c>
      <c r="L169" s="82">
        <f t="shared" si="105"/>
        <v>742</v>
      </c>
      <c r="M169" s="82">
        <f t="shared" si="105"/>
        <v>650.4</v>
      </c>
      <c r="N169" s="82">
        <f t="shared" si="105"/>
        <v>620.6</v>
      </c>
      <c r="O169" s="82">
        <f t="shared" si="105"/>
        <v>641.97242145227494</v>
      </c>
      <c r="P169" s="82">
        <f t="shared" ref="P169" si="109">P153</f>
        <v>660.85656572442429</v>
      </c>
      <c r="Q169" s="84">
        <f>'CC70 - Valores'!G108</f>
        <v>663.49999198732201</v>
      </c>
      <c r="R169" s="84">
        <f>'CC70 - Valores'!H108</f>
        <v>685.52940617165405</v>
      </c>
      <c r="S169" s="84">
        <f>'CC70 - Valores'!I108</f>
        <v>703.11926505083579</v>
      </c>
      <c r="T169" s="84">
        <f>'CC70 - Valores'!J108</f>
        <v>718.25189623853782</v>
      </c>
      <c r="U169" s="84">
        <f>'CC70 - Valores'!K108</f>
        <v>737.96049015983999</v>
      </c>
      <c r="V169" s="84">
        <f>'CC70 - Valores'!L108</f>
        <v>755.34090104488848</v>
      </c>
      <c r="W169" s="84">
        <f>'CC70 - Valores'!M108</f>
        <v>766.29047955504575</v>
      </c>
      <c r="X169" s="84">
        <f>'CC70 - Valores'!N108</f>
        <v>778.95015952781296</v>
      </c>
      <c r="Y169" s="84">
        <f>'CC70 - Valores'!O108</f>
        <v>796.79892659150789</v>
      </c>
      <c r="Z169" s="84">
        <f>'CC70 - Valores'!P108</f>
        <v>809.1301485272445</v>
      </c>
      <c r="AA169" s="84">
        <f>'CC70 - Valores'!Q108</f>
        <v>824.65572004043997</v>
      </c>
      <c r="AB169" s="84">
        <f>'CC70 - Valores'!R108</f>
        <v>836.15714380319707</v>
      </c>
      <c r="AC169" s="84">
        <f>'CC70 - Valores'!S108</f>
        <v>848.19327263349066</v>
      </c>
      <c r="AD169" s="84">
        <f>'CC70 - Valores'!T108</f>
        <v>862.46447311728321</v>
      </c>
      <c r="AE169" s="84">
        <f>'CC70 - Valores'!U108</f>
        <v>875.5697533365676</v>
      </c>
      <c r="AF169" s="84">
        <f>'CC70 - Valores'!V108</f>
        <v>890.42344165208419</v>
      </c>
      <c r="AG169" s="84">
        <f>'CC70 - Valores'!W108</f>
        <v>908.5634083795693</v>
      </c>
      <c r="AH169" s="84">
        <f>'CC70 - Valores'!X108</f>
        <v>925.97702547826304</v>
      </c>
      <c r="AI169" s="84">
        <f>'CC70 - Valores'!Y108</f>
        <v>945.47930487610506</v>
      </c>
      <c r="AJ169" s="84">
        <f>'CC70 - Valores'!Z108</f>
        <v>966.07520153202927</v>
      </c>
      <c r="AK169" s="84">
        <f>'CC70 - Valores'!AA108</f>
        <v>984.07720557792027</v>
      </c>
      <c r="AL169" s="84">
        <f>'CC70 - Valores'!AB108</f>
        <v>1007.8038990117382</v>
      </c>
      <c r="AM169" s="84">
        <f>'CC70 - Valores'!AC108</f>
        <v>1030.0623577701224</v>
      </c>
      <c r="AN169" s="84">
        <f>'CC70 - Valores'!AD108</f>
        <v>1057.9505644753426</v>
      </c>
      <c r="AO169" s="84">
        <f>'CC70 - Valores'!AE108</f>
        <v>1082.8173381087124</v>
      </c>
      <c r="AP169" s="84">
        <f>'CC70 - Valores'!AF108</f>
        <v>1108.0427603992321</v>
      </c>
      <c r="AQ169" s="84">
        <f>'CC70 - Valores'!AG108</f>
        <v>1134.7093075150867</v>
      </c>
      <c r="AR169" s="84">
        <f>'CC70 - Valores'!AH108</f>
        <v>1161.7142617463585</v>
      </c>
      <c r="AS169" s="84">
        <f>'CC70 - Valores'!AI108</f>
        <v>1185.8074476925374</v>
      </c>
      <c r="AT169" s="84">
        <f>'CC70 - Valores'!AJ108</f>
        <v>1210.870652653861</v>
      </c>
      <c r="AU169" s="84">
        <f>'CC70 - Valores'!AK108</f>
        <v>1236.7899390366649</v>
      </c>
      <c r="AV169" s="84">
        <f>'CC70 - Valores'!AL108</f>
        <v>1263.7442134337618</v>
      </c>
      <c r="AW169" s="84">
        <f>'CC70 - Valores'!AM108</f>
        <v>1291.6674729361334</v>
      </c>
      <c r="AX169" s="84">
        <f>'CC70 - Valores'!AN108</f>
        <v>1320.3469845394097</v>
      </c>
      <c r="AY169" s="84">
        <f>'CC70 - Valores'!AO108</f>
        <v>1349.9140698253975</v>
      </c>
      <c r="AZ169" s="84">
        <f>'CC70 - Valores'!AP108</f>
        <v>1380.2558040467206</v>
      </c>
      <c r="BA169" s="84">
        <f>'CC70 - Valores'!AQ108</f>
        <v>1411.3394819861121</v>
      </c>
      <c r="BB169" s="84">
        <f>'CC70 - Valores'!AR108</f>
        <v>1443.4660979773553</v>
      </c>
      <c r="BC169" s="84">
        <f>'CC70 - Valores'!AS108</f>
        <v>1476.2026341652729</v>
      </c>
      <c r="BD169" s="84">
        <f>'CC70 - Valores'!AT108</f>
        <v>1509.7364839664203</v>
      </c>
      <c r="BE169" s="84">
        <f>'CC70 - Valores'!AU108</f>
        <v>1543.621079644573</v>
      </c>
      <c r="BF169" s="84">
        <f>'CC70 - Valores'!AV108</f>
        <v>1578.1640379188943</v>
      </c>
      <c r="BG169" s="84">
        <f>'CC70 - Valores'!AW108</f>
        <v>1613.3896065148354</v>
      </c>
      <c r="BH169" s="84">
        <f>'CC70 - Valores'!AX108</f>
        <v>1649.2255847035678</v>
      </c>
      <c r="BI169" s="84">
        <f>'CC70 - Valores'!AY108</f>
        <v>1685.6941060558468</v>
      </c>
      <c r="BJ169" s="84">
        <f>'CC70 - Valores'!AZ108</f>
        <v>1723.1138868241678</v>
      </c>
      <c r="BK169" s="84">
        <f>'CC70 - Valores'!BA108</f>
        <v>1761.478931229728</v>
      </c>
    </row>
    <row r="170" spans="1:63" x14ac:dyDescent="0.3">
      <c r="A170" s="386"/>
      <c r="B170" t="s">
        <v>417</v>
      </c>
      <c r="C170" s="297">
        <f t="shared" si="95"/>
        <v>201.02416595832574</v>
      </c>
      <c r="D170" s="298">
        <f t="shared" si="96"/>
        <v>199.73610791490233</v>
      </c>
      <c r="E170" s="298">
        <f t="shared" si="97"/>
        <v>297.03328604504958</v>
      </c>
      <c r="F170" s="298">
        <f t="shared" si="98"/>
        <v>332.02628094159161</v>
      </c>
      <c r="G170" s="298">
        <f t="shared" si="99"/>
        <v>393.67177008260728</v>
      </c>
      <c r="H170" s="293">
        <f t="shared" si="100"/>
        <v>491.65860907316568</v>
      </c>
      <c r="I170" s="293">
        <f t="shared" si="101"/>
        <v>611.51979810838748</v>
      </c>
      <c r="J170" s="299">
        <f t="shared" si="102"/>
        <v>763.23184757923548</v>
      </c>
      <c r="K170" s="82">
        <f t="shared" si="105"/>
        <v>201.02416595832574</v>
      </c>
      <c r="L170" s="82">
        <f t="shared" si="105"/>
        <v>247.82375039928598</v>
      </c>
      <c r="M170" s="82">
        <f t="shared" si="105"/>
        <v>199.73610791490233</v>
      </c>
      <c r="N170" s="82">
        <f t="shared" si="105"/>
        <v>268.89999999999998</v>
      </c>
      <c r="O170" s="82">
        <f t="shared" si="105"/>
        <v>278.16046427411652</v>
      </c>
      <c r="P170" s="82">
        <f t="shared" ref="P170" si="110">P154</f>
        <v>286.34278202271616</v>
      </c>
      <c r="Q170" s="84">
        <f>'CC70 - Valores'!G109</f>
        <v>287.48815315080702</v>
      </c>
      <c r="R170" s="84">
        <f>'CC70 - Valores'!H109</f>
        <v>297.03328604504958</v>
      </c>
      <c r="S170" s="84">
        <f>'CC70 - Valores'!I109</f>
        <v>304.65480240439854</v>
      </c>
      <c r="T170" s="84">
        <f>'CC70 - Valores'!J109</f>
        <v>311.21162568247314</v>
      </c>
      <c r="U170" s="84">
        <f>'CC70 - Valores'!K109</f>
        <v>319.75116951978885</v>
      </c>
      <c r="V170" s="84">
        <f>'CC70 - Valores'!L109</f>
        <v>327.28193408148644</v>
      </c>
      <c r="W170" s="84">
        <f>'CC70 - Valores'!M109</f>
        <v>332.02628094159161</v>
      </c>
      <c r="X170" s="84">
        <f>'CC70 - Valores'!N109</f>
        <v>337.51159828718801</v>
      </c>
      <c r="Y170" s="84">
        <f>'CC70 - Valores'!O109</f>
        <v>345.24529706808966</v>
      </c>
      <c r="Z170" s="84">
        <f>'CC70 - Valores'!P109</f>
        <v>350.58829671120856</v>
      </c>
      <c r="AA170" s="84">
        <f>'CC70 - Valores'!Q109</f>
        <v>357.31537724601077</v>
      </c>
      <c r="AB170" s="84">
        <f>'CC70 - Valores'!R109</f>
        <v>362.29883333657693</v>
      </c>
      <c r="AC170" s="84">
        <f>'CC70 - Valores'!S109</f>
        <v>367.51397198057617</v>
      </c>
      <c r="AD170" s="84">
        <f>'CC70 - Valores'!T109</f>
        <v>373.69754563525197</v>
      </c>
      <c r="AE170" s="84">
        <f>'CC70 - Valores'!U109</f>
        <v>379.37593727393318</v>
      </c>
      <c r="AF170" s="84">
        <f>'CC70 - Valores'!V109</f>
        <v>385.81189729333767</v>
      </c>
      <c r="AG170" s="84">
        <f>'CC70 - Valores'!W109</f>
        <v>393.67177008260728</v>
      </c>
      <c r="AH170" s="84">
        <f>'CC70 - Valores'!X109</f>
        <v>401.21692257670776</v>
      </c>
      <c r="AI170" s="84">
        <f>'CC70 - Valores'!Y109</f>
        <v>409.66707231902114</v>
      </c>
      <c r="AJ170" s="84">
        <f>'CC70 - Valores'!Z109</f>
        <v>418.59107588134481</v>
      </c>
      <c r="AK170" s="84">
        <f>'CC70 - Valores'!AA109</f>
        <v>426.39117077006546</v>
      </c>
      <c r="AL170" s="84">
        <f>'CC70 - Valores'!AB109</f>
        <v>436.67171840840518</v>
      </c>
      <c r="AM170" s="84">
        <f>'CC70 - Valores'!AC109</f>
        <v>446.31609410954849</v>
      </c>
      <c r="AN170" s="84">
        <f>'CC70 - Valores'!AD109</f>
        <v>458.3997853487262</v>
      </c>
      <c r="AO170" s="84">
        <f>'CC70 - Valores'!AE109</f>
        <v>469.1743187519055</v>
      </c>
      <c r="AP170" s="84">
        <f>'CC70 - Valores'!AF109</f>
        <v>480.10425116234825</v>
      </c>
      <c r="AQ170" s="84">
        <f>'CC70 - Valores'!AG109</f>
        <v>491.65860907316568</v>
      </c>
      <c r="AR170" s="84">
        <f>'CC70 - Valores'!AH109</f>
        <v>503.35959552625781</v>
      </c>
      <c r="AS170" s="84">
        <f>'CC70 - Valores'!AI109</f>
        <v>513.79894083874171</v>
      </c>
      <c r="AT170" s="84">
        <f>'CC70 - Valores'!AJ109</f>
        <v>524.65858604354344</v>
      </c>
      <c r="AU170" s="84">
        <f>'CC70 - Valores'!AK109</f>
        <v>535.88916307921204</v>
      </c>
      <c r="AV170" s="84">
        <f>'CC70 - Valores'!AL109</f>
        <v>547.56819044849874</v>
      </c>
      <c r="AW170" s="84">
        <f>'CC70 - Valores'!AM109</f>
        <v>559.66706972691918</v>
      </c>
      <c r="AX170" s="84">
        <f>'CC70 - Valores'!AN109</f>
        <v>572.0936257535401</v>
      </c>
      <c r="AY170" s="84">
        <f>'CC70 - Valores'!AO109</f>
        <v>584.90475890436539</v>
      </c>
      <c r="AZ170" s="84">
        <f>'CC70 - Valores'!AP109</f>
        <v>598.0515399744811</v>
      </c>
      <c r="BA170" s="84">
        <f>'CC70 - Valores'!AQ109</f>
        <v>611.51979810838748</v>
      </c>
      <c r="BB170" s="84">
        <f>'CC70 - Valores'!AR109</f>
        <v>625.43995125058098</v>
      </c>
      <c r="BC170" s="84">
        <f>'CC70 - Valores'!AS109</f>
        <v>639.62437693690231</v>
      </c>
      <c r="BD170" s="84">
        <f>'CC70 - Valores'!AT109</f>
        <v>654.1542709290527</v>
      </c>
      <c r="BE170" s="84">
        <f>'CC70 - Valores'!AU109</f>
        <v>668.83613972997966</v>
      </c>
      <c r="BF170" s="84">
        <f>'CC70 - Valores'!AV109</f>
        <v>683.80327069995235</v>
      </c>
      <c r="BG170" s="84">
        <f>'CC70 - Valores'!AW109</f>
        <v>699.06617014476149</v>
      </c>
      <c r="BH170" s="84">
        <f>'CC70 - Valores'!AX109</f>
        <v>714.59355418432028</v>
      </c>
      <c r="BI170" s="84">
        <f>'CC70 - Valores'!AY109</f>
        <v>730.39501308156127</v>
      </c>
      <c r="BJ170" s="84">
        <f>'CC70 - Valores'!AZ109</f>
        <v>746.60864351759335</v>
      </c>
      <c r="BK170" s="84">
        <f>'CC70 - Valores'!BA109</f>
        <v>763.23184757923548</v>
      </c>
    </row>
    <row r="171" spans="1:63" x14ac:dyDescent="0.3">
      <c r="A171" s="386"/>
      <c r="B171" t="s">
        <v>418</v>
      </c>
      <c r="C171" s="297">
        <f t="shared" si="95"/>
        <v>107.77264867839591</v>
      </c>
      <c r="D171" s="298">
        <f t="shared" si="96"/>
        <v>156.70408071033322</v>
      </c>
      <c r="E171" s="298">
        <f t="shared" si="97"/>
        <v>117.29159109563213</v>
      </c>
      <c r="F171" s="298">
        <f t="shared" si="98"/>
        <v>130.46622325295002</v>
      </c>
      <c r="G171" s="298">
        <f t="shared" si="99"/>
        <v>153.2078792946167</v>
      </c>
      <c r="H171" s="293">
        <f t="shared" si="100"/>
        <v>189.5621606494062</v>
      </c>
      <c r="I171" s="293">
        <f t="shared" si="101"/>
        <v>233.64388000088451</v>
      </c>
      <c r="J171" s="299">
        <f t="shared" si="102"/>
        <v>289.04537060969415</v>
      </c>
      <c r="K171" s="82">
        <f t="shared" si="105"/>
        <v>107.77264867839591</v>
      </c>
      <c r="L171" s="82">
        <f t="shared" si="105"/>
        <v>121.71801820253535</v>
      </c>
      <c r="M171" s="82">
        <f t="shared" si="105"/>
        <v>156.70408071033322</v>
      </c>
      <c r="N171" s="82">
        <f t="shared" si="105"/>
        <v>106.5</v>
      </c>
      <c r="O171" s="82">
        <f t="shared" si="105"/>
        <v>110.16768109034368</v>
      </c>
      <c r="P171" s="82">
        <f t="shared" ref="P171" si="111">P155</f>
        <v>113.4083536088482</v>
      </c>
      <c r="Q171" s="84">
        <f>'CC70 - Valores'!G110</f>
        <v>113.6351703160659</v>
      </c>
      <c r="R171" s="84">
        <f>'CC70 - Valores'!H110</f>
        <v>117.29159109563213</v>
      </c>
      <c r="S171" s="84">
        <f>'CC70 - Valores'!I110</f>
        <v>120.18216263898749</v>
      </c>
      <c r="T171" s="84">
        <f>'CC70 - Valores'!J110</f>
        <v>122.64767102444982</v>
      </c>
      <c r="U171" s="84">
        <f>'CC70 - Valores'!K110</f>
        <v>125.88918309839627</v>
      </c>
      <c r="V171" s="84">
        <f>'CC70 - Valores'!L110</f>
        <v>128.72780207454895</v>
      </c>
      <c r="W171" s="84">
        <f>'CC70 - Valores'!M110</f>
        <v>130.46622325295002</v>
      </c>
      <c r="X171" s="84">
        <f>'CC70 - Valores'!N110</f>
        <v>132.49237811817116</v>
      </c>
      <c r="Y171" s="84">
        <f>'CC70 - Valores'!O110</f>
        <v>135.3966062867932</v>
      </c>
      <c r="Z171" s="84">
        <f>'CC70 - Valores'!P110</f>
        <v>137.35879738115818</v>
      </c>
      <c r="AA171" s="84">
        <f>'CC70 - Valores'!Q110</f>
        <v>139.85920913625446</v>
      </c>
      <c r="AB171" s="84">
        <f>'CC70 - Valores'!R110</f>
        <v>141.67323985126009</v>
      </c>
      <c r="AC171" s="84">
        <f>'CC70 - Valores'!S110</f>
        <v>143.57456212351809</v>
      </c>
      <c r="AD171" s="84">
        <f>'CC70 - Valores'!T110</f>
        <v>145.85048196827296</v>
      </c>
      <c r="AE171" s="84">
        <f>'CC70 - Valores'!U110</f>
        <v>147.92534729773567</v>
      </c>
      <c r="AF171" s="84">
        <f>'CC70 - Valores'!V110</f>
        <v>150.29164416456345</v>
      </c>
      <c r="AG171" s="84">
        <f>'CC70 - Valores'!W110</f>
        <v>153.2078792946167</v>
      </c>
      <c r="AH171" s="84">
        <f>'CC70 - Valores'!X110</f>
        <v>155.9965086377504</v>
      </c>
      <c r="AI171" s="84">
        <f>'CC70 - Valores'!Y110</f>
        <v>159.13169775014759</v>
      </c>
      <c r="AJ171" s="84">
        <f>'CC70 - Valores'!Z110</f>
        <v>162.4451666045853</v>
      </c>
      <c r="AK171" s="84">
        <f>'CC70 - Valores'!AA110</f>
        <v>165.3169582623625</v>
      </c>
      <c r="AL171" s="84">
        <f>'CC70 - Valores'!AB110</f>
        <v>169.1444763800703</v>
      </c>
      <c r="AM171" s="84">
        <f>'CC70 - Valores'!AC110</f>
        <v>172.71896516203608</v>
      </c>
      <c r="AN171" s="84">
        <f>'CC70 - Valores'!AD110</f>
        <v>177.23022036207595</v>
      </c>
      <c r="AO171" s="84">
        <f>'CC70 - Valores'!AE110</f>
        <v>181.22773330758173</v>
      </c>
      <c r="AP171" s="84">
        <f>'CC70 - Valores'!AF110</f>
        <v>185.27814323661522</v>
      </c>
      <c r="AQ171" s="84">
        <f>'CC70 - Valores'!AG110</f>
        <v>189.5621606494062</v>
      </c>
      <c r="AR171" s="84">
        <f>'CC70 - Valores'!AH110</f>
        <v>193.89511365821164</v>
      </c>
      <c r="AS171" s="84">
        <f>'CC70 - Valores'!AI110</f>
        <v>197.73491869498301</v>
      </c>
      <c r="AT171" s="84">
        <f>'CC70 - Valores'!AJ110</f>
        <v>201.72965165138905</v>
      </c>
      <c r="AU171" s="84">
        <f>'CC70 - Valores'!AK110</f>
        <v>205.85994365694143</v>
      </c>
      <c r="AV171" s="84">
        <f>'CC70 - Valores'!AL110</f>
        <v>210.15519655191838</v>
      </c>
      <c r="AW171" s="84">
        <f>'CC70 - Valores'!AM110</f>
        <v>214.60401645139817</v>
      </c>
      <c r="AX171" s="84">
        <f>'CC70 - Valores'!AN110</f>
        <v>219.17069588718437</v>
      </c>
      <c r="AY171" s="84">
        <f>'CC70 - Valores'!AO110</f>
        <v>223.87671743419244</v>
      </c>
      <c r="AZ171" s="84">
        <f>'CC70 - Valores'!AP110</f>
        <v>228.70301691404208</v>
      </c>
      <c r="BA171" s="84">
        <f>'CC70 - Valores'!AQ110</f>
        <v>233.64388000088451</v>
      </c>
      <c r="BB171" s="84">
        <f>'CC70 - Valores'!AR110</f>
        <v>238.74880774386324</v>
      </c>
      <c r="BC171" s="84">
        <f>'CC70 - Valores'!AS110</f>
        <v>243.94582864871737</v>
      </c>
      <c r="BD171" s="84">
        <f>'CC70 - Valores'!AT110</f>
        <v>249.26566190441039</v>
      </c>
      <c r="BE171" s="84">
        <f>'CC70 - Valores'!AU110</f>
        <v>254.63434099514024</v>
      </c>
      <c r="BF171" s="84">
        <f>'CC70 - Valores'!AV110</f>
        <v>260.1024616616067</v>
      </c>
      <c r="BG171" s="84">
        <f>'CC70 - Valores'!AW110</f>
        <v>265.67377986607835</v>
      </c>
      <c r="BH171" s="84">
        <f>'CC70 - Valores'!AX110</f>
        <v>271.3361712483358</v>
      </c>
      <c r="BI171" s="84">
        <f>'CC70 - Valores'!AY110</f>
        <v>277.09306148326738</v>
      </c>
      <c r="BJ171" s="84">
        <f>'CC70 - Valores'!AZ110</f>
        <v>282.99657450575944</v>
      </c>
      <c r="BK171" s="84">
        <f>'CC70 - Valores'!BA110</f>
        <v>289.04537060969415</v>
      </c>
    </row>
    <row r="172" spans="1:63" x14ac:dyDescent="0.3">
      <c r="A172" s="386"/>
      <c r="B172" t="s">
        <v>419</v>
      </c>
      <c r="C172" s="297">
        <f t="shared" si="95"/>
        <v>133.29921508867</v>
      </c>
      <c r="D172" s="298">
        <f t="shared" si="96"/>
        <v>211.50616730098926</v>
      </c>
      <c r="E172" s="298">
        <f t="shared" si="97"/>
        <v>242.57436010178267</v>
      </c>
      <c r="F172" s="298">
        <f t="shared" si="98"/>
        <v>271.15163996861298</v>
      </c>
      <c r="G172" s="298">
        <f t="shared" si="99"/>
        <v>321.49487011850044</v>
      </c>
      <c r="H172" s="293">
        <f t="shared" si="100"/>
        <v>401.51652386314578</v>
      </c>
      <c r="I172" s="293">
        <f t="shared" si="101"/>
        <v>499.40202221381907</v>
      </c>
      <c r="J172" s="299">
        <f t="shared" si="102"/>
        <v>623.29875382301475</v>
      </c>
      <c r="K172" s="82">
        <f t="shared" si="105"/>
        <v>133.29921508867</v>
      </c>
      <c r="L172" s="82">
        <f t="shared" si="105"/>
        <v>196.93190017375747</v>
      </c>
      <c r="M172" s="82">
        <f t="shared" si="105"/>
        <v>211.50616730098926</v>
      </c>
      <c r="N172" s="82">
        <f t="shared" si="105"/>
        <v>219.59911059084641</v>
      </c>
      <c r="O172" s="82">
        <f t="shared" si="105"/>
        <v>227.16173505441765</v>
      </c>
      <c r="P172" s="82">
        <f t="shared" ref="P172" si="112">P156</f>
        <v>233.84388343732647</v>
      </c>
      <c r="Q172" s="84">
        <f>'CC70 - Valores'!G111</f>
        <v>234.77925897107576</v>
      </c>
      <c r="R172" s="84">
        <f>'CC70 - Valores'!H111</f>
        <v>242.57436010178267</v>
      </c>
      <c r="S172" s="84">
        <f>'CC70 - Valores'!I111</f>
        <v>248.79852601426546</v>
      </c>
      <c r="T172" s="84">
        <f>'CC70 - Valores'!J111</f>
        <v>254.15320269766647</v>
      </c>
      <c r="U172" s="84">
        <f>'CC70 - Valores'!K111</f>
        <v>261.1270823240186</v>
      </c>
      <c r="V172" s="84">
        <f>'CC70 - Valores'!L111</f>
        <v>267.27713513107648</v>
      </c>
      <c r="W172" s="84">
        <f>'CC70 - Valores'!M111</f>
        <v>271.15163996861298</v>
      </c>
      <c r="X172" s="84">
        <f>'CC70 - Valores'!N111</f>
        <v>275.63126365920988</v>
      </c>
      <c r="Y172" s="84">
        <f>'CC70 - Valores'!O111</f>
        <v>281.94704414959114</v>
      </c>
      <c r="Z172" s="84">
        <f>'CC70 - Valores'!P111</f>
        <v>286.31044306932387</v>
      </c>
      <c r="AA172" s="84">
        <f>'CC70 - Valores'!Q111</f>
        <v>291.8041615606424</v>
      </c>
      <c r="AB172" s="84">
        <f>'CC70 - Valores'!R111</f>
        <v>295.87393666349425</v>
      </c>
      <c r="AC172" s="84">
        <f>'CC70 - Valores'!S111</f>
        <v>300.13291698268426</v>
      </c>
      <c r="AD172" s="84">
        <f>'CC70 - Valores'!T111</f>
        <v>305.18277668829899</v>
      </c>
      <c r="AE172" s="84">
        <f>'CC70 - Valores'!U111</f>
        <v>309.82007588294715</v>
      </c>
      <c r="AF172" s="84">
        <f>'CC70 - Valores'!V111</f>
        <v>315.0760487206544</v>
      </c>
      <c r="AG172" s="84">
        <f>'CC70 - Valores'!W111</f>
        <v>321.49487011850044</v>
      </c>
      <c r="AH172" s="84">
        <f>'CC70 - Valores'!X111</f>
        <v>327.656672933587</v>
      </c>
      <c r="AI172" s="84">
        <f>'CC70 - Valores'!Y111</f>
        <v>334.55754823210503</v>
      </c>
      <c r="AJ172" s="84">
        <f>'CC70 - Valores'!Z111</f>
        <v>341.84539964599799</v>
      </c>
      <c r="AK172" s="84">
        <f>'CC70 - Valores'!AA111</f>
        <v>348.21540299329166</v>
      </c>
      <c r="AL172" s="84">
        <f>'CC70 - Valores'!AB111</f>
        <v>356.61108584106489</v>
      </c>
      <c r="AM172" s="84">
        <f>'CC70 - Valores'!AC111</f>
        <v>364.48723432070432</v>
      </c>
      <c r="AN172" s="84">
        <f>'CC70 - Valores'!AD111</f>
        <v>374.35546730239952</v>
      </c>
      <c r="AO172" s="84">
        <f>'CC70 - Valores'!AE111</f>
        <v>383.1545671624574</v>
      </c>
      <c r="AP172" s="84">
        <f>'CC70 - Valores'!AF111</f>
        <v>392.08057473460792</v>
      </c>
      <c r="AQ172" s="84">
        <f>'CC70 - Valores'!AG111</f>
        <v>401.51652386314578</v>
      </c>
      <c r="AR172" s="84">
        <f>'CC70 - Valores'!AH111</f>
        <v>411.0722182407381</v>
      </c>
      <c r="AS172" s="84">
        <f>'CC70 - Valores'!AI111</f>
        <v>419.59758434625019</v>
      </c>
      <c r="AT172" s="84">
        <f>'CC70 - Valores'!AJ111</f>
        <v>428.46619136858789</v>
      </c>
      <c r="AU172" s="84">
        <f>'CC70 - Valores'!AK111</f>
        <v>437.63772252684299</v>
      </c>
      <c r="AV172" s="84">
        <f>'CC70 - Valores'!AL111</f>
        <v>447.17548386139674</v>
      </c>
      <c r="AW172" s="84">
        <f>'CC70 - Valores'!AM111</f>
        <v>457.05612026410091</v>
      </c>
      <c r="AX172" s="84">
        <f>'CC70 - Valores'!AN111</f>
        <v>467.20435622971377</v>
      </c>
      <c r="AY172" s="84">
        <f>'CC70 - Valores'!AO111</f>
        <v>477.66665985776189</v>
      </c>
      <c r="AZ172" s="84">
        <f>'CC70 - Valores'!AP111</f>
        <v>488.40307276267066</v>
      </c>
      <c r="BA172" s="84">
        <f>'CC70 - Valores'!AQ111</f>
        <v>499.40202221381907</v>
      </c>
      <c r="BB172" s="84">
        <f>'CC70 - Valores'!AR111</f>
        <v>510.77001495950168</v>
      </c>
      <c r="BC172" s="84">
        <f>'CC70 - Valores'!AS111</f>
        <v>522.35382777079997</v>
      </c>
      <c r="BD172" s="84">
        <f>'CC70 - Valores'!AT111</f>
        <v>534.2197697479495</v>
      </c>
      <c r="BE172" s="84">
        <f>'CC70 - Valores'!AU111</f>
        <v>546.20982304097686</v>
      </c>
      <c r="BF172" s="84">
        <f>'CC70 - Valores'!AV111</f>
        <v>558.43283772711573</v>
      </c>
      <c r="BG172" s="84">
        <f>'CC70 - Valores'!AW111</f>
        <v>570.89739385622545</v>
      </c>
      <c r="BH172" s="84">
        <f>'CC70 - Valores'!AX111</f>
        <v>583.57794322360962</v>
      </c>
      <c r="BI172" s="84">
        <f>'CC70 - Valores'!AY111</f>
        <v>596.48231778616798</v>
      </c>
      <c r="BJ172" s="84">
        <f>'CC70 - Valores'!AZ111</f>
        <v>609.72329518743732</v>
      </c>
      <c r="BK172" s="84">
        <f>'CC70 - Valores'!BA111</f>
        <v>623.29875382301475</v>
      </c>
    </row>
    <row r="173" spans="1:63" x14ac:dyDescent="0.3">
      <c r="A173" s="386"/>
      <c r="B173" t="s">
        <v>420</v>
      </c>
      <c r="C173" s="297">
        <f t="shared" si="95"/>
        <v>1048.1144799708336</v>
      </c>
      <c r="D173" s="298">
        <f t="shared" si="96"/>
        <v>503.48773330439957</v>
      </c>
      <c r="E173" s="298">
        <f t="shared" si="97"/>
        <v>547.07638414044754</v>
      </c>
      <c r="F173" s="298">
        <f t="shared" si="98"/>
        <v>608.52605888421817</v>
      </c>
      <c r="G173" s="298">
        <f t="shared" si="99"/>
        <v>714.59864977009727</v>
      </c>
      <c r="H173" s="293">
        <f t="shared" si="100"/>
        <v>884.16382154261441</v>
      </c>
      <c r="I173" s="293">
        <f t="shared" si="101"/>
        <v>1089.7716354040367</v>
      </c>
      <c r="J173" s="299">
        <f t="shared" si="102"/>
        <v>1348.1776035995451</v>
      </c>
      <c r="K173" s="82">
        <f t="shared" si="105"/>
        <v>1048.1144799708336</v>
      </c>
      <c r="L173" s="82">
        <f t="shared" si="105"/>
        <v>683.87502065145532</v>
      </c>
      <c r="M173" s="82">
        <f t="shared" si="105"/>
        <v>503.48773330439957</v>
      </c>
      <c r="N173" s="82">
        <f t="shared" si="105"/>
        <v>496.74178998435787</v>
      </c>
      <c r="O173" s="82">
        <f t="shared" si="105"/>
        <v>513.84874275345737</v>
      </c>
      <c r="P173" s="82">
        <f t="shared" ref="P173" si="113">P157</f>
        <v>528.9640241393264</v>
      </c>
      <c r="Q173" s="84">
        <f>'CC70 - Valores'!G112</f>
        <v>530.02195218760505</v>
      </c>
      <c r="R173" s="84">
        <f>'CC70 - Valores'!H112</f>
        <v>547.07638414044754</v>
      </c>
      <c r="S173" s="84">
        <f>'CC70 - Valores'!I112</f>
        <v>560.55870979795179</v>
      </c>
      <c r="T173" s="84">
        <f>'CC70 - Valores'!J112</f>
        <v>572.05843795397061</v>
      </c>
      <c r="U173" s="84">
        <f>'CC70 - Valores'!K112</f>
        <v>587.177635229727</v>
      </c>
      <c r="V173" s="84">
        <f>'CC70 - Valores'!L112</f>
        <v>600.4176415329913</v>
      </c>
      <c r="W173" s="84">
        <f>'CC70 - Valores'!M112</f>
        <v>608.52605888421817</v>
      </c>
      <c r="X173" s="84">
        <f>'CC70 - Valores'!N112</f>
        <v>617.97653582821317</v>
      </c>
      <c r="Y173" s="84">
        <f>'CC70 - Valores'!O112</f>
        <v>631.52255929304249</v>
      </c>
      <c r="Z173" s="84">
        <f>'CC70 - Valores'!P112</f>
        <v>640.67469372033088</v>
      </c>
      <c r="AA173" s="84">
        <f>'CC70 - Valores'!Q112</f>
        <v>652.3372196445041</v>
      </c>
      <c r="AB173" s="84">
        <f>'CC70 - Valores'!R112</f>
        <v>660.7982981840205</v>
      </c>
      <c r="AC173" s="84">
        <f>'CC70 - Valores'!S112</f>
        <v>669.66652568504003</v>
      </c>
      <c r="AD173" s="84">
        <f>'CC70 - Valores'!T112</f>
        <v>680.28196697653732</v>
      </c>
      <c r="AE173" s="84">
        <f>'CC70 - Valores'!U112</f>
        <v>689.95964132145548</v>
      </c>
      <c r="AF173" s="84">
        <f>'CC70 - Valores'!V112</f>
        <v>700.99662292955338</v>
      </c>
      <c r="AG173" s="84">
        <f>'CC70 - Valores'!W112</f>
        <v>714.59864977009727</v>
      </c>
      <c r="AH173" s="84">
        <f>'CC70 - Valores'!X112</f>
        <v>727.60549231949767</v>
      </c>
      <c r="AI173" s="84">
        <f>'CC70 - Valores'!Y112</f>
        <v>742.22877355547553</v>
      </c>
      <c r="AJ173" s="84">
        <f>'CC70 - Valores'!Z112</f>
        <v>757.68359468045958</v>
      </c>
      <c r="AK173" s="84">
        <f>'CC70 - Valores'!AA112</f>
        <v>771.07832640389984</v>
      </c>
      <c r="AL173" s="84">
        <f>'CC70 - Valores'!AB112</f>
        <v>788.93079777467676</v>
      </c>
      <c r="AM173" s="84">
        <f>'CC70 - Valores'!AC112</f>
        <v>805.60307905010086</v>
      </c>
      <c r="AN173" s="84">
        <f>'CC70 - Valores'!AD112</f>
        <v>826.64466574628921</v>
      </c>
      <c r="AO173" s="84">
        <f>'CC70 - Valores'!AE112</f>
        <v>845.29003415977445</v>
      </c>
      <c r="AP173" s="84">
        <f>'CC70 - Valores'!AF112</f>
        <v>864.18212691393899</v>
      </c>
      <c r="AQ173" s="84">
        <f>'CC70 - Valores'!AG112</f>
        <v>884.16382154261441</v>
      </c>
      <c r="AR173" s="84">
        <f>'CC70 - Valores'!AH112</f>
        <v>904.3737636413199</v>
      </c>
      <c r="AS173" s="84">
        <f>'CC70 - Valores'!AI112</f>
        <v>922.28354417800313</v>
      </c>
      <c r="AT173" s="84">
        <f>'CC70 - Valores'!AJ112</f>
        <v>940.91594604912655</v>
      </c>
      <c r="AU173" s="84">
        <f>'CC70 - Valores'!AK112</f>
        <v>960.18062815237693</v>
      </c>
      <c r="AV173" s="84">
        <f>'CC70 - Valores'!AL112</f>
        <v>980.21472779074634</v>
      </c>
      <c r="AW173" s="84">
        <f>'CC70 - Valores'!AM112</f>
        <v>1000.9651011258226</v>
      </c>
      <c r="AX173" s="84">
        <f>'CC70 - Valores'!AN112</f>
        <v>1022.2651998790358</v>
      </c>
      <c r="AY173" s="84">
        <f>'CC70 - Valores'!AO112</f>
        <v>1044.2152239820005</v>
      </c>
      <c r="AZ173" s="84">
        <f>'CC70 - Valores'!AP112</f>
        <v>1066.7262534901797</v>
      </c>
      <c r="BA173" s="84">
        <f>'CC70 - Valores'!AQ112</f>
        <v>1089.7716354040367</v>
      </c>
      <c r="BB173" s="84">
        <f>'CC70 - Valores'!AR112</f>
        <v>1113.5822546039244</v>
      </c>
      <c r="BC173" s="84">
        <f>'CC70 - Valores'!AS112</f>
        <v>1137.8224186120312</v>
      </c>
      <c r="BD173" s="84">
        <f>'CC70 - Valores'!AT112</f>
        <v>1162.6354091646253</v>
      </c>
      <c r="BE173" s="84">
        <f>'CC70 - Valores'!AU112</f>
        <v>1187.6762285203129</v>
      </c>
      <c r="BF173" s="84">
        <f>'CC70 - Valores'!AV112</f>
        <v>1213.180867465956</v>
      </c>
      <c r="BG173" s="84">
        <f>'CC70 - Valores'!AW112</f>
        <v>1239.1668447191175</v>
      </c>
      <c r="BH173" s="84">
        <f>'CC70 - Valores'!AX112</f>
        <v>1265.5776093277047</v>
      </c>
      <c r="BI173" s="84">
        <f>'CC70 - Valores'!AY112</f>
        <v>1292.4291394689574</v>
      </c>
      <c r="BJ173" s="84">
        <f>'CC70 - Valores'!AZ112</f>
        <v>1319.9645537974898</v>
      </c>
      <c r="BK173" s="84">
        <f>'CC70 - Valores'!BA112</f>
        <v>1348.1776035995451</v>
      </c>
    </row>
    <row r="174" spans="1:63" x14ac:dyDescent="0.3">
      <c r="A174" s="386"/>
      <c r="B174" t="s">
        <v>421</v>
      </c>
      <c r="C174" s="297">
        <f t="shared" si="95"/>
        <v>330.0776224697172</v>
      </c>
      <c r="D174" s="298">
        <f t="shared" si="96"/>
        <v>370.99405287354472</v>
      </c>
      <c r="E174" s="298">
        <f t="shared" si="97"/>
        <v>518.84170492882049</v>
      </c>
      <c r="F174" s="298">
        <f t="shared" si="98"/>
        <v>579.96557887045606</v>
      </c>
      <c r="G174" s="298">
        <f t="shared" si="99"/>
        <v>687.644590583119</v>
      </c>
      <c r="H174" s="293">
        <f t="shared" si="100"/>
        <v>858.80270986116034</v>
      </c>
      <c r="I174" s="293">
        <f t="shared" si="101"/>
        <v>1068.1697626311256</v>
      </c>
      <c r="J174" s="299">
        <f t="shared" si="102"/>
        <v>1333.1721785346488</v>
      </c>
      <c r="K174" s="82">
        <f t="shared" si="105"/>
        <v>330.0776224697172</v>
      </c>
      <c r="L174" s="82">
        <f t="shared" si="105"/>
        <v>414.51562066941744</v>
      </c>
      <c r="M174" s="82">
        <f t="shared" si="105"/>
        <v>370.99405287354472</v>
      </c>
      <c r="N174" s="82">
        <f t="shared" si="105"/>
        <v>469.70000000000005</v>
      </c>
      <c r="O174" s="82">
        <f t="shared" si="105"/>
        <v>485.87567894961904</v>
      </c>
      <c r="P174" s="82">
        <f t="shared" ref="P174" si="114">P158</f>
        <v>500.16810976597185</v>
      </c>
      <c r="Q174" s="84">
        <f>'CC70 - Valores'!G113</f>
        <v>502.16878220503571</v>
      </c>
      <c r="R174" s="84">
        <f>'CC70 - Valores'!H113</f>
        <v>518.84170492882049</v>
      </c>
      <c r="S174" s="84">
        <f>'CC70 - Valores'!I113</f>
        <v>532.15455816045392</v>
      </c>
      <c r="T174" s="84">
        <f>'CC70 - Valores'!J113</f>
        <v>543.60766300876776</v>
      </c>
      <c r="U174" s="84">
        <f>'CC70 - Valores'!K113</f>
        <v>558.52407706747817</v>
      </c>
      <c r="V174" s="84">
        <f>'CC70 - Valores'!L113</f>
        <v>571.67840995936865</v>
      </c>
      <c r="W174" s="84">
        <f>'CC70 - Valores'!M113</f>
        <v>579.96557887045606</v>
      </c>
      <c r="X174" s="84">
        <f>'CC70 - Valores'!N113</f>
        <v>589.54703501484653</v>
      </c>
      <c r="Y174" s="84">
        <f>'CC70 - Valores'!O113</f>
        <v>603.05584244284773</v>
      </c>
      <c r="Z174" s="84">
        <f>'CC70 - Valores'!P113</f>
        <v>612.388705709389</v>
      </c>
      <c r="AA174" s="84">
        <f>'CC70 - Valores'!Q113</f>
        <v>624.1392067402428</v>
      </c>
      <c r="AB174" s="84">
        <f>'CC70 - Valores'!R113</f>
        <v>632.84403874373459</v>
      </c>
      <c r="AC174" s="84">
        <f>'CC70 - Valores'!S113</f>
        <v>641.95356132122231</v>
      </c>
      <c r="AD174" s="84">
        <f>'CC70 - Valores'!T113</f>
        <v>652.75469388203021</v>
      </c>
      <c r="AE174" s="84">
        <f>'CC70 - Valores'!U113</f>
        <v>662.67340177600022</v>
      </c>
      <c r="AF174" s="84">
        <f>'CC70 - Valores'!V113</f>
        <v>673.91538921041558</v>
      </c>
      <c r="AG174" s="84">
        <f>'CC70 - Valores'!W113</f>
        <v>687.644590583119</v>
      </c>
      <c r="AH174" s="84">
        <f>'CC70 - Valores'!X113</f>
        <v>700.82405553841465</v>
      </c>
      <c r="AI174" s="84">
        <f>'CC70 - Valores'!Y113</f>
        <v>715.58432081905653</v>
      </c>
      <c r="AJ174" s="84">
        <f>'CC70 - Valores'!Z113</f>
        <v>731.17228836544336</v>
      </c>
      <c r="AK174" s="84">
        <f>'CC70 - Valores'!AA113</f>
        <v>744.79707292934108</v>
      </c>
      <c r="AL174" s="84">
        <f>'CC70 - Valores'!AB113</f>
        <v>762.75457841735954</v>
      </c>
      <c r="AM174" s="84">
        <f>'CC70 - Valores'!AC113</f>
        <v>779.60085311734838</v>
      </c>
      <c r="AN174" s="84">
        <f>'CC70 - Valores'!AD113</f>
        <v>800.70799248157971</v>
      </c>
      <c r="AO174" s="84">
        <f>'CC70 - Valores'!AE113</f>
        <v>819.52836562949096</v>
      </c>
      <c r="AP174" s="84">
        <f>'CC70 - Valores'!AF113</f>
        <v>838.62018137209031</v>
      </c>
      <c r="AQ174" s="84">
        <f>'CC70 - Valores'!AG113</f>
        <v>858.80270986116034</v>
      </c>
      <c r="AR174" s="84">
        <f>'CC70 - Valores'!AH113</f>
        <v>879.24136117026171</v>
      </c>
      <c r="AS174" s="84">
        <f>'CC70 - Valores'!AI113</f>
        <v>897.47624586075528</v>
      </c>
      <c r="AT174" s="84">
        <f>'CC70 - Valores'!AJ113</f>
        <v>916.44528770789304</v>
      </c>
      <c r="AU174" s="84">
        <f>'CC70 - Valores'!AK113</f>
        <v>936.06225324769798</v>
      </c>
      <c r="AV174" s="84">
        <f>'CC70 - Valores'!AL113</f>
        <v>956.46254761494959</v>
      </c>
      <c r="AW174" s="84">
        <f>'CC70 - Valores'!AM113</f>
        <v>977.59621662600966</v>
      </c>
      <c r="AX174" s="84">
        <f>'CC70 - Valores'!AN113</f>
        <v>999.30225368701338</v>
      </c>
      <c r="AY174" s="84">
        <f>'CC70 - Valores'!AO113</f>
        <v>1021.6800493022704</v>
      </c>
      <c r="AZ174" s="84">
        <f>'CC70 - Valores'!AP113</f>
        <v>1044.6441365787052</v>
      </c>
      <c r="BA174" s="84">
        <f>'CC70 - Valores'!AQ113</f>
        <v>1068.1697626311256</v>
      </c>
      <c r="BB174" s="84">
        <f>'CC70 - Valores'!AR113</f>
        <v>1092.4847344826999</v>
      </c>
      <c r="BC174" s="84">
        <f>'CC70 - Valores'!AS113</f>
        <v>1117.2613233442289</v>
      </c>
      <c r="BD174" s="84">
        <f>'CC70 - Valores'!AT113</f>
        <v>1142.6413575878623</v>
      </c>
      <c r="BE174" s="84">
        <f>'CC70 - Valores'!AU113</f>
        <v>1168.286853221166</v>
      </c>
      <c r="BF174" s="84">
        <f>'CC70 - Valores'!AV113</f>
        <v>1194.4306294078383</v>
      </c>
      <c r="BG174" s="84">
        <f>'CC70 - Valores'!AW113</f>
        <v>1221.0910379955171</v>
      </c>
      <c r="BH174" s="84">
        <f>'CC70 - Valores'!AX113</f>
        <v>1248.2134339917268</v>
      </c>
      <c r="BI174" s="84">
        <f>'CC70 - Valores'!AY113</f>
        <v>1275.8145691499049</v>
      </c>
      <c r="BJ174" s="84">
        <f>'CC70 - Valores'!AZ113</f>
        <v>1304.1356632956999</v>
      </c>
      <c r="BK174" s="84">
        <f>'CC70 - Valores'!BA113</f>
        <v>1333.1721785346488</v>
      </c>
    </row>
    <row r="175" spans="1:63" x14ac:dyDescent="0.3">
      <c r="A175" s="386"/>
      <c r="B175" t="s">
        <v>422</v>
      </c>
      <c r="C175" s="297">
        <f t="shared" si="95"/>
        <v>462</v>
      </c>
      <c r="D175" s="298">
        <f t="shared" si="96"/>
        <v>495.5</v>
      </c>
      <c r="E175" s="298">
        <f t="shared" si="97"/>
        <v>595.94800082514121</v>
      </c>
      <c r="F175" s="298">
        <f t="shared" si="98"/>
        <v>667.78259888675996</v>
      </c>
      <c r="G175" s="298">
        <f t="shared" si="99"/>
        <v>795.5124508327151</v>
      </c>
      <c r="H175" s="293">
        <f t="shared" si="100"/>
        <v>998.02100306683792</v>
      </c>
      <c r="I175" s="293">
        <f t="shared" si="101"/>
        <v>1246.7188994847597</v>
      </c>
      <c r="J175" s="299">
        <f t="shared" si="102"/>
        <v>1562.5003591471823</v>
      </c>
      <c r="K175" s="82">
        <f t="shared" si="105"/>
        <v>462</v>
      </c>
      <c r="L175" s="82">
        <f t="shared" si="105"/>
        <v>486</v>
      </c>
      <c r="M175" s="82">
        <f t="shared" si="105"/>
        <v>495.5</v>
      </c>
      <c r="N175" s="82">
        <f t="shared" si="105"/>
        <v>538.70000000000005</v>
      </c>
      <c r="O175" s="82">
        <f t="shared" si="105"/>
        <v>557.25192303632059</v>
      </c>
      <c r="P175" s="82">
        <f t="shared" ref="P175" si="115">P159</f>
        <v>573.64394449846509</v>
      </c>
      <c r="Q175" s="84">
        <f>'CC70 - Valores'!G114</f>
        <v>576.5121642209574</v>
      </c>
      <c r="R175" s="84">
        <f>'CC70 - Valores'!H114</f>
        <v>595.94800082514121</v>
      </c>
      <c r="S175" s="84">
        <f>'CC70 - Valores'!I114</f>
        <v>611.54024581260683</v>
      </c>
      <c r="T175" s="84">
        <f>'CC70 - Valores'!J114</f>
        <v>625.00809693907945</v>
      </c>
      <c r="U175" s="84">
        <f>'CC70 - Valores'!K114</f>
        <v>642.47146677804221</v>
      </c>
      <c r="V175" s="84">
        <f>'CC70 - Valores'!L114</f>
        <v>657.92239440971252</v>
      </c>
      <c r="W175" s="84">
        <f>'CC70 - Valores'!M114</f>
        <v>667.78259888675996</v>
      </c>
      <c r="X175" s="84">
        <f>'CC70 - Valores'!N114</f>
        <v>679.14172526449408</v>
      </c>
      <c r="Y175" s="84">
        <f>'CC70 - Valores'!O114</f>
        <v>695.03654164331238</v>
      </c>
      <c r="Z175" s="84">
        <f>'CC70 - Valores'!P114</f>
        <v>706.12977169755925</v>
      </c>
      <c r="AA175" s="84">
        <f>'CC70 - Valores'!Q114</f>
        <v>720.02097497217699</v>
      </c>
      <c r="AB175" s="84">
        <f>'CC70 - Valores'!R114</f>
        <v>730.40848289494511</v>
      </c>
      <c r="AC175" s="84">
        <f>'CC70 - Valores'!S114</f>
        <v>741.27143185540524</v>
      </c>
      <c r="AD175" s="84">
        <f>'CC70 - Valores'!T114</f>
        <v>754.09715012068023</v>
      </c>
      <c r="AE175" s="84">
        <f>'CC70 - Valores'!U114</f>
        <v>765.91327467433564</v>
      </c>
      <c r="AF175" s="84">
        <f>'CC70 - Valores'!V114</f>
        <v>779.26884588001144</v>
      </c>
      <c r="AG175" s="84">
        <f>'CC70 - Valores'!W114</f>
        <v>795.5124508327151</v>
      </c>
      <c r="AH175" s="84">
        <f>'CC70 - Valores'!X114</f>
        <v>811.1330436753891</v>
      </c>
      <c r="AI175" s="84">
        <f>'CC70 - Valores'!Y114</f>
        <v>828.59668468107111</v>
      </c>
      <c r="AJ175" s="84">
        <f>'CC70 - Valores'!Z114</f>
        <v>847.033377389463</v>
      </c>
      <c r="AK175" s="84">
        <f>'CC70 - Valores'!AA114</f>
        <v>863.20975086878423</v>
      </c>
      <c r="AL175" s="84">
        <f>'CC70 - Valores'!AB114</f>
        <v>884.4228001774735</v>
      </c>
      <c r="AM175" s="84">
        <f>'CC70 - Valores'!AC114</f>
        <v>904.36407831532563</v>
      </c>
      <c r="AN175" s="84">
        <f>'CC70 - Valores'!AD114</f>
        <v>929.26636611350921</v>
      </c>
      <c r="AO175" s="84">
        <f>'CC70 - Valores'!AE114</f>
        <v>951.53391747362809</v>
      </c>
      <c r="AP175" s="84">
        <f>'CC70 - Valores'!AF114</f>
        <v>974.13466384583569</v>
      </c>
      <c r="AQ175" s="84">
        <f>'CC70 - Valores'!AG114</f>
        <v>998.02100306683792</v>
      </c>
      <c r="AR175" s="84">
        <f>'CC70 - Valores'!AH114</f>
        <v>1022.2242006500253</v>
      </c>
      <c r="AS175" s="84">
        <f>'CC70 - Valores'!AI114</f>
        <v>1043.8833652724497</v>
      </c>
      <c r="AT175" s="84">
        <f>'CC70 - Valores'!AJ114</f>
        <v>1066.4137102299148</v>
      </c>
      <c r="AU175" s="84">
        <f>'CC70 - Valores'!AK114</f>
        <v>1089.7158694529412</v>
      </c>
      <c r="AV175" s="84">
        <f>'CC70 - Valores'!AL114</f>
        <v>1113.9484271989254</v>
      </c>
      <c r="AW175" s="84">
        <f>'CC70 - Valores'!AM114</f>
        <v>1139.0542609826414</v>
      </c>
      <c r="AX175" s="84">
        <f>'CC70 - Valores'!AN114</f>
        <v>1164.8466906029666</v>
      </c>
      <c r="AY175" s="84">
        <f>'CC70 - Valores'!AO114</f>
        <v>1191.4423711019394</v>
      </c>
      <c r="AZ175" s="84">
        <f>'CC70 - Valores'!AP114</f>
        <v>1218.7424845837074</v>
      </c>
      <c r="BA175" s="84">
        <f>'CC70 - Valores'!AQ114</f>
        <v>1246.7188994847597</v>
      </c>
      <c r="BB175" s="84">
        <f>'CC70 - Valores'!AR114</f>
        <v>1275.6383308973686</v>
      </c>
      <c r="BC175" s="84">
        <f>'CC70 - Valores'!AS114</f>
        <v>1305.1189931597187</v>
      </c>
      <c r="BD175" s="84">
        <f>'CC70 - Valores'!AT114</f>
        <v>1335.3271890504909</v>
      </c>
      <c r="BE175" s="84">
        <f>'CC70 - Valores'!AU114</f>
        <v>1365.8685359588426</v>
      </c>
      <c r="BF175" s="84">
        <f>'CC70 - Valores'!AV114</f>
        <v>1397.0156030369831</v>
      </c>
      <c r="BG175" s="84">
        <f>'CC70 - Valores'!AW114</f>
        <v>1428.7904627145558</v>
      </c>
      <c r="BH175" s="84">
        <f>'CC70 - Valores'!AX114</f>
        <v>1461.1297701082267</v>
      </c>
      <c r="BI175" s="84">
        <f>'CC70 - Valores'!AY114</f>
        <v>1494.053680252563</v>
      </c>
      <c r="BJ175" s="84">
        <f>'CC70 - Valores'!AZ114</f>
        <v>1527.8453494391515</v>
      </c>
      <c r="BK175" s="84">
        <f>'CC70 - Valores'!BA114</f>
        <v>1562.5003591471823</v>
      </c>
    </row>
    <row r="176" spans="1:63" x14ac:dyDescent="0.3">
      <c r="A176" s="386"/>
      <c r="B176" t="s">
        <v>423</v>
      </c>
      <c r="C176" s="297">
        <f t="shared" si="95"/>
        <v>1244.0659714179023</v>
      </c>
      <c r="D176" s="298">
        <f t="shared" si="96"/>
        <v>607.660123075569</v>
      </c>
      <c r="E176" s="298">
        <f t="shared" si="97"/>
        <v>645.52626762636442</v>
      </c>
      <c r="F176" s="298">
        <f t="shared" si="98"/>
        <v>721.57463812854212</v>
      </c>
      <c r="G176" s="298">
        <f t="shared" si="99"/>
        <v>855.54542319121731</v>
      </c>
      <c r="H176" s="293">
        <f t="shared" si="100"/>
        <v>1068.4948851598917</v>
      </c>
      <c r="I176" s="293">
        <f t="shared" si="101"/>
        <v>1328.9826810610891</v>
      </c>
      <c r="J176" s="299">
        <f t="shared" si="102"/>
        <v>1658.6902177242011</v>
      </c>
      <c r="K176" s="82">
        <f t="shared" si="105"/>
        <v>1244.0659714179023</v>
      </c>
      <c r="L176" s="82">
        <f t="shared" si="105"/>
        <v>618.36073373563374</v>
      </c>
      <c r="M176" s="82">
        <f t="shared" si="105"/>
        <v>607.660123075569</v>
      </c>
      <c r="N176" s="82">
        <f t="shared" si="105"/>
        <v>584.38572887216105</v>
      </c>
      <c r="O176" s="82">
        <f t="shared" si="105"/>
        <v>604.5109916632515</v>
      </c>
      <c r="P176" s="82">
        <f t="shared" ref="P176" si="116">P160</f>
        <v>622.29317731360118</v>
      </c>
      <c r="Q176" s="84">
        <f>'CC70 - Valores'!G115</f>
        <v>624.78235002285555</v>
      </c>
      <c r="R176" s="84">
        <f>'CC70 - Valores'!H115</f>
        <v>645.52626762636442</v>
      </c>
      <c r="S176" s="84">
        <f>'CC70 - Valores'!I115</f>
        <v>662.08969415209629</v>
      </c>
      <c r="T176" s="84">
        <f>'CC70 - Valores'!J115</f>
        <v>676.33928117494327</v>
      </c>
      <c r="U176" s="84">
        <f>'CC70 - Valores'!K115</f>
        <v>694.89780683357299</v>
      </c>
      <c r="V176" s="84">
        <f>'CC70 - Valores'!L115</f>
        <v>711.26400741874329</v>
      </c>
      <c r="W176" s="84">
        <f>'CC70 - Valores'!M115</f>
        <v>721.57463812854212</v>
      </c>
      <c r="X176" s="84">
        <f>'CC70 - Valores'!N115</f>
        <v>733.49557964993096</v>
      </c>
      <c r="Y176" s="84">
        <f>'CC70 - Valores'!O115</f>
        <v>750.3028061242893</v>
      </c>
      <c r="Z176" s="84">
        <f>'CC70 - Valores'!P115</f>
        <v>761.91445633183002</v>
      </c>
      <c r="AA176" s="84">
        <f>'CC70 - Valores'!Q115</f>
        <v>776.53405418051784</v>
      </c>
      <c r="AB176" s="84">
        <f>'CC70 - Valores'!R115</f>
        <v>787.36432796180418</v>
      </c>
      <c r="AC176" s="84">
        <f>'CC70 - Valores'!S115</f>
        <v>798.69810482176285</v>
      </c>
      <c r="AD176" s="84">
        <f>'CC70 - Valores'!T115</f>
        <v>812.136528760857</v>
      </c>
      <c r="AE176" s="84">
        <f>'CC70 - Valores'!U115</f>
        <v>824.47706813085438</v>
      </c>
      <c r="AF176" s="84">
        <f>'CC70 - Valores'!V115</f>
        <v>838.46398961442367</v>
      </c>
      <c r="AG176" s="84">
        <f>'CC70 - Valores'!W115</f>
        <v>855.54542319121731</v>
      </c>
      <c r="AH176" s="84">
        <f>'CC70 - Valores'!X115</f>
        <v>871.94289228648142</v>
      </c>
      <c r="AI176" s="84">
        <f>'CC70 - Valores'!Y115</f>
        <v>890.30714262579238</v>
      </c>
      <c r="AJ176" s="84">
        <f>'CC70 - Valores'!Z115</f>
        <v>909.70119367163181</v>
      </c>
      <c r="AK176" s="84">
        <f>'CC70 - Valores'!AA115</f>
        <v>926.65271519196313</v>
      </c>
      <c r="AL176" s="84">
        <f>'CC70 - Valores'!AB115</f>
        <v>948.99486961679065</v>
      </c>
      <c r="AM176" s="84">
        <f>'CC70 - Valores'!AC115</f>
        <v>969.95446620894222</v>
      </c>
      <c r="AN176" s="84">
        <f>'CC70 - Valores'!AD115</f>
        <v>996.21529444350176</v>
      </c>
      <c r="AO176" s="84">
        <f>'CC70 - Valores'!AE115</f>
        <v>1019.631001234407</v>
      </c>
      <c r="AP176" s="84">
        <f>'CC70 - Valores'!AF115</f>
        <v>1043.3844282265973</v>
      </c>
      <c r="AQ176" s="84">
        <f>'CC70 - Valores'!AG115</f>
        <v>1068.4948851598917</v>
      </c>
      <c r="AR176" s="84">
        <f>'CC70 - Valores'!AH115</f>
        <v>1093.9240019204476</v>
      </c>
      <c r="AS176" s="84">
        <f>'CC70 - Valores'!AI115</f>
        <v>1116.6112626842414</v>
      </c>
      <c r="AT176" s="84">
        <f>'CC70 - Valores'!AJ115</f>
        <v>1140.2119383194258</v>
      </c>
      <c r="AU176" s="84">
        <f>'CC70 - Valores'!AK115</f>
        <v>1164.6187399060534</v>
      </c>
      <c r="AV176" s="84">
        <f>'CC70 - Valores'!AL115</f>
        <v>1190.0001341854083</v>
      </c>
      <c r="AW176" s="84">
        <f>'CC70 - Valores'!AM115</f>
        <v>1216.2939697586919</v>
      </c>
      <c r="AX176" s="84">
        <f>'CC70 - Valores'!AN115</f>
        <v>1243.2999273674227</v>
      </c>
      <c r="AY176" s="84">
        <f>'CC70 - Valores'!AO115</f>
        <v>1271.1416655006442</v>
      </c>
      <c r="AZ176" s="84">
        <f>'CC70 - Valores'!AP115</f>
        <v>1299.7128489814261</v>
      </c>
      <c r="BA176" s="84">
        <f>'CC70 - Valores'!AQ115</f>
        <v>1328.9826810610891</v>
      </c>
      <c r="BB176" s="84">
        <f>'CC70 - Valores'!AR115</f>
        <v>1359.2345919573806</v>
      </c>
      <c r="BC176" s="84">
        <f>'CC70 - Valores'!AS115</f>
        <v>1390.0608319846544</v>
      </c>
      <c r="BD176" s="84">
        <f>'CC70 - Valores'!AT115</f>
        <v>1421.6378594708503</v>
      </c>
      <c r="BE176" s="84">
        <f>'CC70 - Valores'!AU115</f>
        <v>1453.5451655342013</v>
      </c>
      <c r="BF176" s="84">
        <f>'CC70 - Valores'!AV115</f>
        <v>1486.0724163375207</v>
      </c>
      <c r="BG176" s="84">
        <f>'CC70 - Valores'!AW115</f>
        <v>1519.2424446631335</v>
      </c>
      <c r="BH176" s="84">
        <f>'CC70 - Valores'!AX115</f>
        <v>1552.987262957799</v>
      </c>
      <c r="BI176" s="84">
        <f>'CC70 - Valores'!AY115</f>
        <v>1587.3277132177755</v>
      </c>
      <c r="BJ176" s="84">
        <f>'CC70 - Valores'!AZ115</f>
        <v>1622.5639134409978</v>
      </c>
      <c r="BK176" s="84">
        <f>'CC70 - Valores'!BA115</f>
        <v>1658.6902177242011</v>
      </c>
    </row>
    <row r="177" spans="1:63" x14ac:dyDescent="0.3">
      <c r="A177" s="386"/>
      <c r="B177" t="s">
        <v>424</v>
      </c>
      <c r="C177" s="297">
        <f t="shared" si="95"/>
        <v>901.23942272500881</v>
      </c>
      <c r="D177" s="298">
        <f t="shared" si="96"/>
        <v>618.24892948451316</v>
      </c>
      <c r="E177" s="298">
        <f t="shared" si="97"/>
        <v>901.6538064651171</v>
      </c>
      <c r="F177" s="298">
        <f t="shared" si="98"/>
        <v>1007.8761341651054</v>
      </c>
      <c r="G177" s="298">
        <f t="shared" si="99"/>
        <v>1195.0029396335365</v>
      </c>
      <c r="H177" s="293">
        <f t="shared" si="100"/>
        <v>1492.4450463269995</v>
      </c>
      <c r="I177" s="293">
        <f t="shared" si="101"/>
        <v>1856.2874250045588</v>
      </c>
      <c r="J177" s="299">
        <f t="shared" si="102"/>
        <v>2316.8140841994737</v>
      </c>
      <c r="K177" s="82">
        <f t="shared" si="105"/>
        <v>901.23942272500881</v>
      </c>
      <c r="L177" s="82">
        <f t="shared" si="105"/>
        <v>955.62587592882051</v>
      </c>
      <c r="M177" s="82">
        <f t="shared" si="105"/>
        <v>618.24892948451316</v>
      </c>
      <c r="N177" s="82">
        <f t="shared" si="105"/>
        <v>816.25433898912627</v>
      </c>
      <c r="O177" s="82">
        <f t="shared" si="105"/>
        <v>844.36476719589984</v>
      </c>
      <c r="P177" s="82">
        <f t="shared" ref="P177" si="117">P161</f>
        <v>869.20244798906538</v>
      </c>
      <c r="Q177" s="84">
        <f>'CC70 - Valores'!G116</f>
        <v>872.67925778102165</v>
      </c>
      <c r="R177" s="84">
        <f>'CC70 - Valores'!H116</f>
        <v>901.6538064651171</v>
      </c>
      <c r="S177" s="84">
        <f>'CC70 - Valores'!I116</f>
        <v>924.78915714564982</v>
      </c>
      <c r="T177" s="84">
        <f>'CC70 - Valores'!J116</f>
        <v>944.69259876228523</v>
      </c>
      <c r="U177" s="84">
        <f>'CC70 - Valores'!K116</f>
        <v>970.61465049228457</v>
      </c>
      <c r="V177" s="84">
        <f>'CC70 - Valores'!L116</f>
        <v>993.47452125982352</v>
      </c>
      <c r="W177" s="84">
        <f>'CC70 - Valores'!M116</f>
        <v>1007.8761341651054</v>
      </c>
      <c r="X177" s="84">
        <f>'CC70 - Valores'!N116</f>
        <v>1024.5269860954713</v>
      </c>
      <c r="Y177" s="84">
        <f>'CC70 - Valores'!O116</f>
        <v>1048.0028700164303</v>
      </c>
      <c r="Z177" s="84">
        <f>'CC70 - Valores'!P116</f>
        <v>1064.221712120979</v>
      </c>
      <c r="AA177" s="84">
        <f>'CC70 - Valores'!Q116</f>
        <v>1084.6419749520003</v>
      </c>
      <c r="AB177" s="84">
        <f>'CC70 - Valores'!R116</f>
        <v>1099.76941138594</v>
      </c>
      <c r="AC177" s="84">
        <f>'CC70 - Valores'!S116</f>
        <v>1115.6001274387263</v>
      </c>
      <c r="AD177" s="84">
        <f>'CC70 - Valores'!T116</f>
        <v>1134.3705581791055</v>
      </c>
      <c r="AE177" s="84">
        <f>'CC70 - Valores'!U116</f>
        <v>1151.6074931495523</v>
      </c>
      <c r="AF177" s="84">
        <f>'CC70 - Valores'!V116</f>
        <v>1171.1440505738715</v>
      </c>
      <c r="AG177" s="84">
        <f>'CC70 - Valores'!W116</f>
        <v>1195.0029396335365</v>
      </c>
      <c r="AH177" s="84">
        <f>'CC70 - Valores'!X116</f>
        <v>1217.9064854187509</v>
      </c>
      <c r="AI177" s="84">
        <f>'CC70 - Valores'!Y116</f>
        <v>1243.5571785845045</v>
      </c>
      <c r="AJ177" s="84">
        <f>'CC70 - Valores'!Z116</f>
        <v>1270.6462698039211</v>
      </c>
      <c r="AK177" s="84">
        <f>'CC70 - Valores'!AA116</f>
        <v>1294.3237011815527</v>
      </c>
      <c r="AL177" s="84">
        <f>'CC70 - Valores'!AB116</f>
        <v>1325.5306242644058</v>
      </c>
      <c r="AM177" s="84">
        <f>'CC70 - Valores'!AC116</f>
        <v>1354.8064275849692</v>
      </c>
      <c r="AN177" s="84">
        <f>'CC70 - Valores'!AD116</f>
        <v>1391.4868493216138</v>
      </c>
      <c r="AO177" s="84">
        <f>'CC70 - Valores'!AE116</f>
        <v>1424.1932816047245</v>
      </c>
      <c r="AP177" s="84">
        <f>'CC70 - Valores'!AF116</f>
        <v>1457.3714324224325</v>
      </c>
      <c r="AQ177" s="84">
        <f>'CC70 - Valores'!AG116</f>
        <v>1492.4450463269995</v>
      </c>
      <c r="AR177" s="84">
        <f>'CC70 - Valores'!AH116</f>
        <v>1527.9637557460751</v>
      </c>
      <c r="AS177" s="84">
        <f>'CC70 - Valores'!AI116</f>
        <v>1559.6527141228723</v>
      </c>
      <c r="AT177" s="84">
        <f>'CC70 - Valores'!AJ116</f>
        <v>1592.6175059350771</v>
      </c>
      <c r="AU177" s="84">
        <f>'CC70 - Valores'!AK116</f>
        <v>1626.7082728919984</v>
      </c>
      <c r="AV177" s="84">
        <f>'CC70 - Valores'!AL116</f>
        <v>1662.1603248271156</v>
      </c>
      <c r="AW177" s="84">
        <f>'CC70 - Valores'!AM116</f>
        <v>1698.886850330709</v>
      </c>
      <c r="AX177" s="84">
        <f>'CC70 - Valores'!AN116</f>
        <v>1736.6080488261382</v>
      </c>
      <c r="AY177" s="84">
        <f>'CC70 - Valores'!AO116</f>
        <v>1775.4966431799073</v>
      </c>
      <c r="AZ177" s="84">
        <f>'CC70 - Valores'!AP116</f>
        <v>1815.4041072640352</v>
      </c>
      <c r="BA177" s="84">
        <f>'CC70 - Valores'!AQ116</f>
        <v>1856.2874250045588</v>
      </c>
      <c r="BB177" s="84">
        <f>'CC70 - Valores'!AR116</f>
        <v>1898.5424841407005</v>
      </c>
      <c r="BC177" s="84">
        <f>'CC70 - Valores'!AS116</f>
        <v>1941.5997508291669</v>
      </c>
      <c r="BD177" s="84">
        <f>'CC70 - Valores'!AT116</f>
        <v>1985.7056973377009</v>
      </c>
      <c r="BE177" s="84">
        <f>'CC70 - Valores'!AU116</f>
        <v>2030.2729681194996</v>
      </c>
      <c r="BF177" s="84">
        <f>'CC70 - Valores'!AV116</f>
        <v>2075.7061611148838</v>
      </c>
      <c r="BG177" s="84">
        <f>'CC70 - Valores'!AW116</f>
        <v>2122.0371685428499</v>
      </c>
      <c r="BH177" s="84">
        <f>'CC70 - Valores'!AX116</f>
        <v>2169.1710272094188</v>
      </c>
      <c r="BI177" s="84">
        <f>'CC70 - Valores'!AY116</f>
        <v>2217.1368486569136</v>
      </c>
      <c r="BJ177" s="84">
        <f>'CC70 - Valores'!AZ116</f>
        <v>2266.3538296691017</v>
      </c>
      <c r="BK177" s="84">
        <f>'CC70 - Valores'!BA116</f>
        <v>2316.8140841994737</v>
      </c>
    </row>
    <row r="178" spans="1:63" x14ac:dyDescent="0.3">
      <c r="A178" s="386"/>
      <c r="B178" t="s">
        <v>425</v>
      </c>
      <c r="C178" s="297">
        <f t="shared" si="95"/>
        <v>0</v>
      </c>
      <c r="D178" s="298">
        <f t="shared" si="96"/>
        <v>0</v>
      </c>
      <c r="E178" s="298">
        <f t="shared" si="97"/>
        <v>0</v>
      </c>
      <c r="F178" s="298">
        <f t="shared" si="98"/>
        <v>0</v>
      </c>
      <c r="G178" s="298">
        <f t="shared" si="99"/>
        <v>0</v>
      </c>
      <c r="H178" s="293">
        <f t="shared" si="100"/>
        <v>0</v>
      </c>
      <c r="I178" s="293">
        <f t="shared" si="101"/>
        <v>0</v>
      </c>
      <c r="J178" s="299">
        <f t="shared" si="102"/>
        <v>0</v>
      </c>
      <c r="K178" s="82">
        <f t="shared" si="105"/>
        <v>0</v>
      </c>
      <c r="L178" s="82">
        <f t="shared" si="105"/>
        <v>129</v>
      </c>
      <c r="M178" s="82">
        <f t="shared" si="105"/>
        <v>0</v>
      </c>
      <c r="N178" s="82">
        <f t="shared" si="105"/>
        <v>0</v>
      </c>
      <c r="O178" s="82">
        <f t="shared" si="105"/>
        <v>0</v>
      </c>
      <c r="P178" s="82">
        <f t="shared" ref="P178" si="118">P162</f>
        <v>0</v>
      </c>
      <c r="Q178" s="84">
        <f>'CC70 - Valores'!G117</f>
        <v>0</v>
      </c>
      <c r="R178" s="84">
        <f>'CC70 - Valores'!H117</f>
        <v>0</v>
      </c>
      <c r="S178" s="84">
        <f>'CC70 - Valores'!I117</f>
        <v>0</v>
      </c>
      <c r="T178" s="84">
        <f>'CC70 - Valores'!J117</f>
        <v>0</v>
      </c>
      <c r="U178" s="84">
        <f>'CC70 - Valores'!K117</f>
        <v>0</v>
      </c>
      <c r="V178" s="84">
        <f>'CC70 - Valores'!L117</f>
        <v>0</v>
      </c>
      <c r="W178" s="84">
        <f>'CC70 - Valores'!M117</f>
        <v>0</v>
      </c>
      <c r="X178" s="84">
        <f>'CC70 - Valores'!N117</f>
        <v>0</v>
      </c>
      <c r="Y178" s="84">
        <f>'CC70 - Valores'!O117</f>
        <v>0</v>
      </c>
      <c r="Z178" s="84">
        <f>'CC70 - Valores'!P117</f>
        <v>0</v>
      </c>
      <c r="AA178" s="84">
        <f>'CC70 - Valores'!Q117</f>
        <v>0</v>
      </c>
      <c r="AB178" s="84">
        <f>'CC70 - Valores'!R117</f>
        <v>0</v>
      </c>
      <c r="AC178" s="84">
        <f>'CC70 - Valores'!S117</f>
        <v>0</v>
      </c>
      <c r="AD178" s="84">
        <f>'CC70 - Valores'!T117</f>
        <v>0</v>
      </c>
      <c r="AE178" s="84">
        <f>'CC70 - Valores'!U117</f>
        <v>0</v>
      </c>
      <c r="AF178" s="84">
        <f>'CC70 - Valores'!V117</f>
        <v>0</v>
      </c>
      <c r="AG178" s="84">
        <f>'CC70 - Valores'!W117</f>
        <v>0</v>
      </c>
      <c r="AH178" s="84">
        <f>'CC70 - Valores'!X117</f>
        <v>0</v>
      </c>
      <c r="AI178" s="84">
        <f>'CC70 - Valores'!Y117</f>
        <v>0</v>
      </c>
      <c r="AJ178" s="84">
        <f>'CC70 - Valores'!Z117</f>
        <v>0</v>
      </c>
      <c r="AK178" s="84">
        <f>'CC70 - Valores'!AA117</f>
        <v>0</v>
      </c>
      <c r="AL178" s="84">
        <f>'CC70 - Valores'!AB117</f>
        <v>0</v>
      </c>
      <c r="AM178" s="84">
        <f>'CC70 - Valores'!AC117</f>
        <v>0</v>
      </c>
      <c r="AN178" s="84">
        <f>'CC70 - Valores'!AD117</f>
        <v>0</v>
      </c>
      <c r="AO178" s="84">
        <f>'CC70 - Valores'!AE117</f>
        <v>0</v>
      </c>
      <c r="AP178" s="84">
        <f>'CC70 - Valores'!AF117</f>
        <v>0</v>
      </c>
      <c r="AQ178" s="84">
        <f>'CC70 - Valores'!AG117</f>
        <v>0</v>
      </c>
      <c r="AR178" s="84">
        <f>'CC70 - Valores'!AH117</f>
        <v>0</v>
      </c>
      <c r="AS178" s="84">
        <f>'CC70 - Valores'!AI117</f>
        <v>0</v>
      </c>
      <c r="AT178" s="84">
        <f>'CC70 - Valores'!AJ117</f>
        <v>0</v>
      </c>
      <c r="AU178" s="84">
        <f>'CC70 - Valores'!AK117</f>
        <v>0</v>
      </c>
      <c r="AV178" s="84">
        <f>'CC70 - Valores'!AL117</f>
        <v>0</v>
      </c>
      <c r="AW178" s="84">
        <f>'CC70 - Valores'!AM117</f>
        <v>0</v>
      </c>
      <c r="AX178" s="84">
        <f>'CC70 - Valores'!AN117</f>
        <v>0</v>
      </c>
      <c r="AY178" s="84">
        <f>'CC70 - Valores'!AO117</f>
        <v>0</v>
      </c>
      <c r="AZ178" s="84">
        <f>'CC70 - Valores'!AP117</f>
        <v>0</v>
      </c>
      <c r="BA178" s="84">
        <f>'CC70 - Valores'!AQ117</f>
        <v>0</v>
      </c>
      <c r="BB178" s="84">
        <f>'CC70 - Valores'!AR117</f>
        <v>0</v>
      </c>
      <c r="BC178" s="84">
        <f>'CC70 - Valores'!AS117</f>
        <v>0</v>
      </c>
      <c r="BD178" s="84">
        <f>'CC70 - Valores'!AT117</f>
        <v>0</v>
      </c>
      <c r="BE178" s="84">
        <f>'CC70 - Valores'!AU117</f>
        <v>0</v>
      </c>
      <c r="BF178" s="84">
        <f>'CC70 - Valores'!AV117</f>
        <v>0</v>
      </c>
      <c r="BG178" s="84">
        <f>'CC70 - Valores'!AW117</f>
        <v>0</v>
      </c>
      <c r="BH178" s="84">
        <f>'CC70 - Valores'!AX117</f>
        <v>0</v>
      </c>
      <c r="BI178" s="84">
        <f>'CC70 - Valores'!AY117</f>
        <v>0</v>
      </c>
      <c r="BJ178" s="84">
        <f>'CC70 - Valores'!AZ117</f>
        <v>0</v>
      </c>
      <c r="BK178" s="84">
        <f>'CC70 - Valores'!BA117</f>
        <v>0</v>
      </c>
    </row>
    <row r="179" spans="1:63" x14ac:dyDescent="0.3">
      <c r="A179" s="386"/>
      <c r="B179" t="s">
        <v>426</v>
      </c>
      <c r="C179" s="297">
        <f t="shared" si="95"/>
        <v>168.86544963795106</v>
      </c>
      <c r="D179" s="298">
        <f t="shared" si="96"/>
        <v>164.93146787757703</v>
      </c>
      <c r="E179" s="298">
        <f t="shared" si="97"/>
        <v>173.34926233288729</v>
      </c>
      <c r="F179" s="298">
        <f t="shared" si="98"/>
        <v>192.82050272313924</v>
      </c>
      <c r="G179" s="298">
        <f t="shared" si="99"/>
        <v>226.43117559598755</v>
      </c>
      <c r="H179" s="293">
        <f t="shared" si="100"/>
        <v>280.16041395508483</v>
      </c>
      <c r="I179" s="293">
        <f t="shared" si="101"/>
        <v>345.31029776656538</v>
      </c>
      <c r="J179" s="299">
        <f t="shared" si="102"/>
        <v>427.19005947385767</v>
      </c>
      <c r="K179" s="82">
        <f t="shared" si="105"/>
        <v>168.86544963795106</v>
      </c>
      <c r="L179" s="82">
        <f t="shared" si="105"/>
        <v>148.33635557383047</v>
      </c>
      <c r="M179" s="82">
        <f t="shared" si="105"/>
        <v>164.93146787757703</v>
      </c>
      <c r="N179" s="82">
        <f t="shared" si="105"/>
        <v>157.4</v>
      </c>
      <c r="O179" s="82">
        <f t="shared" si="105"/>
        <v>162.82059158328727</v>
      </c>
      <c r="P179" s="82">
        <f t="shared" ref="P179" si="119">P163</f>
        <v>167.61009256368737</v>
      </c>
      <c r="Q179" s="84">
        <f>'CC70 - Valores'!G118</f>
        <v>167.94531274881476</v>
      </c>
      <c r="R179" s="84">
        <f>'CC70 - Valores'!H118</f>
        <v>173.34926233288729</v>
      </c>
      <c r="S179" s="84">
        <f>'CC70 - Valores'!I118</f>
        <v>177.62133708334864</v>
      </c>
      <c r="T179" s="84">
        <f>'CC70 - Valores'!J118</f>
        <v>181.26519642486761</v>
      </c>
      <c r="U179" s="84">
        <f>'CC70 - Valores'!K118</f>
        <v>186.05593821302881</v>
      </c>
      <c r="V179" s="84">
        <f>'CC70 - Valores'!L118</f>
        <v>190.25123048388733</v>
      </c>
      <c r="W179" s="84">
        <f>'CC70 - Valores'!M118</f>
        <v>192.82050272313924</v>
      </c>
      <c r="X179" s="84">
        <f>'CC70 - Valores'!N118</f>
        <v>195.8150264394379</v>
      </c>
      <c r="Y179" s="84">
        <f>'CC70 - Valores'!O118</f>
        <v>200.10728478442491</v>
      </c>
      <c r="Z179" s="84">
        <f>'CC70 - Valores'!P118</f>
        <v>203.00727425158965</v>
      </c>
      <c r="AA179" s="84">
        <f>'CC70 - Valores'!Q118</f>
        <v>206.7027184793094</v>
      </c>
      <c r="AB179" s="84">
        <f>'CC70 - Valores'!R118</f>
        <v>209.38373664402195</v>
      </c>
      <c r="AC179" s="84">
        <f>'CC70 - Valores'!S118</f>
        <v>212.19376599288029</v>
      </c>
      <c r="AD179" s="84">
        <f>'CC70 - Valores'!T118</f>
        <v>215.55742593245225</v>
      </c>
      <c r="AE179" s="84">
        <f>'CC70 - Valores'!U118</f>
        <v>218.6239405132732</v>
      </c>
      <c r="AF179" s="84">
        <f>'CC70 - Valores'!V118</f>
        <v>222.12117175119522</v>
      </c>
      <c r="AG179" s="84">
        <f>'CC70 - Valores'!W118</f>
        <v>226.43117559598755</v>
      </c>
      <c r="AH179" s="84">
        <f>'CC70 - Valores'!X118</f>
        <v>230.55258647494762</v>
      </c>
      <c r="AI179" s="84">
        <f>'CC70 - Valores'!Y118</f>
        <v>235.1861899143027</v>
      </c>
      <c r="AJ179" s="84">
        <f>'CC70 - Valores'!Z118</f>
        <v>240.08327909447635</v>
      </c>
      <c r="AK179" s="84">
        <f>'CC70 - Valores'!AA118</f>
        <v>244.32759840841186</v>
      </c>
      <c r="AL179" s="84">
        <f>'CC70 - Valores'!AB118</f>
        <v>249.98441861242318</v>
      </c>
      <c r="AM179" s="84">
        <f>'CC70 - Valores'!AC118</f>
        <v>255.26727808924392</v>
      </c>
      <c r="AN179" s="84">
        <f>'CC70 - Valores'!AD118</f>
        <v>261.93461676047656</v>
      </c>
      <c r="AO179" s="84">
        <f>'CC70 - Valores'!AE118</f>
        <v>267.84267814660438</v>
      </c>
      <c r="AP179" s="84">
        <f>'CC70 - Valores'!AF118</f>
        <v>273.8289177975891</v>
      </c>
      <c r="AQ179" s="84">
        <f>'CC70 - Valores'!AG118</f>
        <v>280.16041395508483</v>
      </c>
      <c r="AR179" s="84">
        <f>'CC70 - Valores'!AH118</f>
        <v>286.56423370706585</v>
      </c>
      <c r="AS179" s="84">
        <f>'CC70 - Valores'!AI118</f>
        <v>292.23921316986224</v>
      </c>
      <c r="AT179" s="84">
        <f>'CC70 - Valores'!AJ118</f>
        <v>298.14316591482287</v>
      </c>
      <c r="AU179" s="84">
        <f>'CC70 - Valores'!AK118</f>
        <v>304.24746602443736</v>
      </c>
      <c r="AV179" s="84">
        <f>'CC70 - Valores'!AL118</f>
        <v>310.59556748612158</v>
      </c>
      <c r="AW179" s="84">
        <f>'CC70 - Valores'!AM118</f>
        <v>317.17063088685507</v>
      </c>
      <c r="AX179" s="84">
        <f>'CC70 - Valores'!AN118</f>
        <v>323.91988293561332</v>
      </c>
      <c r="AY179" s="84">
        <f>'CC70 - Valores'!AO118</f>
        <v>330.87507346612097</v>
      </c>
      <c r="AZ179" s="84">
        <f>'CC70 - Valores'!AP118</f>
        <v>338.00802687577669</v>
      </c>
      <c r="BA179" s="84">
        <f>'CC70 - Valores'!AQ118</f>
        <v>345.31029776656538</v>
      </c>
      <c r="BB179" s="84">
        <f>'CC70 - Valores'!AR118</f>
        <v>352.85504543553111</v>
      </c>
      <c r="BC179" s="84">
        <f>'CC70 - Valores'!AS118</f>
        <v>360.53590074467701</v>
      </c>
      <c r="BD179" s="84">
        <f>'CC70 - Valores'!AT118</f>
        <v>368.39826463618954</v>
      </c>
      <c r="BE179" s="84">
        <f>'CC70 - Valores'!AU118</f>
        <v>376.33281946136213</v>
      </c>
      <c r="BF179" s="84">
        <f>'CC70 - Valores'!AV118</f>
        <v>384.41434239940736</v>
      </c>
      <c r="BG179" s="84">
        <f>'CC70 - Valores'!AW118</f>
        <v>392.64838451568755</v>
      </c>
      <c r="BH179" s="84">
        <f>'CC70 - Valores'!AX118</f>
        <v>401.01702680270461</v>
      </c>
      <c r="BI179" s="84">
        <f>'CC70 - Valores'!AY118</f>
        <v>409.52533218278188</v>
      </c>
      <c r="BJ179" s="84">
        <f>'CC70 - Valores'!AZ118</f>
        <v>418.25033640569507</v>
      </c>
      <c r="BK179" s="84">
        <f>'CC70 - Valores'!BA118</f>
        <v>427.19005947385767</v>
      </c>
    </row>
    <row r="180" spans="1:63" x14ac:dyDescent="0.3">
      <c r="A180" s="357"/>
      <c r="C180" s="297"/>
      <c r="D180" s="298"/>
      <c r="E180" s="298"/>
      <c r="F180" s="298"/>
      <c r="G180" s="298"/>
      <c r="H180" s="293"/>
      <c r="I180" s="293"/>
      <c r="J180" s="299"/>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84"/>
      <c r="AR180" s="84"/>
      <c r="AS180" s="84"/>
      <c r="AT180" s="84"/>
      <c r="AU180" s="84"/>
      <c r="AV180" s="84"/>
      <c r="AW180" s="84"/>
      <c r="AX180" s="84"/>
      <c r="AY180" s="84"/>
      <c r="AZ180" s="84"/>
      <c r="BA180" s="84"/>
      <c r="BB180" s="84"/>
      <c r="BC180" s="84"/>
      <c r="BD180" s="84"/>
      <c r="BE180" s="84"/>
      <c r="BF180" s="84"/>
      <c r="BG180" s="84"/>
      <c r="BH180" s="84"/>
      <c r="BI180" s="84"/>
      <c r="BJ180" s="84"/>
      <c r="BK180" s="84"/>
    </row>
    <row r="181" spans="1:63" x14ac:dyDescent="0.3">
      <c r="A181" s="386" t="s">
        <v>428</v>
      </c>
      <c r="B181" t="s">
        <v>412</v>
      </c>
      <c r="C181" s="297">
        <f t="shared" si="95"/>
        <v>769</v>
      </c>
      <c r="D181" s="298">
        <f t="shared" si="96"/>
        <v>831.7</v>
      </c>
      <c r="E181" s="298">
        <f t="shared" si="97"/>
        <v>1089.5006962699699</v>
      </c>
      <c r="F181" s="298">
        <f t="shared" si="98"/>
        <v>1157.8980858320945</v>
      </c>
      <c r="G181" s="298">
        <f t="shared" si="99"/>
        <v>1229.4425633765986</v>
      </c>
      <c r="H181" s="293">
        <f t="shared" si="100"/>
        <v>1354.3146864264111</v>
      </c>
      <c r="I181" s="293">
        <f t="shared" si="101"/>
        <v>1633.0547996279552</v>
      </c>
      <c r="J181" s="299">
        <f t="shared" si="102"/>
        <v>1973.0692998147947</v>
      </c>
      <c r="K181" s="82">
        <f>K165</f>
        <v>769</v>
      </c>
      <c r="L181" s="82">
        <f t="shared" ref="L181:O181" si="120">L165</f>
        <v>567</v>
      </c>
      <c r="M181" s="82">
        <f t="shared" si="120"/>
        <v>831.7</v>
      </c>
      <c r="N181" s="82">
        <f t="shared" si="120"/>
        <v>1015.3</v>
      </c>
      <c r="O181" s="82">
        <f t="shared" si="120"/>
        <v>1050.2652263946095</v>
      </c>
      <c r="P181" s="84">
        <f>P165*(1-'CC70 - %'!F$5/100)</f>
        <v>1070.348041360309</v>
      </c>
      <c r="Q181" s="84">
        <f>Q165*(1-'CC70 - %'!G$5/100)</f>
        <v>1064.8341272078467</v>
      </c>
      <c r="R181" s="84">
        <f>R165*(1-'CC70 - %'!H$5/100)</f>
        <v>1089.5006962699699</v>
      </c>
      <c r="S181" s="84">
        <f>S165*(1-'CC70 - %'!I$5/100)</f>
        <v>1106.480302785591</v>
      </c>
      <c r="T181" s="84">
        <f>T165*(1-'CC70 - %'!J$5/100)</f>
        <v>1119.0684699853998</v>
      </c>
      <c r="U181" s="84">
        <f>U165*(1-'CC70 - %'!K$5/100)</f>
        <v>1138.2275912503458</v>
      </c>
      <c r="V181" s="84">
        <f>V165*(1-'CC70 - %'!L$5/100)</f>
        <v>1153.2010479879123</v>
      </c>
      <c r="W181" s="84">
        <f>W165*(1-'CC70 - %'!M$5/100)</f>
        <v>1157.8980858320945</v>
      </c>
      <c r="X181" s="84">
        <f>X165*(1-'CC70 - %'!N$5/100)</f>
        <v>1164.7942458354319</v>
      </c>
      <c r="Y181" s="84">
        <f>Y165*(1-'CC70 - %'!O$5/100)</f>
        <v>1178.9558950388148</v>
      </c>
      <c r="Z181" s="84">
        <f>Z165*(1-'CC70 - %'!P$5/100)</f>
        <v>1184.4642025469343</v>
      </c>
      <c r="AA181" s="84">
        <f>AA165*(1-'CC70 - %'!Q$5/100)</f>
        <v>1194.1949515176186</v>
      </c>
      <c r="AB181" s="84">
        <f>AB165*(1-'CC70 - %'!R$5/100)</f>
        <v>1197.6570399747857</v>
      </c>
      <c r="AC181" s="84">
        <f>AC165*(1-'CC70 - %'!S$5/100)</f>
        <v>1201.498201032118</v>
      </c>
      <c r="AD181" s="84">
        <f>AD165*(1-'CC70 - %'!T$5/100)</f>
        <v>1208.0742733244806</v>
      </c>
      <c r="AE181" s="84">
        <f>AE165*(1-'CC70 - %'!U$5/100)</f>
        <v>1212.5685318963367</v>
      </c>
      <c r="AF181" s="84">
        <f>AF165*(1-'CC70 - %'!V$5/100)</f>
        <v>1219.0255748175978</v>
      </c>
      <c r="AG181" s="84">
        <f>AG165*(1-'CC70 - %'!W$5/100)</f>
        <v>1229.4425633765986</v>
      </c>
      <c r="AH181" s="84">
        <f>AH165*(1-'CC70 - %'!X$5/100)</f>
        <v>1238.2961521947918</v>
      </c>
      <c r="AI181" s="84">
        <f>AI165*(1-'CC70 - %'!Y$5/100)</f>
        <v>1249.3398388070416</v>
      </c>
      <c r="AJ181" s="84">
        <f>AJ165*(1-'CC70 - %'!Z$5/100)</f>
        <v>1261.1740496940456</v>
      </c>
      <c r="AK181" s="84">
        <f>AK165*(1-'CC70 - %'!AA$5/100)</f>
        <v>1268.990441515723</v>
      </c>
      <c r="AL181" s="84">
        <f>AL165*(1-'CC70 - %'!AB$5/100)</f>
        <v>1283.5064806859953</v>
      </c>
      <c r="AM181" s="84">
        <f>AM165*(1-'CC70 - %'!AC$5/100)</f>
        <v>1295.4012344947062</v>
      </c>
      <c r="AN181" s="84">
        <f>AN165*(1-'CC70 - %'!AD$5/100)</f>
        <v>1313.5569076225813</v>
      </c>
      <c r="AO181" s="84">
        <f>AO165*(1-'CC70 - %'!AE$5/100)</f>
        <v>1327.0992499426795</v>
      </c>
      <c r="AP181" s="84">
        <f>AP165*(1-'CC70 - %'!AF$5/100)</f>
        <v>1340.2606546648494</v>
      </c>
      <c r="AQ181" s="84">
        <f>AQ165*(1-'CC70 - %'!AG$5/100)</f>
        <v>1354.3146864264111</v>
      </c>
      <c r="AR181" s="84">
        <f>AR165*(1-'CC70 - %'!AH$5/100)</f>
        <v>1382.3419077131598</v>
      </c>
      <c r="AS181" s="84">
        <f>AS165*(1-'CC70 - %'!AI$5/100)</f>
        <v>1406.7127682275845</v>
      </c>
      <c r="AT181" s="84">
        <f>AT165*(1-'CC70 - %'!AJ$5/100)</f>
        <v>1432.0493985473518</v>
      </c>
      <c r="AU181" s="84">
        <f>AU165*(1-'CC70 - %'!AK$5/100)</f>
        <v>1458.2065171736695</v>
      </c>
      <c r="AV181" s="84">
        <f>AV165*(1-'CC70 - %'!AL$5/100)</f>
        <v>1485.3846769641016</v>
      </c>
      <c r="AW181" s="84">
        <f>AW165*(1-'CC70 - %'!AM$5/100)</f>
        <v>1513.4948260234855</v>
      </c>
      <c r="AX181" s="84">
        <f>AX165*(1-'CC70 - %'!AN$5/100)</f>
        <v>1542.2774523684009</v>
      </c>
      <c r="AY181" s="84">
        <f>AY165*(1-'CC70 - %'!AO$5/100)</f>
        <v>1571.8767543453862</v>
      </c>
      <c r="AZ181" s="84">
        <f>AZ165*(1-'CC70 - %'!AP$5/100)</f>
        <v>1602.1514722609845</v>
      </c>
      <c r="BA181" s="84">
        <f>BA165*(1-'CC70 - %'!AQ$5/100)</f>
        <v>1633.0547996279552</v>
      </c>
      <c r="BB181" s="84">
        <f>BB165*(1-'CC70 - %'!AR$5/100)</f>
        <v>1664.9252852642812</v>
      </c>
      <c r="BC181" s="84">
        <f>BC165*(1-'CC70 - %'!AS$5/100)</f>
        <v>1697.2531028234512</v>
      </c>
      <c r="BD181" s="84">
        <f>BD165*(1-'CC70 - %'!AT$5/100)</f>
        <v>1730.2458053499861</v>
      </c>
      <c r="BE181" s="84">
        <f>BE165*(1-'CC70 - %'!AU$5/100)</f>
        <v>1763.3839471374124</v>
      </c>
      <c r="BF181" s="84">
        <f>BF165*(1-'CC70 - %'!AV$5/100)</f>
        <v>1797.0134309514651</v>
      </c>
      <c r="BG181" s="84">
        <f>BG165*(1-'CC70 - %'!AW$5/100)</f>
        <v>1831.153982958939</v>
      </c>
      <c r="BH181" s="84">
        <f>BH165*(1-'CC70 - %'!AX$5/100)</f>
        <v>1865.7158440000428</v>
      </c>
      <c r="BI181" s="84">
        <f>BI165*(1-'CC70 - %'!AY$5/100)</f>
        <v>1900.7166763565783</v>
      </c>
      <c r="BJ181" s="84">
        <f>BJ165*(1-'CC70 - %'!AZ$5/100)</f>
        <v>1936.5071101903591</v>
      </c>
      <c r="BK181" s="84">
        <f>BK165*(1-'CC70 - %'!BA$5/100)</f>
        <v>1973.0692998147947</v>
      </c>
    </row>
    <row r="182" spans="1:63" x14ac:dyDescent="0.3">
      <c r="A182" s="386"/>
      <c r="B182" t="s">
        <v>413</v>
      </c>
      <c r="C182" s="297">
        <f t="shared" si="95"/>
        <v>30.379732311994736</v>
      </c>
      <c r="D182" s="298">
        <f t="shared" si="96"/>
        <v>123.19989497262668</v>
      </c>
      <c r="E182" s="298">
        <f t="shared" si="97"/>
        <v>140.72570095622328</v>
      </c>
      <c r="F182" s="298">
        <f t="shared" si="98"/>
        <v>149.19588835035208</v>
      </c>
      <c r="G182" s="298">
        <f t="shared" si="99"/>
        <v>157.6684113852053</v>
      </c>
      <c r="H182" s="293">
        <f t="shared" si="100"/>
        <v>172.89909142910142</v>
      </c>
      <c r="I182" s="293">
        <f t="shared" si="101"/>
        <v>207.58305208352309</v>
      </c>
      <c r="J182" s="299">
        <f t="shared" si="102"/>
        <v>249.76285677544726</v>
      </c>
      <c r="K182" s="82">
        <f t="shared" ref="K182:O195" si="121">K166</f>
        <v>30.379732311994736</v>
      </c>
      <c r="L182" s="82">
        <f t="shared" si="121"/>
        <v>115.22607457378612</v>
      </c>
      <c r="M182" s="82">
        <f t="shared" si="121"/>
        <v>123.19989497262668</v>
      </c>
      <c r="N182" s="82">
        <f t="shared" si="121"/>
        <v>131.33708370927823</v>
      </c>
      <c r="O182" s="82">
        <f t="shared" si="121"/>
        <v>135.86011223868107</v>
      </c>
      <c r="P182" s="84">
        <f>P166*(1-'CC70 - %'!F6/100)</f>
        <v>139.50690727867209</v>
      </c>
      <c r="Q182" s="84">
        <f>Q166*(1-'CC70 - %'!G$5/100)</f>
        <v>137.60765534800106</v>
      </c>
      <c r="R182" s="84">
        <f>R166*(1-'CC70 - %'!H$5/100)</f>
        <v>140.72570095622328</v>
      </c>
      <c r="S182" s="84">
        <f>S166*(1-'CC70 - %'!I$5/100)</f>
        <v>142.84854724576908</v>
      </c>
      <c r="T182" s="84">
        <f>T166*(1-'CC70 - %'!J$5/100)</f>
        <v>144.40292289654727</v>
      </c>
      <c r="U182" s="84">
        <f>U166*(1-'CC70 - %'!K$5/100)</f>
        <v>146.80355132137791</v>
      </c>
      <c r="V182" s="84">
        <f>V166*(1-'CC70 - %'!L$5/100)</f>
        <v>148.66253975040922</v>
      </c>
      <c r="W182" s="84">
        <f>W166*(1-'CC70 - %'!M$5/100)</f>
        <v>149.19588835035208</v>
      </c>
      <c r="X182" s="84">
        <f>X166*(1-'CC70 - %'!N$5/100)</f>
        <v>150.01222768225367</v>
      </c>
      <c r="Y182" s="84">
        <f>Y166*(1-'CC70 - %'!O$5/100)</f>
        <v>151.76332998564413</v>
      </c>
      <c r="Z182" s="84">
        <f>Z166*(1-'CC70 - %'!P$5/100)</f>
        <v>152.39965630591828</v>
      </c>
      <c r="AA182" s="84">
        <f>AA166*(1-'CC70 - %'!Q$5/100)</f>
        <v>153.57868523069939</v>
      </c>
      <c r="AB182" s="84">
        <f>AB166*(1-'CC70 - %'!R$5/100)</f>
        <v>153.95108521933389</v>
      </c>
      <c r="AC182" s="84">
        <f>AC166*(1-'CC70 - %'!S$5/100)</f>
        <v>154.37212138346732</v>
      </c>
      <c r="AD182" s="84">
        <f>AD166*(1-'CC70 - %'!T$5/100)</f>
        <v>155.14426908922124</v>
      </c>
      <c r="AE182" s="84">
        <f>AE166*(1-'CC70 - %'!U$5/100)</f>
        <v>155.64874880649785</v>
      </c>
      <c r="AF182" s="84">
        <f>AF166*(1-'CC70 - %'!V$5/100)</f>
        <v>156.40487112014117</v>
      </c>
      <c r="AG182" s="84">
        <f>AG166*(1-'CC70 - %'!W$5/100)</f>
        <v>157.6684113852053</v>
      </c>
      <c r="AH182" s="84">
        <f>AH166*(1-'CC70 - %'!X$5/100)</f>
        <v>158.73066211338505</v>
      </c>
      <c r="AI182" s="84">
        <f>AI166*(1-'CC70 - %'!Y$5/100)</f>
        <v>160.07282579426777</v>
      </c>
      <c r="AJ182" s="84">
        <f>AJ166*(1-'CC70 - %'!Z$5/100)</f>
        <v>161.51528310397242</v>
      </c>
      <c r="AK182" s="84">
        <f>AK166*(1-'CC70 - %'!AA$5/100)</f>
        <v>162.44239067643625</v>
      </c>
      <c r="AL182" s="84">
        <f>AL166*(1-'CC70 - %'!AB$5/100)</f>
        <v>164.22616707415736</v>
      </c>
      <c r="AM182" s="84">
        <f>AM166*(1-'CC70 - %'!AC$5/100)</f>
        <v>165.67337003263873</v>
      </c>
      <c r="AN182" s="84">
        <f>AN166*(1-'CC70 - %'!AD$5/100)</f>
        <v>167.91992649868217</v>
      </c>
      <c r="AO182" s="84">
        <f>AO166*(1-'CC70 - %'!AE$5/100)</f>
        <v>169.57527041413294</v>
      </c>
      <c r="AP182" s="84">
        <f>AP166*(1-'CC70 - %'!AF$5/100)</f>
        <v>171.18077100626806</v>
      </c>
      <c r="AQ182" s="84">
        <f>AQ166*(1-'CC70 - %'!AG$5/100)</f>
        <v>172.89909142910142</v>
      </c>
      <c r="AR182" s="84">
        <f>AR166*(1-'CC70 - %'!AH$5/100)</f>
        <v>176.39928637704224</v>
      </c>
      <c r="AS182" s="84">
        <f>AS166*(1-'CC70 - %'!AI$5/100)</f>
        <v>179.43031227003937</v>
      </c>
      <c r="AT182" s="84">
        <f>AT166*(1-'CC70 - %'!AJ$5/100)</f>
        <v>182.58210915477727</v>
      </c>
      <c r="AU182" s="84">
        <f>AU166*(1-'CC70 - %'!AK$5/100)</f>
        <v>185.83601750785786</v>
      </c>
      <c r="AV182" s="84">
        <f>AV166*(1-'CC70 - %'!AL$5/100)</f>
        <v>189.21746580632873</v>
      </c>
      <c r="AW182" s="84">
        <f>AW166*(1-'CC70 - %'!AM$5/100)</f>
        <v>192.71496375665993</v>
      </c>
      <c r="AX182" s="84">
        <f>AX166*(1-'CC70 - %'!AN$5/100)</f>
        <v>196.29534645457005</v>
      </c>
      <c r="AY182" s="84">
        <f>AY166*(1-'CC70 - %'!AO$5/100)</f>
        <v>199.97686759957048</v>
      </c>
      <c r="AZ182" s="84">
        <f>AZ166*(1-'CC70 - %'!AP$5/100)</f>
        <v>203.74144944121832</v>
      </c>
      <c r="BA182" s="84">
        <f>BA166*(1-'CC70 - %'!AQ$5/100)</f>
        <v>207.58305208352309</v>
      </c>
      <c r="BB182" s="84">
        <f>BB166*(1-'CC70 - %'!AR$5/100)</f>
        <v>211.54460958915286</v>
      </c>
      <c r="BC182" s="84">
        <f>BC166*(1-'CC70 - %'!AS$5/100)</f>
        <v>215.56123552256327</v>
      </c>
      <c r="BD182" s="84">
        <f>BD166*(1-'CC70 - %'!AT$5/100)</f>
        <v>219.65922662646426</v>
      </c>
      <c r="BE182" s="84">
        <f>BE166*(1-'CC70 - %'!AU$5/100)</f>
        <v>223.77258024909713</v>
      </c>
      <c r="BF182" s="84">
        <f>BF166*(1-'CC70 - %'!AV$5/100)</f>
        <v>227.94517089489798</v>
      </c>
      <c r="BG182" s="84">
        <f>BG166*(1-'CC70 - %'!AW$5/100)</f>
        <v>232.17944303646865</v>
      </c>
      <c r="BH182" s="84">
        <f>BH166*(1-'CC70 - %'!AX$5/100)</f>
        <v>236.4639611689154</v>
      </c>
      <c r="BI182" s="84">
        <f>BI166*(1-'CC70 - %'!AY$5/100)</f>
        <v>240.80091821273476</v>
      </c>
      <c r="BJ182" s="84">
        <f>BJ166*(1-'CC70 - %'!AZ$5/100)</f>
        <v>245.23467008421613</v>
      </c>
      <c r="BK182" s="84">
        <f>BK166*(1-'CC70 - %'!BA$5/100)</f>
        <v>249.76285677544726</v>
      </c>
    </row>
    <row r="183" spans="1:63" x14ac:dyDescent="0.3">
      <c r="A183" s="386"/>
      <c r="B183" t="s">
        <v>414</v>
      </c>
      <c r="C183" s="297">
        <f t="shared" si="95"/>
        <v>200</v>
      </c>
      <c r="D183" s="298">
        <f t="shared" si="96"/>
        <v>200</v>
      </c>
      <c r="E183" s="298">
        <f t="shared" si="97"/>
        <v>182.15243164309661</v>
      </c>
      <c r="F183" s="298">
        <f t="shared" si="98"/>
        <v>193.11606671351785</v>
      </c>
      <c r="G183" s="298">
        <f t="shared" si="99"/>
        <v>204.08272498890102</v>
      </c>
      <c r="H183" s="293">
        <f t="shared" si="100"/>
        <v>223.79700167555038</v>
      </c>
      <c r="I183" s="293">
        <f t="shared" si="101"/>
        <v>268.69120173486795</v>
      </c>
      <c r="J183" s="299">
        <f t="shared" si="102"/>
        <v>323.28786701106321</v>
      </c>
      <c r="K183" s="82">
        <f t="shared" si="121"/>
        <v>200</v>
      </c>
      <c r="L183" s="82">
        <f t="shared" si="121"/>
        <v>200</v>
      </c>
      <c r="M183" s="82">
        <f t="shared" si="121"/>
        <v>200</v>
      </c>
      <c r="N183" s="82">
        <f t="shared" si="121"/>
        <v>170</v>
      </c>
      <c r="O183" s="82">
        <f t="shared" si="121"/>
        <v>175.85451441651102</v>
      </c>
      <c r="P183" s="84">
        <f>P167*(1-'CC70 - %'!F7/100)</f>
        <v>180.66536406833038</v>
      </c>
      <c r="Q183" s="84">
        <f>Q167*(1-'CC70 - %'!G$5/100)</f>
        <v>178.11649801013186</v>
      </c>
      <c r="R183" s="84">
        <f>R167*(1-'CC70 - %'!H$5/100)</f>
        <v>182.15243164309661</v>
      </c>
      <c r="S183" s="84">
        <f>S167*(1-'CC70 - %'!I$5/100)</f>
        <v>184.90019989735163</v>
      </c>
      <c r="T183" s="84">
        <f>T167*(1-'CC70 - %'!J$5/100)</f>
        <v>186.91215153484347</v>
      </c>
      <c r="U183" s="84">
        <f>U167*(1-'CC70 - %'!K$5/100)</f>
        <v>190.0194752296849</v>
      </c>
      <c r="V183" s="84">
        <f>V167*(1-'CC70 - %'!L$5/100)</f>
        <v>192.42571133612131</v>
      </c>
      <c r="W183" s="84">
        <f>W167*(1-'CC70 - %'!M$5/100)</f>
        <v>193.11606671351785</v>
      </c>
      <c r="X183" s="84">
        <f>X167*(1-'CC70 - %'!N$5/100)</f>
        <v>194.17271943111939</v>
      </c>
      <c r="Y183" s="84">
        <f>Y167*(1-'CC70 - %'!O$5/100)</f>
        <v>196.43930997180269</v>
      </c>
      <c r="Z183" s="84">
        <f>Z167*(1-'CC70 - %'!P$5/100)</f>
        <v>197.26295757681618</v>
      </c>
      <c r="AA183" s="84">
        <f>AA167*(1-'CC70 - %'!Q$5/100)</f>
        <v>198.78906818892986</v>
      </c>
      <c r="AB183" s="84">
        <f>AB167*(1-'CC70 - %'!R$5/100)</f>
        <v>199.27109501851896</v>
      </c>
      <c r="AC183" s="84">
        <f>AC167*(1-'CC70 - %'!S$5/100)</f>
        <v>199.81607550598832</v>
      </c>
      <c r="AD183" s="84">
        <f>AD167*(1-'CC70 - %'!T$5/100)</f>
        <v>200.81552749830396</v>
      </c>
      <c r="AE183" s="84">
        <f>AE167*(1-'CC70 - %'!U$5/100)</f>
        <v>201.46851559210739</v>
      </c>
      <c r="AF183" s="84">
        <f>AF167*(1-'CC70 - %'!V$5/100)</f>
        <v>202.44722464890279</v>
      </c>
      <c r="AG183" s="84">
        <f>AG167*(1-'CC70 - %'!W$5/100)</f>
        <v>204.08272498890102</v>
      </c>
      <c r="AH183" s="84">
        <f>AH167*(1-'CC70 - %'!X$5/100)</f>
        <v>205.45768032284377</v>
      </c>
      <c r="AI183" s="84">
        <f>AI167*(1-'CC70 - %'!Y$5/100)</f>
        <v>207.19494918329084</v>
      </c>
      <c r="AJ183" s="84">
        <f>AJ167*(1-'CC70 - %'!Z$5/100)</f>
        <v>209.06203603891649</v>
      </c>
      <c r="AK183" s="84">
        <f>AK167*(1-'CC70 - %'!AA$5/100)</f>
        <v>210.26206487211127</v>
      </c>
      <c r="AL183" s="84">
        <f>AL167*(1-'CC70 - %'!AB$5/100)</f>
        <v>212.57094808352647</v>
      </c>
      <c r="AM183" s="84">
        <f>AM167*(1-'CC70 - %'!AC$5/100)</f>
        <v>214.44417760860426</v>
      </c>
      <c r="AN183" s="84">
        <f>AN167*(1-'CC70 - %'!AD$5/100)</f>
        <v>217.35207375218528</v>
      </c>
      <c r="AO183" s="84">
        <f>AO167*(1-'CC70 - %'!AE$5/100)</f>
        <v>219.49471661952302</v>
      </c>
      <c r="AP183" s="84">
        <f>AP167*(1-'CC70 - %'!AF$5/100)</f>
        <v>221.57284332185731</v>
      </c>
      <c r="AQ183" s="84">
        <f>AQ167*(1-'CC70 - %'!AG$5/100)</f>
        <v>223.79700167555038</v>
      </c>
      <c r="AR183" s="84">
        <f>AR167*(1-'CC70 - %'!AH$5/100)</f>
        <v>228.32758149615213</v>
      </c>
      <c r="AS183" s="84">
        <f>AS167*(1-'CC70 - %'!AI$5/100)</f>
        <v>232.25087861267784</v>
      </c>
      <c r="AT183" s="84">
        <f>AT167*(1-'CC70 - %'!AJ$5/100)</f>
        <v>236.33049919867688</v>
      </c>
      <c r="AU183" s="84">
        <f>AU167*(1-'CC70 - %'!AK$5/100)</f>
        <v>240.54229075366638</v>
      </c>
      <c r="AV183" s="84">
        <f>AV167*(1-'CC70 - %'!AL$5/100)</f>
        <v>244.91916737148821</v>
      </c>
      <c r="AW183" s="84">
        <f>AW167*(1-'CC70 - %'!AM$5/100)</f>
        <v>249.44625625426275</v>
      </c>
      <c r="AX183" s="84">
        <f>AX167*(1-'CC70 - %'!AN$5/100)</f>
        <v>254.08062943702689</v>
      </c>
      <c r="AY183" s="84">
        <f>AY167*(1-'CC70 - %'!AO$5/100)</f>
        <v>258.8459141302323</v>
      </c>
      <c r="AZ183" s="84">
        <f>AZ167*(1-'CC70 - %'!AP$5/100)</f>
        <v>263.71871086825615</v>
      </c>
      <c r="BA183" s="84">
        <f>BA167*(1-'CC70 - %'!AQ$5/100)</f>
        <v>268.69120173486795</v>
      </c>
      <c r="BB183" s="84">
        <f>BB167*(1-'CC70 - %'!AR$5/100)</f>
        <v>273.81895969124076</v>
      </c>
      <c r="BC183" s="84">
        <f>BC167*(1-'CC70 - %'!AS$5/100)</f>
        <v>279.01799707957844</v>
      </c>
      <c r="BD183" s="84">
        <f>BD167*(1-'CC70 - %'!AT$5/100)</f>
        <v>284.32235185880637</v>
      </c>
      <c r="BE183" s="84">
        <f>BE167*(1-'CC70 - %'!AU$5/100)</f>
        <v>289.6465915639871</v>
      </c>
      <c r="BF183" s="84">
        <f>BF167*(1-'CC70 - %'!AV$5/100)</f>
        <v>295.04750644463354</v>
      </c>
      <c r="BG183" s="84">
        <f>BG167*(1-'CC70 - %'!AW$5/100)</f>
        <v>300.52826057543479</v>
      </c>
      <c r="BH183" s="84">
        <f>BH167*(1-'CC70 - %'!AX$5/100)</f>
        <v>306.07405207578682</v>
      </c>
      <c r="BI183" s="84">
        <f>BI167*(1-'CC70 - %'!AY$5/100)</f>
        <v>311.68771941654575</v>
      </c>
      <c r="BJ183" s="84">
        <f>BJ167*(1-'CC70 - %'!AZ$5/100)</f>
        <v>317.42667597675285</v>
      </c>
      <c r="BK183" s="84">
        <f>BK167*(1-'CC70 - %'!BA$5/100)</f>
        <v>323.28786701106321</v>
      </c>
    </row>
    <row r="184" spans="1:63" x14ac:dyDescent="0.3">
      <c r="A184" s="386"/>
      <c r="B184" t="s">
        <v>415</v>
      </c>
      <c r="C184" s="297">
        <f t="shared" si="95"/>
        <v>466</v>
      </c>
      <c r="D184" s="298">
        <f t="shared" si="96"/>
        <v>367.7</v>
      </c>
      <c r="E184" s="298">
        <f t="shared" si="97"/>
        <v>451.52373349647593</v>
      </c>
      <c r="F184" s="298">
        <f t="shared" si="98"/>
        <v>478.70065007692011</v>
      </c>
      <c r="G184" s="298">
        <f t="shared" si="99"/>
        <v>505.8850606489579</v>
      </c>
      <c r="H184" s="293">
        <f t="shared" si="100"/>
        <v>554.75327356515834</v>
      </c>
      <c r="I184" s="293">
        <f t="shared" si="101"/>
        <v>666.03807300631399</v>
      </c>
      <c r="J184" s="299">
        <f t="shared" si="102"/>
        <v>801.37357152036498</v>
      </c>
      <c r="K184" s="82">
        <f t="shared" si="121"/>
        <v>466</v>
      </c>
      <c r="L184" s="82">
        <f t="shared" si="121"/>
        <v>438</v>
      </c>
      <c r="M184" s="82">
        <f t="shared" si="121"/>
        <v>367.7</v>
      </c>
      <c r="N184" s="82">
        <f t="shared" si="121"/>
        <v>421.4</v>
      </c>
      <c r="O184" s="82">
        <f t="shared" si="121"/>
        <v>435.91230808892789</v>
      </c>
      <c r="P184" s="84">
        <f>P168*(1-'CC70 - %'!F8/100)</f>
        <v>447.83755540232005</v>
      </c>
      <c r="Q184" s="84">
        <f>Q168*(1-'CC70 - %'!G$5/100)</f>
        <v>441.51936624393863</v>
      </c>
      <c r="R184" s="84">
        <f>R168*(1-'CC70 - %'!H$5/100)</f>
        <v>451.52373349647593</v>
      </c>
      <c r="S184" s="84">
        <f>S168*(1-'CC70 - %'!I$5/100)</f>
        <v>458.33496609849391</v>
      </c>
      <c r="T184" s="84">
        <f>T168*(1-'CC70 - %'!J$5/100)</f>
        <v>463.3222391575473</v>
      </c>
      <c r="U184" s="84">
        <f>U168*(1-'CC70 - %'!K$5/100)</f>
        <v>471.02474624581885</v>
      </c>
      <c r="V184" s="84">
        <f>V168*(1-'CC70 - %'!L$5/100)</f>
        <v>476.98938092377358</v>
      </c>
      <c r="W184" s="84">
        <f>W168*(1-'CC70 - %'!M$5/100)</f>
        <v>478.70065007692011</v>
      </c>
      <c r="X184" s="84">
        <f>X168*(1-'CC70 - %'!N$5/100)</f>
        <v>481.31990569572764</v>
      </c>
      <c r="Y184" s="84">
        <f>Y168*(1-'CC70 - %'!O$5/100)</f>
        <v>486.93838365951541</v>
      </c>
      <c r="Z184" s="84">
        <f>Z168*(1-'CC70 - %'!P$5/100)</f>
        <v>488.98006072276655</v>
      </c>
      <c r="AA184" s="84">
        <f>AA168*(1-'CC70 - %'!Q$5/100)</f>
        <v>492.76301961655884</v>
      </c>
      <c r="AB184" s="84">
        <f>AB168*(1-'CC70 - %'!R$5/100)</f>
        <v>493.95787906355213</v>
      </c>
      <c r="AC184" s="84">
        <f>AC168*(1-'CC70 - %'!S$5/100)</f>
        <v>495.30878951896142</v>
      </c>
      <c r="AD184" s="84">
        <f>AD168*(1-'CC70 - %'!T$5/100)</f>
        <v>497.78625463403097</v>
      </c>
      <c r="AE184" s="84">
        <f>AE168*(1-'CC70 - %'!U$5/100)</f>
        <v>499.40489688537667</v>
      </c>
      <c r="AF184" s="84">
        <f>AF168*(1-'CC70 - %'!V$5/100)</f>
        <v>501.83094392380946</v>
      </c>
      <c r="AG184" s="84">
        <f>AG168*(1-'CC70 - %'!W$5/100)</f>
        <v>505.8850606489579</v>
      </c>
      <c r="AH184" s="84">
        <f>AH168*(1-'CC70 - %'!X$5/100)</f>
        <v>509.29333228262544</v>
      </c>
      <c r="AI184" s="84">
        <f>AI168*(1-'CC70 - %'!Y$5/100)</f>
        <v>513.59971521081604</v>
      </c>
      <c r="AJ184" s="84">
        <f>AJ168*(1-'CC70 - %'!Z$5/100)</f>
        <v>518.22789403999627</v>
      </c>
      <c r="AK184" s="84">
        <f>AK168*(1-'CC70 - %'!AA$5/100)</f>
        <v>521.20255374769215</v>
      </c>
      <c r="AL184" s="84">
        <f>AL168*(1-'CC70 - %'!AB$5/100)</f>
        <v>526.92586777881195</v>
      </c>
      <c r="AM184" s="84">
        <f>AM168*(1-'CC70 - %'!AC$5/100)</f>
        <v>531.56927320156365</v>
      </c>
      <c r="AN184" s="84">
        <f>AN168*(1-'CC70 - %'!AD$5/100)</f>
        <v>538.77743458335794</v>
      </c>
      <c r="AO184" s="84">
        <f>AO168*(1-'CC70 - %'!AE$5/100)</f>
        <v>544.08866813804116</v>
      </c>
      <c r="AP184" s="84">
        <f>AP168*(1-'CC70 - %'!AF$5/100)</f>
        <v>549.23997750488627</v>
      </c>
      <c r="AQ184" s="84">
        <f>AQ168*(1-'CC70 - %'!AG$5/100)</f>
        <v>554.75327356515834</v>
      </c>
      <c r="AR184" s="84">
        <f>AR168*(1-'CC70 - %'!AH$5/100)</f>
        <v>565.98378142634419</v>
      </c>
      <c r="AS184" s="84">
        <f>AS168*(1-'CC70 - %'!AI$5/100)</f>
        <v>575.70894263166156</v>
      </c>
      <c r="AT184" s="84">
        <f>AT168*(1-'CC70 - %'!AJ$5/100)</f>
        <v>585.8216021313084</v>
      </c>
      <c r="AU184" s="84">
        <f>AU168*(1-'CC70 - %'!AK$5/100)</f>
        <v>596.26189013879434</v>
      </c>
      <c r="AV184" s="84">
        <f>AV168*(1-'CC70 - %'!AL$5/100)</f>
        <v>607.11139488438334</v>
      </c>
      <c r="AW184" s="84">
        <f>AW168*(1-'CC70 - %'!AM$5/100)</f>
        <v>618.33324932674327</v>
      </c>
      <c r="AX184" s="84">
        <f>AX168*(1-'CC70 - %'!AN$5/100)</f>
        <v>629.82104261625386</v>
      </c>
      <c r="AY184" s="84">
        <f>AY168*(1-'CC70 - %'!AO$5/100)</f>
        <v>641.63334243811721</v>
      </c>
      <c r="AZ184" s="84">
        <f>AZ168*(1-'CC70 - %'!AP$5/100)</f>
        <v>653.7121456463716</v>
      </c>
      <c r="BA184" s="84">
        <f>BA168*(1-'CC70 - %'!AQ$5/100)</f>
        <v>666.03807300631399</v>
      </c>
      <c r="BB184" s="84">
        <f>BB168*(1-'CC70 - %'!AR$5/100)</f>
        <v>678.74888008169933</v>
      </c>
      <c r="BC184" s="84">
        <f>BC168*(1-'CC70 - %'!AS$5/100)</f>
        <v>691.63637629020207</v>
      </c>
      <c r="BD184" s="84">
        <f>BD168*(1-'CC70 - %'!AT$5/100)</f>
        <v>704.7849357253001</v>
      </c>
      <c r="BE184" s="84">
        <f>BE168*(1-'CC70 - %'!AU$5/100)</f>
        <v>717.98278638273041</v>
      </c>
      <c r="BF184" s="84">
        <f>BF168*(1-'CC70 - %'!AV$5/100)</f>
        <v>731.37070126922708</v>
      </c>
      <c r="BG184" s="84">
        <f>BG168*(1-'CC70 - %'!AW$5/100)</f>
        <v>744.95652356757785</v>
      </c>
      <c r="BH184" s="84">
        <f>BH168*(1-'CC70 - %'!AX$5/100)</f>
        <v>758.70356202786218</v>
      </c>
      <c r="BI184" s="84">
        <f>BI168*(1-'CC70 - %'!AY$5/100)</f>
        <v>772.61885271842573</v>
      </c>
      <c r="BJ184" s="84">
        <f>BJ168*(1-'CC70 - %'!AZ$5/100)</f>
        <v>786.84471327413917</v>
      </c>
      <c r="BK184" s="84">
        <f>BK168*(1-'CC70 - %'!BA$5/100)</f>
        <v>801.37357152036498</v>
      </c>
    </row>
    <row r="185" spans="1:63" x14ac:dyDescent="0.3">
      <c r="A185" s="386"/>
      <c r="B185" t="s">
        <v>416</v>
      </c>
      <c r="C185" s="297">
        <f t="shared" si="95"/>
        <v>517</v>
      </c>
      <c r="D185" s="298">
        <f t="shared" si="96"/>
        <v>650.4</v>
      </c>
      <c r="E185" s="298">
        <f t="shared" si="97"/>
        <v>664.96352398650436</v>
      </c>
      <c r="F185" s="298">
        <f t="shared" si="98"/>
        <v>704.98724119064207</v>
      </c>
      <c r="G185" s="298">
        <f t="shared" si="99"/>
        <v>745.02199487124687</v>
      </c>
      <c r="H185" s="293">
        <f t="shared" si="100"/>
        <v>816.99070141086236</v>
      </c>
      <c r="I185" s="293">
        <f t="shared" si="101"/>
        <v>980.88093998034799</v>
      </c>
      <c r="J185" s="299">
        <f t="shared" si="102"/>
        <v>1180.1908839239177</v>
      </c>
      <c r="K185" s="82">
        <f t="shared" si="121"/>
        <v>517</v>
      </c>
      <c r="L185" s="82">
        <f t="shared" si="121"/>
        <v>742</v>
      </c>
      <c r="M185" s="82">
        <f t="shared" si="121"/>
        <v>650.4</v>
      </c>
      <c r="N185" s="82">
        <f t="shared" si="121"/>
        <v>620.6</v>
      </c>
      <c r="O185" s="82">
        <f t="shared" si="121"/>
        <v>641.97242145227494</v>
      </c>
      <c r="P185" s="84">
        <f>P169*(1-'CC70 - %'!F9/100)</f>
        <v>659.53485259297543</v>
      </c>
      <c r="Q185" s="84">
        <f>Q169*(1-'CC70 - %'!G$5/100)</f>
        <v>650.22999214757556</v>
      </c>
      <c r="R185" s="84">
        <f>R169*(1-'CC70 - %'!H$5/100)</f>
        <v>664.96352398650436</v>
      </c>
      <c r="S185" s="84">
        <f>S169*(1-'CC70 - %'!I$5/100)</f>
        <v>674.99449444880236</v>
      </c>
      <c r="T185" s="84">
        <f>T169*(1-'CC70 - %'!J$5/100)</f>
        <v>682.33930142661086</v>
      </c>
      <c r="U185" s="84">
        <f>U169*(1-'CC70 - %'!K$5/100)</f>
        <v>693.68286075024957</v>
      </c>
      <c r="V185" s="84">
        <f>V169*(1-'CC70 - %'!L$5/100)</f>
        <v>702.46703797174621</v>
      </c>
      <c r="W185" s="84">
        <f>W169*(1-'CC70 - %'!M$5/100)</f>
        <v>704.98724119064207</v>
      </c>
      <c r="X185" s="84">
        <f>X169*(1-'CC70 - %'!N$5/100)</f>
        <v>708.84464517030983</v>
      </c>
      <c r="Y185" s="84">
        <f>Y169*(1-'CC70 - %'!O$5/100)</f>
        <v>717.11903393235707</v>
      </c>
      <c r="Z185" s="84">
        <f>Z169*(1-'CC70 - %'!P$5/100)</f>
        <v>720.1258321892476</v>
      </c>
      <c r="AA185" s="84">
        <f>AA169*(1-'CC70 - %'!Q$5/100)</f>
        <v>725.69703363558722</v>
      </c>
      <c r="AB185" s="84">
        <f>AB169*(1-'CC70 - %'!R$5/100)</f>
        <v>727.4567151087814</v>
      </c>
      <c r="AC185" s="84">
        <f>AC169*(1-'CC70 - %'!S$5/100)</f>
        <v>729.44621446480198</v>
      </c>
      <c r="AD185" s="84">
        <f>AD169*(1-'CC70 - %'!T$5/100)</f>
        <v>733.09480214969074</v>
      </c>
      <c r="AE185" s="84">
        <f>AE169*(1-'CC70 - %'!U$5/100)</f>
        <v>735.47859280271678</v>
      </c>
      <c r="AF185" s="84">
        <f>AF169*(1-'CC70 - %'!V$5/100)</f>
        <v>739.05145657122989</v>
      </c>
      <c r="AG185" s="84">
        <f>AG169*(1-'CC70 - %'!W$5/100)</f>
        <v>745.02199487124687</v>
      </c>
      <c r="AH185" s="84">
        <f>AH169*(1-'CC70 - %'!X$5/100)</f>
        <v>750.04139063739308</v>
      </c>
      <c r="AI185" s="84">
        <f>AI169*(1-'CC70 - %'!Y$5/100)</f>
        <v>756.38344390088412</v>
      </c>
      <c r="AJ185" s="84">
        <f>AJ169*(1-'CC70 - %'!Z$5/100)</f>
        <v>763.1994092103032</v>
      </c>
      <c r="AK185" s="84">
        <f>AK169*(1-'CC70 - %'!AA$5/100)</f>
        <v>767.58022035077784</v>
      </c>
      <c r="AL185" s="84">
        <f>AL169*(1-'CC70 - %'!AB$5/100)</f>
        <v>776.00900223903841</v>
      </c>
      <c r="AM185" s="84">
        <f>AM169*(1-'CC70 - %'!AC$5/100)</f>
        <v>782.84739190529308</v>
      </c>
      <c r="AN185" s="84">
        <f>AN169*(1-'CC70 - %'!AD$5/100)</f>
        <v>793.46292335650696</v>
      </c>
      <c r="AO185" s="84">
        <f>AO169*(1-'CC70 - %'!AE$5/100)</f>
        <v>801.28483020044723</v>
      </c>
      <c r="AP185" s="84">
        <f>AP169*(1-'CC70 - %'!AF$5/100)</f>
        <v>808.87121509143935</v>
      </c>
      <c r="AQ185" s="84">
        <f>AQ169*(1-'CC70 - %'!AG$5/100)</f>
        <v>816.99070141086236</v>
      </c>
      <c r="AR185" s="84">
        <f>AR169*(1-'CC70 - %'!AH$5/100)</f>
        <v>833.52998280301222</v>
      </c>
      <c r="AS185" s="84">
        <f>AS169*(1-'CC70 - %'!AI$5/100)</f>
        <v>847.85232510016431</v>
      </c>
      <c r="AT185" s="84">
        <f>AT169*(1-'CC70 - %'!AJ$5/100)</f>
        <v>862.74534001587597</v>
      </c>
      <c r="AU185" s="84">
        <f>AU169*(1-'CC70 - %'!AK$5/100)</f>
        <v>878.12085671603199</v>
      </c>
      <c r="AV185" s="84">
        <f>AV169*(1-'CC70 - %'!AL$5/100)</f>
        <v>894.09903100438657</v>
      </c>
      <c r="AW185" s="84">
        <f>AW169*(1-'CC70 - %'!AM$5/100)</f>
        <v>910.62556841997412</v>
      </c>
      <c r="AX185" s="84">
        <f>AX169*(1-'CC70 - %'!AN$5/100)</f>
        <v>927.54375663893541</v>
      </c>
      <c r="AY185" s="84">
        <f>AY169*(1-'CC70 - %'!AO$5/100)</f>
        <v>944.93984887777822</v>
      </c>
      <c r="AZ185" s="84">
        <f>AZ169*(1-'CC70 - %'!AP$5/100)</f>
        <v>962.72842332258767</v>
      </c>
      <c r="BA185" s="84">
        <f>BA169*(1-'CC70 - %'!AQ$5/100)</f>
        <v>980.88093998034799</v>
      </c>
      <c r="BB185" s="84">
        <f>BB169*(1-'CC70 - %'!AR$5/100)</f>
        <v>999.60027284931857</v>
      </c>
      <c r="BC185" s="84">
        <f>BC169*(1-'CC70 - %'!AS$5/100)</f>
        <v>1018.5798175740382</v>
      </c>
      <c r="BD185" s="84">
        <f>BD169*(1-'CC70 - %'!AT$5/100)</f>
        <v>1037.943832726914</v>
      </c>
      <c r="BE185" s="84">
        <f>BE169*(1-'CC70 - %'!AU$5/100)</f>
        <v>1057.3804395565326</v>
      </c>
      <c r="BF185" s="84">
        <f>BF169*(1-'CC70 - %'!AV$5/100)</f>
        <v>1077.0969558796453</v>
      </c>
      <c r="BG185" s="84">
        <f>BG169*(1-'CC70 - %'!AW$5/100)</f>
        <v>1097.104932430088</v>
      </c>
      <c r="BH185" s="84">
        <f>BH169*(1-'CC70 - %'!AX$5/100)</f>
        <v>1117.3503336366673</v>
      </c>
      <c r="BI185" s="84">
        <f>BI169*(1-'CC70 - %'!AY$5/100)</f>
        <v>1137.8435215876966</v>
      </c>
      <c r="BJ185" s="84">
        <f>BJ169*(1-'CC70 - %'!AZ$5/100)</f>
        <v>1158.7940888892529</v>
      </c>
      <c r="BK185" s="84">
        <f>BK169*(1-'CC70 - %'!BA$5/100)</f>
        <v>1180.1908839239177</v>
      </c>
    </row>
    <row r="186" spans="1:63" x14ac:dyDescent="0.3">
      <c r="A186" s="386"/>
      <c r="B186" t="s">
        <v>417</v>
      </c>
      <c r="C186" s="297">
        <f t="shared" si="95"/>
        <v>201.02416595832574</v>
      </c>
      <c r="D186" s="298">
        <f t="shared" si="96"/>
        <v>199.73610791490233</v>
      </c>
      <c r="E186" s="298">
        <f t="shared" si="97"/>
        <v>288.12228746369806</v>
      </c>
      <c r="F186" s="298">
        <f t="shared" si="98"/>
        <v>305.46417846626429</v>
      </c>
      <c r="G186" s="298">
        <f t="shared" si="99"/>
        <v>322.81085146773802</v>
      </c>
      <c r="H186" s="293">
        <f t="shared" si="100"/>
        <v>353.99419853267926</v>
      </c>
      <c r="I186" s="293">
        <f t="shared" si="101"/>
        <v>425.00625968532933</v>
      </c>
      <c r="J186" s="299">
        <f t="shared" si="102"/>
        <v>511.3653378780877</v>
      </c>
      <c r="K186" s="82">
        <f t="shared" si="121"/>
        <v>201.02416595832574</v>
      </c>
      <c r="L186" s="82">
        <f t="shared" si="121"/>
        <v>247.82375039928598</v>
      </c>
      <c r="M186" s="82">
        <f t="shared" si="121"/>
        <v>199.73610791490233</v>
      </c>
      <c r="N186" s="82">
        <f t="shared" si="121"/>
        <v>268.89999999999998</v>
      </c>
      <c r="O186" s="82">
        <f t="shared" si="121"/>
        <v>278.16046427411652</v>
      </c>
      <c r="P186" s="84">
        <f>P170*(1-'CC70 - %'!F10/100)</f>
        <v>285.77009645867071</v>
      </c>
      <c r="Q186" s="84">
        <f>Q170*(1-'CC70 - %'!G$5/100)</f>
        <v>281.73839008779089</v>
      </c>
      <c r="R186" s="84">
        <f>R170*(1-'CC70 - %'!H$5/100)</f>
        <v>288.12228746369806</v>
      </c>
      <c r="S186" s="84">
        <f>S170*(1-'CC70 - %'!I$5/100)</f>
        <v>292.46861030822259</v>
      </c>
      <c r="T186" s="84">
        <f>T170*(1-'CC70 - %'!J$5/100)</f>
        <v>295.65104439834948</v>
      </c>
      <c r="U186" s="84">
        <f>U170*(1-'CC70 - %'!K$5/100)</f>
        <v>300.56609934860148</v>
      </c>
      <c r="V186" s="84">
        <f>V170*(1-'CC70 - %'!L$5/100)</f>
        <v>304.37219869578234</v>
      </c>
      <c r="W186" s="84">
        <f>W170*(1-'CC70 - %'!M$5/100)</f>
        <v>305.46417846626429</v>
      </c>
      <c r="X186" s="84">
        <f>X170*(1-'CC70 - %'!N$5/100)</f>
        <v>307.13555444134107</v>
      </c>
      <c r="Y186" s="84">
        <f>Y170*(1-'CC70 - %'!O$5/100)</f>
        <v>310.72076736128071</v>
      </c>
      <c r="Z186" s="84">
        <f>Z170*(1-'CC70 - %'!P$5/100)</f>
        <v>312.02358407297561</v>
      </c>
      <c r="AA186" s="84">
        <f>AA170*(1-'CC70 - %'!Q$5/100)</f>
        <v>314.43753197648948</v>
      </c>
      <c r="AB186" s="84">
        <f>AB170*(1-'CC70 - %'!R$5/100)</f>
        <v>315.1999850028219</v>
      </c>
      <c r="AC186" s="84">
        <f>AC170*(1-'CC70 - %'!S$5/100)</f>
        <v>316.0620159032955</v>
      </c>
      <c r="AD186" s="84">
        <f>AD170*(1-'CC70 - %'!T$5/100)</f>
        <v>317.64291378996415</v>
      </c>
      <c r="AE186" s="84">
        <f>AE170*(1-'CC70 - %'!U$5/100)</f>
        <v>318.67578731010383</v>
      </c>
      <c r="AF186" s="84">
        <f>AF170*(1-'CC70 - %'!V$5/100)</f>
        <v>320.22387475347023</v>
      </c>
      <c r="AG186" s="84">
        <f>AG170*(1-'CC70 - %'!W$5/100)</f>
        <v>322.81085146773802</v>
      </c>
      <c r="AH186" s="84">
        <f>AH170*(1-'CC70 - %'!X$5/100)</f>
        <v>324.98570728713332</v>
      </c>
      <c r="AI186" s="84">
        <f>AI170*(1-'CC70 - %'!Y$5/100)</f>
        <v>327.73365785521696</v>
      </c>
      <c r="AJ186" s="84">
        <f>AJ170*(1-'CC70 - %'!Z$5/100)</f>
        <v>330.68694994626242</v>
      </c>
      <c r="AK186" s="84">
        <f>AK170*(1-'CC70 - %'!AA$5/100)</f>
        <v>332.58511320065105</v>
      </c>
      <c r="AL186" s="84">
        <f>AL170*(1-'CC70 - %'!AB$5/100)</f>
        <v>336.23722317447198</v>
      </c>
      <c r="AM186" s="84">
        <f>AM170*(1-'CC70 - %'!AC$5/100)</f>
        <v>339.20023152325683</v>
      </c>
      <c r="AN186" s="84">
        <f>AN170*(1-'CC70 - %'!AD$5/100)</f>
        <v>343.79983901154463</v>
      </c>
      <c r="AO186" s="84">
        <f>AO170*(1-'CC70 - %'!AE$5/100)</f>
        <v>347.18899587641005</v>
      </c>
      <c r="AP186" s="84">
        <f>AP170*(1-'CC70 - %'!AF$5/100)</f>
        <v>350.47610334851419</v>
      </c>
      <c r="AQ186" s="84">
        <f>AQ170*(1-'CC70 - %'!AG$5/100)</f>
        <v>353.99419853267926</v>
      </c>
      <c r="AR186" s="84">
        <f>AR170*(1-'CC70 - %'!AH$5/100)</f>
        <v>361.16050979008998</v>
      </c>
      <c r="AS186" s="84">
        <f>AS170*(1-'CC70 - %'!AI$5/100)</f>
        <v>367.36624269970036</v>
      </c>
      <c r="AT186" s="84">
        <f>AT170*(1-'CC70 - %'!AJ$5/100)</f>
        <v>373.81924255602473</v>
      </c>
      <c r="AU186" s="84">
        <f>AU170*(1-'CC70 - %'!AK$5/100)</f>
        <v>380.48130578624051</v>
      </c>
      <c r="AV186" s="84">
        <f>AV170*(1-'CC70 - %'!AL$5/100)</f>
        <v>387.40449474231286</v>
      </c>
      <c r="AW186" s="84">
        <f>AW170*(1-'CC70 - %'!AM$5/100)</f>
        <v>394.56528415747806</v>
      </c>
      <c r="AX186" s="84">
        <f>AX170*(1-'CC70 - %'!AN$5/100)</f>
        <v>401.89577209186194</v>
      </c>
      <c r="AY186" s="84">
        <f>AY170*(1-'CC70 - %'!AO$5/100)</f>
        <v>409.43333123305575</v>
      </c>
      <c r="AZ186" s="84">
        <f>AZ170*(1-'CC70 - %'!AP$5/100)</f>
        <v>417.14094913220055</v>
      </c>
      <c r="BA186" s="84">
        <f>BA170*(1-'CC70 - %'!AQ$5/100)</f>
        <v>425.00625968532933</v>
      </c>
      <c r="BB186" s="84">
        <f>BB170*(1-'CC70 - %'!AR$5/100)</f>
        <v>433.11716624102735</v>
      </c>
      <c r="BC186" s="84">
        <f>BC170*(1-'CC70 - %'!AS$5/100)</f>
        <v>441.34082008646254</v>
      </c>
      <c r="BD186" s="84">
        <f>BD170*(1-'CC70 - %'!AT$5/100)</f>
        <v>449.73106126372375</v>
      </c>
      <c r="BE186" s="84">
        <f>BE170*(1-'CC70 - %'!AU$5/100)</f>
        <v>458.15275571503611</v>
      </c>
      <c r="BF186" s="84">
        <f>BF170*(1-'CC70 - %'!AV$5/100)</f>
        <v>466.69573225271745</v>
      </c>
      <c r="BG186" s="84">
        <f>BG170*(1-'CC70 - %'!AW$5/100)</f>
        <v>475.36499569843778</v>
      </c>
      <c r="BH186" s="84">
        <f>BH170*(1-'CC70 - %'!AX$5/100)</f>
        <v>484.13713295987696</v>
      </c>
      <c r="BI186" s="84">
        <f>BI170*(1-'CC70 - %'!AY$5/100)</f>
        <v>493.01663383005388</v>
      </c>
      <c r="BJ186" s="84">
        <f>BJ170*(1-'CC70 - %'!AZ$5/100)</f>
        <v>502.09431276558149</v>
      </c>
      <c r="BK186" s="84">
        <f>BK170*(1-'CC70 - %'!BA$5/100)</f>
        <v>511.3653378780877</v>
      </c>
    </row>
    <row r="187" spans="1:63" x14ac:dyDescent="0.3">
      <c r="A187" s="386"/>
      <c r="B187" t="s">
        <v>418</v>
      </c>
      <c r="C187" s="297">
        <f t="shared" si="95"/>
        <v>107.77264867839591</v>
      </c>
      <c r="D187" s="298">
        <f t="shared" si="96"/>
        <v>156.70408071033322</v>
      </c>
      <c r="E187" s="298">
        <f t="shared" si="97"/>
        <v>113.77284336276315</v>
      </c>
      <c r="F187" s="298">
        <f t="shared" si="98"/>
        <v>120.02892539271402</v>
      </c>
      <c r="G187" s="298">
        <f t="shared" si="99"/>
        <v>125.6304610215857</v>
      </c>
      <c r="H187" s="293">
        <f t="shared" si="100"/>
        <v>136.48475566757244</v>
      </c>
      <c r="I187" s="293">
        <f t="shared" si="101"/>
        <v>162.38249660061476</v>
      </c>
      <c r="J187" s="299">
        <f t="shared" si="102"/>
        <v>193.66039830849505</v>
      </c>
      <c r="K187" s="82">
        <f t="shared" si="121"/>
        <v>107.77264867839591</v>
      </c>
      <c r="L187" s="82">
        <f t="shared" si="121"/>
        <v>121.71801820253535</v>
      </c>
      <c r="M187" s="82">
        <f t="shared" si="121"/>
        <v>156.70408071033322</v>
      </c>
      <c r="N187" s="82">
        <f t="shared" si="121"/>
        <v>106.5</v>
      </c>
      <c r="O187" s="82">
        <f t="shared" si="121"/>
        <v>110.16768109034368</v>
      </c>
      <c r="P187" s="84">
        <f>P171*(1-'CC70 - %'!F11/100)</f>
        <v>113.18153690163051</v>
      </c>
      <c r="Q187" s="84">
        <f>Q171*(1-'CC70 - %'!G$5/100)</f>
        <v>111.36246690974457</v>
      </c>
      <c r="R187" s="84">
        <f>R171*(1-'CC70 - %'!H$5/100)</f>
        <v>113.77284336276315</v>
      </c>
      <c r="S187" s="84">
        <f>S171*(1-'CC70 - %'!I$5/100)</f>
        <v>115.37487613342799</v>
      </c>
      <c r="T187" s="84">
        <f>T171*(1-'CC70 - %'!J$5/100)</f>
        <v>116.51528747322732</v>
      </c>
      <c r="U187" s="84">
        <f>U171*(1-'CC70 - %'!K$5/100)</f>
        <v>118.3358321124925</v>
      </c>
      <c r="V187" s="84">
        <f>V171*(1-'CC70 - %'!L$5/100)</f>
        <v>119.71685592933051</v>
      </c>
      <c r="W187" s="84">
        <f>W171*(1-'CC70 - %'!M$5/100)</f>
        <v>120.02892539271402</v>
      </c>
      <c r="X187" s="84">
        <f>X171*(1-'CC70 - %'!N$5/100)</f>
        <v>120.56806408753576</v>
      </c>
      <c r="Y187" s="84">
        <f>Y171*(1-'CC70 - %'!O$5/100)</f>
        <v>121.85694565811389</v>
      </c>
      <c r="Z187" s="84">
        <f>Z171*(1-'CC70 - %'!P$5/100)</f>
        <v>122.24932966923079</v>
      </c>
      <c r="AA187" s="84">
        <f>AA171*(1-'CC70 - %'!Q$5/100)</f>
        <v>123.07610403990392</v>
      </c>
      <c r="AB187" s="84">
        <f>AB171*(1-'CC70 - %'!R$5/100)</f>
        <v>123.25571867059628</v>
      </c>
      <c r="AC187" s="84">
        <f>AC171*(1-'CC70 - %'!S$5/100)</f>
        <v>123.47412342622556</v>
      </c>
      <c r="AD187" s="84">
        <f>AD171*(1-'CC70 - %'!T$5/100)</f>
        <v>123.97290967303201</v>
      </c>
      <c r="AE187" s="84">
        <f>AE171*(1-'CC70 - %'!U$5/100)</f>
        <v>124.25729173009796</v>
      </c>
      <c r="AF187" s="84">
        <f>AF171*(1-'CC70 - %'!V$5/100)</f>
        <v>124.74206465658766</v>
      </c>
      <c r="AG187" s="84">
        <f>AG171*(1-'CC70 - %'!W$5/100)</f>
        <v>125.6304610215857</v>
      </c>
      <c r="AH187" s="84">
        <f>AH171*(1-'CC70 - %'!X$5/100)</f>
        <v>126.35717199657783</v>
      </c>
      <c r="AI187" s="84">
        <f>AI171*(1-'CC70 - %'!Y$5/100)</f>
        <v>127.30535820011808</v>
      </c>
      <c r="AJ187" s="84">
        <f>AJ171*(1-'CC70 - %'!Z$5/100)</f>
        <v>128.33168161762239</v>
      </c>
      <c r="AK187" s="84">
        <f>AK171*(1-'CC70 - %'!AA$5/100)</f>
        <v>128.94722744464275</v>
      </c>
      <c r="AL187" s="84">
        <f>AL171*(1-'CC70 - %'!AB$5/100)</f>
        <v>130.24124681265414</v>
      </c>
      <c r="AM187" s="84">
        <f>AM171*(1-'CC70 - %'!AC$5/100)</f>
        <v>131.26641352314743</v>
      </c>
      <c r="AN187" s="84">
        <f>AN171*(1-'CC70 - %'!AD$5/100)</f>
        <v>132.92266527155698</v>
      </c>
      <c r="AO187" s="84">
        <f>AO171*(1-'CC70 - %'!AE$5/100)</f>
        <v>134.10852264761047</v>
      </c>
      <c r="AP187" s="84">
        <f>AP171*(1-'CC70 - %'!AF$5/100)</f>
        <v>135.25304456272912</v>
      </c>
      <c r="AQ187" s="84">
        <f>AQ171*(1-'CC70 - %'!AG$5/100)</f>
        <v>136.48475566757244</v>
      </c>
      <c r="AR187" s="84">
        <f>AR171*(1-'CC70 - %'!AH$5/100)</f>
        <v>139.11974404976687</v>
      </c>
      <c r="AS187" s="84">
        <f>AS171*(1-'CC70 - %'!AI$5/100)</f>
        <v>141.38046686691285</v>
      </c>
      <c r="AT187" s="84">
        <f>AT171*(1-'CC70 - %'!AJ$5/100)</f>
        <v>143.73237680161469</v>
      </c>
      <c r="AU187" s="84">
        <f>AU171*(1-'CC70 - %'!AK$5/100)</f>
        <v>146.16055999642842</v>
      </c>
      <c r="AV187" s="84">
        <f>AV171*(1-'CC70 - %'!AL$5/100)</f>
        <v>148.68480156048227</v>
      </c>
      <c r="AW187" s="84">
        <f>AW171*(1-'CC70 - %'!AM$5/100)</f>
        <v>151.29583159823574</v>
      </c>
      <c r="AX187" s="84">
        <f>AX171*(1-'CC70 - %'!AN$5/100)</f>
        <v>153.96741386074703</v>
      </c>
      <c r="AY187" s="84">
        <f>AY171*(1-'CC70 - %'!AO$5/100)</f>
        <v>156.7137022039347</v>
      </c>
      <c r="AZ187" s="84">
        <f>AZ171*(1-'CC70 - %'!AP$5/100)</f>
        <v>159.52035429754434</v>
      </c>
      <c r="BA187" s="84">
        <f>BA171*(1-'CC70 - %'!AQ$5/100)</f>
        <v>162.38249660061476</v>
      </c>
      <c r="BB187" s="84">
        <f>BB171*(1-'CC70 - %'!AR$5/100)</f>
        <v>165.33354936262529</v>
      </c>
      <c r="BC187" s="84">
        <f>BC171*(1-'CC70 - %'!AS$5/100)</f>
        <v>168.32262176761498</v>
      </c>
      <c r="BD187" s="84">
        <f>BD171*(1-'CC70 - %'!AT$5/100)</f>
        <v>171.37014255928216</v>
      </c>
      <c r="BE187" s="84">
        <f>BE171*(1-'CC70 - %'!AU$5/100)</f>
        <v>174.42452358167108</v>
      </c>
      <c r="BF187" s="84">
        <f>BF171*(1-'CC70 - %'!AV$5/100)</f>
        <v>177.51993008404656</v>
      </c>
      <c r="BG187" s="84">
        <f>BG171*(1-'CC70 - %'!AW$5/100)</f>
        <v>180.65817030893325</v>
      </c>
      <c r="BH187" s="84">
        <f>BH171*(1-'CC70 - %'!AX$5/100)</f>
        <v>183.8302560207475</v>
      </c>
      <c r="BI187" s="84">
        <f>BI171*(1-'CC70 - %'!AY$5/100)</f>
        <v>187.0378165012055</v>
      </c>
      <c r="BJ187" s="84">
        <f>BJ171*(1-'CC70 - %'!AZ$5/100)</f>
        <v>190.31519635512322</v>
      </c>
      <c r="BK187" s="84">
        <f>BK171*(1-'CC70 - %'!BA$5/100)</f>
        <v>193.66039830849505</v>
      </c>
    </row>
    <row r="188" spans="1:63" x14ac:dyDescent="0.3">
      <c r="A188" s="386"/>
      <c r="B188" t="s">
        <v>419</v>
      </c>
      <c r="C188" s="297">
        <f t="shared" si="95"/>
        <v>133.29921508867</v>
      </c>
      <c r="D188" s="298">
        <f t="shared" si="96"/>
        <v>211.50616730098926</v>
      </c>
      <c r="E188" s="298">
        <f t="shared" si="97"/>
        <v>235.29712929872917</v>
      </c>
      <c r="F188" s="298">
        <f t="shared" si="98"/>
        <v>249.45950877112395</v>
      </c>
      <c r="G188" s="298">
        <f t="shared" si="99"/>
        <v>263.62579349717038</v>
      </c>
      <c r="H188" s="293">
        <f t="shared" si="100"/>
        <v>289.09189718146496</v>
      </c>
      <c r="I188" s="293">
        <f t="shared" si="101"/>
        <v>347.08440543860428</v>
      </c>
      <c r="J188" s="299">
        <f t="shared" si="102"/>
        <v>417.61016506141982</v>
      </c>
      <c r="K188" s="82">
        <f t="shared" si="121"/>
        <v>133.29921508867</v>
      </c>
      <c r="L188" s="82">
        <f t="shared" si="121"/>
        <v>196.93190017375747</v>
      </c>
      <c r="M188" s="82">
        <f t="shared" si="121"/>
        <v>211.50616730098926</v>
      </c>
      <c r="N188" s="82">
        <f t="shared" si="121"/>
        <v>219.59911059084641</v>
      </c>
      <c r="O188" s="82">
        <f t="shared" si="121"/>
        <v>227.16173505441765</v>
      </c>
      <c r="P188" s="84">
        <f>P172*(1-'CC70 - %'!F12/100)</f>
        <v>233.61003955388915</v>
      </c>
      <c r="Q188" s="84">
        <f>Q172*(1-'CC70 - %'!G$5/100)</f>
        <v>230.08367379165423</v>
      </c>
      <c r="R188" s="84">
        <f>R172*(1-'CC70 - %'!H$5/100)</f>
        <v>235.29712929872917</v>
      </c>
      <c r="S188" s="84">
        <f>S172*(1-'CC70 - %'!I$5/100)</f>
        <v>238.84658497369483</v>
      </c>
      <c r="T188" s="84">
        <f>T172*(1-'CC70 - %'!J$5/100)</f>
        <v>241.44554256278315</v>
      </c>
      <c r="U188" s="84">
        <f>U172*(1-'CC70 - %'!K$5/100)</f>
        <v>245.45945738457746</v>
      </c>
      <c r="V188" s="84">
        <f>V172*(1-'CC70 - %'!L$5/100)</f>
        <v>248.56773567190112</v>
      </c>
      <c r="W188" s="84">
        <f>W172*(1-'CC70 - %'!M$5/100)</f>
        <v>249.45950877112395</v>
      </c>
      <c r="X188" s="84">
        <f>X172*(1-'CC70 - %'!N$5/100)</f>
        <v>250.82444992988098</v>
      </c>
      <c r="Y188" s="84">
        <f>Y172*(1-'CC70 - %'!O$5/100)</f>
        <v>253.75233973463202</v>
      </c>
      <c r="Z188" s="84">
        <f>Z172*(1-'CC70 - %'!P$5/100)</f>
        <v>254.81629433169826</v>
      </c>
      <c r="AA188" s="84">
        <f>AA172*(1-'CC70 - %'!Q$5/100)</f>
        <v>256.78766217336533</v>
      </c>
      <c r="AB188" s="84">
        <f>AB172*(1-'CC70 - %'!R$5/100)</f>
        <v>257.41032489724</v>
      </c>
      <c r="AC188" s="84">
        <f>AC172*(1-'CC70 - %'!S$5/100)</f>
        <v>258.11430860510848</v>
      </c>
      <c r="AD188" s="84">
        <f>AD172*(1-'CC70 - %'!T$5/100)</f>
        <v>259.40536018505412</v>
      </c>
      <c r="AE188" s="84">
        <f>AE172*(1-'CC70 - %'!U$5/100)</f>
        <v>260.24886374167562</v>
      </c>
      <c r="AF188" s="84">
        <f>AF172*(1-'CC70 - %'!V$5/100)</f>
        <v>261.51312043814312</v>
      </c>
      <c r="AG188" s="84">
        <f>AG172*(1-'CC70 - %'!W$5/100)</f>
        <v>263.62579349717038</v>
      </c>
      <c r="AH188" s="84">
        <f>AH172*(1-'CC70 - %'!X$5/100)</f>
        <v>265.40190507620548</v>
      </c>
      <c r="AI188" s="84">
        <f>AI172*(1-'CC70 - %'!Y$5/100)</f>
        <v>267.64603858568404</v>
      </c>
      <c r="AJ188" s="84">
        <f>AJ172*(1-'CC70 - %'!Z$5/100)</f>
        <v>270.05786572033844</v>
      </c>
      <c r="AK188" s="84">
        <f>AK172*(1-'CC70 - %'!AA$5/100)</f>
        <v>271.60801433476752</v>
      </c>
      <c r="AL188" s="84">
        <f>AL172*(1-'CC70 - %'!AB$5/100)</f>
        <v>274.59053609761997</v>
      </c>
      <c r="AM188" s="84">
        <f>AM172*(1-'CC70 - %'!AC$5/100)</f>
        <v>277.01029808373528</v>
      </c>
      <c r="AN188" s="84">
        <f>AN172*(1-'CC70 - %'!AD$5/100)</f>
        <v>280.76660047679962</v>
      </c>
      <c r="AO188" s="84">
        <f>AO172*(1-'CC70 - %'!AE$5/100)</f>
        <v>283.53437970021849</v>
      </c>
      <c r="AP188" s="84">
        <f>AP172*(1-'CC70 - %'!AF$5/100)</f>
        <v>286.21881955626378</v>
      </c>
      <c r="AQ188" s="84">
        <f>AQ172*(1-'CC70 - %'!AG$5/100)</f>
        <v>289.09189718146496</v>
      </c>
      <c r="AR188" s="84">
        <f>AR172*(1-'CC70 - %'!AH$5/100)</f>
        <v>294.94431658772959</v>
      </c>
      <c r="AS188" s="84">
        <f>AS172*(1-'CC70 - %'!AI$5/100)</f>
        <v>300.01227280756893</v>
      </c>
      <c r="AT188" s="84">
        <f>AT172*(1-'CC70 - %'!AJ$5/100)</f>
        <v>305.28216135011888</v>
      </c>
      <c r="AU188" s="84">
        <f>AU172*(1-'CC70 - %'!AK$5/100)</f>
        <v>310.72278299405849</v>
      </c>
      <c r="AV188" s="84">
        <f>AV172*(1-'CC70 - %'!AL$5/100)</f>
        <v>316.3766548319382</v>
      </c>
      <c r="AW188" s="84">
        <f>AW172*(1-'CC70 - %'!AM$5/100)</f>
        <v>322.22456478619119</v>
      </c>
      <c r="AX188" s="84">
        <f>AX172*(1-'CC70 - %'!AN$5/100)</f>
        <v>328.21106025137391</v>
      </c>
      <c r="AY188" s="84">
        <f>AY172*(1-'CC70 - %'!AO$5/100)</f>
        <v>334.36666190043331</v>
      </c>
      <c r="AZ188" s="84">
        <f>AZ172*(1-'CC70 - %'!AP$5/100)</f>
        <v>340.66114325196281</v>
      </c>
      <c r="BA188" s="84">
        <f>BA172*(1-'CC70 - %'!AQ$5/100)</f>
        <v>347.08440543860428</v>
      </c>
      <c r="BB188" s="84">
        <f>BB172*(1-'CC70 - %'!AR$5/100)</f>
        <v>353.70823535945493</v>
      </c>
      <c r="BC188" s="84">
        <f>BC172*(1-'CC70 - %'!AS$5/100)</f>
        <v>360.42414116185194</v>
      </c>
      <c r="BD188" s="84">
        <f>BD172*(1-'CC70 - %'!AT$5/100)</f>
        <v>367.2760917017153</v>
      </c>
      <c r="BE188" s="84">
        <f>BE172*(1-'CC70 - %'!AU$5/100)</f>
        <v>374.1537287830692</v>
      </c>
      <c r="BF188" s="84">
        <f>BF172*(1-'CC70 - %'!AV$5/100)</f>
        <v>381.1304117487565</v>
      </c>
      <c r="BG188" s="84">
        <f>BG172*(1-'CC70 - %'!AW$5/100)</f>
        <v>388.21022782223326</v>
      </c>
      <c r="BH188" s="84">
        <f>BH172*(1-'CC70 - %'!AX$5/100)</f>
        <v>395.37405653399554</v>
      </c>
      <c r="BI188" s="84">
        <f>BI172*(1-'CC70 - %'!AY$5/100)</f>
        <v>402.62556450566342</v>
      </c>
      <c r="BJ188" s="84">
        <f>BJ172*(1-'CC70 - %'!AZ$5/100)</f>
        <v>410.03891601355161</v>
      </c>
      <c r="BK188" s="84">
        <f>BK172*(1-'CC70 - %'!BA$5/100)</f>
        <v>417.61016506141982</v>
      </c>
    </row>
    <row r="189" spans="1:63" x14ac:dyDescent="0.3">
      <c r="A189" s="386"/>
      <c r="B189" t="s">
        <v>420</v>
      </c>
      <c r="C189" s="297">
        <f t="shared" si="95"/>
        <v>1048.1144799708336</v>
      </c>
      <c r="D189" s="298">
        <f t="shared" si="96"/>
        <v>503.48773330439957</v>
      </c>
      <c r="E189" s="298">
        <f t="shared" si="97"/>
        <v>530.66409261623414</v>
      </c>
      <c r="F189" s="298">
        <f t="shared" si="98"/>
        <v>559.84397417348077</v>
      </c>
      <c r="G189" s="298">
        <f t="shared" si="99"/>
        <v>585.97089281147976</v>
      </c>
      <c r="H189" s="293">
        <f t="shared" si="100"/>
        <v>636.59795151068238</v>
      </c>
      <c r="I189" s="293">
        <f t="shared" si="101"/>
        <v>757.39128660580559</v>
      </c>
      <c r="J189" s="299">
        <f t="shared" si="102"/>
        <v>903.27899441169518</v>
      </c>
      <c r="K189" s="82">
        <f t="shared" si="121"/>
        <v>1048.1144799708336</v>
      </c>
      <c r="L189" s="82">
        <f t="shared" si="121"/>
        <v>683.87502065145532</v>
      </c>
      <c r="M189" s="82">
        <f t="shared" si="121"/>
        <v>503.48773330439957</v>
      </c>
      <c r="N189" s="82">
        <f t="shared" si="121"/>
        <v>496.74178998435787</v>
      </c>
      <c r="O189" s="82">
        <f t="shared" si="121"/>
        <v>513.84874275345737</v>
      </c>
      <c r="P189" s="84">
        <f>P173*(1-'CC70 - %'!F13/100)</f>
        <v>527.90609609104774</v>
      </c>
      <c r="Q189" s="84">
        <f>Q173*(1-'CC70 - %'!G$5/100)</f>
        <v>519.42151314385296</v>
      </c>
      <c r="R189" s="84">
        <f>R173*(1-'CC70 - %'!H$5/100)</f>
        <v>530.66409261623414</v>
      </c>
      <c r="S189" s="84">
        <f>S173*(1-'CC70 - %'!I$5/100)</f>
        <v>538.13636140603376</v>
      </c>
      <c r="T189" s="84">
        <f>T173*(1-'CC70 - %'!J$5/100)</f>
        <v>543.45551605627202</v>
      </c>
      <c r="U189" s="84">
        <f>U173*(1-'CC70 - %'!K$5/100)</f>
        <v>551.94697711594335</v>
      </c>
      <c r="V189" s="84">
        <f>V173*(1-'CC70 - %'!L$5/100)</f>
        <v>558.38840662568191</v>
      </c>
      <c r="W189" s="84">
        <f>W173*(1-'CC70 - %'!M$5/100)</f>
        <v>559.84397417348077</v>
      </c>
      <c r="X189" s="84">
        <f>X173*(1-'CC70 - %'!N$5/100)</f>
        <v>562.35864760367406</v>
      </c>
      <c r="Y189" s="84">
        <f>Y173*(1-'CC70 - %'!O$5/100)</f>
        <v>568.37030336373823</v>
      </c>
      <c r="Z189" s="84">
        <f>Z173*(1-'CC70 - %'!P$5/100)</f>
        <v>570.20047741109454</v>
      </c>
      <c r="AA189" s="84">
        <f>AA173*(1-'CC70 - %'!Q$5/100)</f>
        <v>574.05675328716359</v>
      </c>
      <c r="AB189" s="84">
        <f>AB173*(1-'CC70 - %'!R$5/100)</f>
        <v>574.89451942009782</v>
      </c>
      <c r="AC189" s="84">
        <f>AC173*(1-'CC70 - %'!S$5/100)</f>
        <v>575.91321208913439</v>
      </c>
      <c r="AD189" s="84">
        <f>AD173*(1-'CC70 - %'!T$5/100)</f>
        <v>578.23967193005672</v>
      </c>
      <c r="AE189" s="84">
        <f>AE173*(1-'CC70 - %'!U$5/100)</f>
        <v>579.56609871002263</v>
      </c>
      <c r="AF189" s="84">
        <f>AF173*(1-'CC70 - %'!V$5/100)</f>
        <v>581.82719703152929</v>
      </c>
      <c r="AG189" s="84">
        <f>AG173*(1-'CC70 - %'!W$5/100)</f>
        <v>585.97089281147976</v>
      </c>
      <c r="AH189" s="84">
        <f>AH173*(1-'CC70 - %'!X$5/100)</f>
        <v>589.36044877879317</v>
      </c>
      <c r="AI189" s="84">
        <f>AI173*(1-'CC70 - %'!Y$5/100)</f>
        <v>593.78301884438042</v>
      </c>
      <c r="AJ189" s="84">
        <f>AJ173*(1-'CC70 - %'!Z$5/100)</f>
        <v>598.57003979756314</v>
      </c>
      <c r="AK189" s="84">
        <f>AK173*(1-'CC70 - %'!AA$5/100)</f>
        <v>601.44109459504193</v>
      </c>
      <c r="AL189" s="84">
        <f>AL173*(1-'CC70 - %'!AB$5/100)</f>
        <v>607.47671428650108</v>
      </c>
      <c r="AM189" s="84">
        <f>AM173*(1-'CC70 - %'!AC$5/100)</f>
        <v>612.25834007807669</v>
      </c>
      <c r="AN189" s="84">
        <f>AN173*(1-'CC70 - %'!AD$5/100)</f>
        <v>619.98349930971688</v>
      </c>
      <c r="AO189" s="84">
        <f>AO173*(1-'CC70 - %'!AE$5/100)</f>
        <v>625.5146252782331</v>
      </c>
      <c r="AP189" s="84">
        <f>AP173*(1-'CC70 - %'!AF$5/100)</f>
        <v>630.85295264717547</v>
      </c>
      <c r="AQ189" s="84">
        <f>AQ173*(1-'CC70 - %'!AG$5/100)</f>
        <v>636.59795151068238</v>
      </c>
      <c r="AR189" s="84">
        <f>AR173*(1-'CC70 - %'!AH$5/100)</f>
        <v>648.888175412647</v>
      </c>
      <c r="AS189" s="84">
        <f>AS173*(1-'CC70 - %'!AI$5/100)</f>
        <v>659.43273408727237</v>
      </c>
      <c r="AT189" s="84">
        <f>AT173*(1-'CC70 - %'!AJ$5/100)</f>
        <v>670.4026115600027</v>
      </c>
      <c r="AU189" s="84">
        <f>AU173*(1-'CC70 - %'!AK$5/100)</f>
        <v>681.72824598818761</v>
      </c>
      <c r="AV189" s="84">
        <f>AV173*(1-'CC70 - %'!AL$5/100)</f>
        <v>693.501919911953</v>
      </c>
      <c r="AW189" s="84">
        <f>AW173*(1-'CC70 - %'!AM$5/100)</f>
        <v>705.68039629370503</v>
      </c>
      <c r="AX189" s="84">
        <f>AX173*(1-'CC70 - %'!AN$5/100)</f>
        <v>718.14130291502261</v>
      </c>
      <c r="AY189" s="84">
        <f>AY173*(1-'CC70 - %'!AO$5/100)</f>
        <v>730.95065678740025</v>
      </c>
      <c r="AZ189" s="84">
        <f>AZ173*(1-'CC70 - %'!AP$5/100)</f>
        <v>744.04156180940038</v>
      </c>
      <c r="BA189" s="84">
        <f>BA173*(1-'CC70 - %'!AQ$5/100)</f>
        <v>757.39128660580559</v>
      </c>
      <c r="BB189" s="84">
        <f>BB173*(1-'CC70 - %'!AR$5/100)</f>
        <v>771.15571131321769</v>
      </c>
      <c r="BC189" s="84">
        <f>BC173*(1-'CC70 - %'!AS$5/100)</f>
        <v>785.09746884230151</v>
      </c>
      <c r="BD189" s="84">
        <f>BD173*(1-'CC70 - %'!AT$5/100)</f>
        <v>799.31184380067998</v>
      </c>
      <c r="BE189" s="84">
        <f>BE173*(1-'CC70 - %'!AU$5/100)</f>
        <v>813.55821653641442</v>
      </c>
      <c r="BF189" s="84">
        <f>BF173*(1-'CC70 - %'!AV$5/100)</f>
        <v>827.99594204551499</v>
      </c>
      <c r="BG189" s="84">
        <f>BG173*(1-'CC70 - %'!AW$5/100)</f>
        <v>842.6334544089998</v>
      </c>
      <c r="BH189" s="84">
        <f>BH173*(1-'CC70 - %'!AX$5/100)</f>
        <v>857.42883031951999</v>
      </c>
      <c r="BI189" s="84">
        <f>BI173*(1-'CC70 - %'!AY$5/100)</f>
        <v>872.38966914154628</v>
      </c>
      <c r="BJ189" s="84">
        <f>BJ173*(1-'CC70 - %'!AZ$5/100)</f>
        <v>887.67616242881184</v>
      </c>
      <c r="BK189" s="84">
        <f>BK173*(1-'CC70 - %'!BA$5/100)</f>
        <v>903.27899441169518</v>
      </c>
    </row>
    <row r="190" spans="1:63" x14ac:dyDescent="0.3">
      <c r="A190" s="386"/>
      <c r="B190" t="s">
        <v>421</v>
      </c>
      <c r="C190" s="297">
        <f t="shared" si="95"/>
        <v>330.0776224697172</v>
      </c>
      <c r="D190" s="298">
        <f t="shared" si="96"/>
        <v>370.99405287354472</v>
      </c>
      <c r="E190" s="298">
        <f t="shared" si="97"/>
        <v>503.27645378095588</v>
      </c>
      <c r="F190" s="298">
        <f t="shared" si="98"/>
        <v>533.56833256081961</v>
      </c>
      <c r="G190" s="298">
        <f t="shared" si="99"/>
        <v>563.86856427815758</v>
      </c>
      <c r="H190" s="293">
        <f t="shared" si="100"/>
        <v>618.33795110003541</v>
      </c>
      <c r="I190" s="293">
        <f t="shared" si="101"/>
        <v>742.37798502863234</v>
      </c>
      <c r="J190" s="299">
        <f t="shared" si="102"/>
        <v>893.22535961821461</v>
      </c>
      <c r="K190" s="82">
        <f t="shared" si="121"/>
        <v>330.0776224697172</v>
      </c>
      <c r="L190" s="82">
        <f t="shared" si="121"/>
        <v>414.51562066941744</v>
      </c>
      <c r="M190" s="82">
        <f t="shared" si="121"/>
        <v>370.99405287354472</v>
      </c>
      <c r="N190" s="82">
        <f t="shared" si="121"/>
        <v>469.70000000000005</v>
      </c>
      <c r="O190" s="82">
        <f t="shared" si="121"/>
        <v>485.87567894961904</v>
      </c>
      <c r="P190" s="84">
        <f>P174*(1-'CC70 - %'!F14/100)</f>
        <v>499.66794165620587</v>
      </c>
      <c r="Q190" s="84">
        <f>Q174*(1-'CC70 - %'!G$5/100)</f>
        <v>492.12540656093501</v>
      </c>
      <c r="R190" s="84">
        <f>R174*(1-'CC70 - %'!H$5/100)</f>
        <v>503.27645378095588</v>
      </c>
      <c r="S190" s="84">
        <f>S174*(1-'CC70 - %'!I$5/100)</f>
        <v>510.86837583403576</v>
      </c>
      <c r="T190" s="84">
        <f>T174*(1-'CC70 - %'!J$5/100)</f>
        <v>516.42727985832937</v>
      </c>
      <c r="U190" s="84">
        <f>U174*(1-'CC70 - %'!K$5/100)</f>
        <v>525.01263244342942</v>
      </c>
      <c r="V190" s="84">
        <f>V174*(1-'CC70 - %'!L$5/100)</f>
        <v>531.66092126221281</v>
      </c>
      <c r="W190" s="84">
        <f>W174*(1-'CC70 - %'!M$5/100)</f>
        <v>533.56833256081961</v>
      </c>
      <c r="X190" s="84">
        <f>X174*(1-'CC70 - %'!N$5/100)</f>
        <v>536.48780186351041</v>
      </c>
      <c r="Y190" s="84">
        <f>Y174*(1-'CC70 - %'!O$5/100)</f>
        <v>542.75025819856296</v>
      </c>
      <c r="Z190" s="84">
        <f>Z174*(1-'CC70 - %'!P$5/100)</f>
        <v>545.0259480813562</v>
      </c>
      <c r="AA190" s="84">
        <f>AA174*(1-'CC70 - %'!Q$5/100)</f>
        <v>549.2425019314137</v>
      </c>
      <c r="AB190" s="84">
        <f>AB174*(1-'CC70 - %'!R$5/100)</f>
        <v>550.5743137070491</v>
      </c>
      <c r="AC190" s="84">
        <f>AC174*(1-'CC70 - %'!S$5/100)</f>
        <v>552.08006273625119</v>
      </c>
      <c r="AD190" s="84">
        <f>AD174*(1-'CC70 - %'!T$5/100)</f>
        <v>554.84148979972565</v>
      </c>
      <c r="AE190" s="84">
        <f>AE174*(1-'CC70 - %'!U$5/100)</f>
        <v>556.64565749184021</v>
      </c>
      <c r="AF190" s="84">
        <f>AF174*(1-'CC70 - %'!V$5/100)</f>
        <v>559.34977304464496</v>
      </c>
      <c r="AG190" s="84">
        <f>AG174*(1-'CC70 - %'!W$5/100)</f>
        <v>563.86856427815758</v>
      </c>
      <c r="AH190" s="84">
        <f>AH174*(1-'CC70 - %'!X$5/100)</f>
        <v>567.66748498611594</v>
      </c>
      <c r="AI190" s="84">
        <f>AI174*(1-'CC70 - %'!Y$5/100)</f>
        <v>572.4674566552452</v>
      </c>
      <c r="AJ190" s="84">
        <f>AJ174*(1-'CC70 - %'!Z$5/100)</f>
        <v>577.62610780870034</v>
      </c>
      <c r="AK190" s="84">
        <f>AK174*(1-'CC70 - %'!AA$5/100)</f>
        <v>580.94171688488609</v>
      </c>
      <c r="AL190" s="84">
        <f>AL174*(1-'CC70 - %'!AB$5/100)</f>
        <v>587.32102538136689</v>
      </c>
      <c r="AM190" s="84">
        <f>AM174*(1-'CC70 - %'!AC$5/100)</f>
        <v>592.49664836918475</v>
      </c>
      <c r="AN190" s="84">
        <f>AN174*(1-'CC70 - %'!AD$5/100)</f>
        <v>600.53099436118475</v>
      </c>
      <c r="AO190" s="84">
        <f>AO174*(1-'CC70 - %'!AE$5/100)</f>
        <v>606.4509905658233</v>
      </c>
      <c r="AP190" s="84">
        <f>AP174*(1-'CC70 - %'!AF$5/100)</f>
        <v>612.1927324016259</v>
      </c>
      <c r="AQ190" s="84">
        <f>AQ174*(1-'CC70 - %'!AG$5/100)</f>
        <v>618.33795110003541</v>
      </c>
      <c r="AR190" s="84">
        <f>AR174*(1-'CC70 - %'!AH$5/100)</f>
        <v>630.85567663966276</v>
      </c>
      <c r="AS190" s="84">
        <f>AS174*(1-'CC70 - %'!AI$5/100)</f>
        <v>641.69551579044014</v>
      </c>
      <c r="AT190" s="84">
        <f>AT174*(1-'CC70 - %'!AJ$5/100)</f>
        <v>652.96726749187383</v>
      </c>
      <c r="AU190" s="84">
        <f>AU174*(1-'CC70 - %'!AK$5/100)</f>
        <v>664.60419980586551</v>
      </c>
      <c r="AV190" s="84">
        <f>AV174*(1-'CC70 - %'!AL$5/100)</f>
        <v>676.69725243757682</v>
      </c>
      <c r="AW190" s="84">
        <f>AW174*(1-'CC70 - %'!AM$5/100)</f>
        <v>689.20533272133684</v>
      </c>
      <c r="AX190" s="84">
        <f>AX174*(1-'CC70 - %'!AN$5/100)</f>
        <v>702.00983321512695</v>
      </c>
      <c r="AY190" s="84">
        <f>AY174*(1-'CC70 - %'!AO$5/100)</f>
        <v>715.17603451158925</v>
      </c>
      <c r="AZ190" s="84">
        <f>AZ174*(1-'CC70 - %'!AP$5/100)</f>
        <v>728.63928526364691</v>
      </c>
      <c r="BA190" s="84">
        <f>BA174*(1-'CC70 - %'!AQ$5/100)</f>
        <v>742.37798502863234</v>
      </c>
      <c r="BB190" s="84">
        <f>BB174*(1-'CC70 - %'!AR$5/100)</f>
        <v>756.54567862926967</v>
      </c>
      <c r="BC190" s="84">
        <f>BC174*(1-'CC70 - %'!AS$5/100)</f>
        <v>770.91031310751794</v>
      </c>
      <c r="BD190" s="84">
        <f>BD174*(1-'CC70 - %'!AT$5/100)</f>
        <v>785.56593334165541</v>
      </c>
      <c r="BE190" s="84">
        <f>BE174*(1-'CC70 - %'!AU$5/100)</f>
        <v>800.27649445649877</v>
      </c>
      <c r="BF190" s="84">
        <f>BF174*(1-'CC70 - %'!AV$5/100)</f>
        <v>815.19890457084966</v>
      </c>
      <c r="BG190" s="84">
        <f>BG174*(1-'CC70 - %'!AW$5/100)</f>
        <v>830.34190583695158</v>
      </c>
      <c r="BH190" s="84">
        <f>BH174*(1-'CC70 - %'!AX$5/100)</f>
        <v>845.66460152939487</v>
      </c>
      <c r="BI190" s="84">
        <f>BI174*(1-'CC70 - %'!AY$5/100)</f>
        <v>861.17483417618587</v>
      </c>
      <c r="BJ190" s="84">
        <f>BJ174*(1-'CC70 - %'!AZ$5/100)</f>
        <v>877.0312335663582</v>
      </c>
      <c r="BK190" s="84">
        <f>BK174*(1-'CC70 - %'!BA$5/100)</f>
        <v>893.22535961821461</v>
      </c>
    </row>
    <row r="191" spans="1:63" x14ac:dyDescent="0.3">
      <c r="A191" s="386"/>
      <c r="B191" t="s">
        <v>422</v>
      </c>
      <c r="C191" s="297">
        <f t="shared" si="95"/>
        <v>462</v>
      </c>
      <c r="D191" s="298">
        <f t="shared" si="96"/>
        <v>495.5</v>
      </c>
      <c r="E191" s="298">
        <f t="shared" si="97"/>
        <v>578.06956080038697</v>
      </c>
      <c r="F191" s="298">
        <f t="shared" si="98"/>
        <v>614.35999097581919</v>
      </c>
      <c r="G191" s="298">
        <f t="shared" si="99"/>
        <v>652.32020968282643</v>
      </c>
      <c r="H191" s="293">
        <f t="shared" si="100"/>
        <v>718.57512220812328</v>
      </c>
      <c r="I191" s="293">
        <f t="shared" si="101"/>
        <v>866.46963514190804</v>
      </c>
      <c r="J191" s="299">
        <f t="shared" si="102"/>
        <v>1046.8752406286121</v>
      </c>
      <c r="K191" s="82">
        <f t="shared" si="121"/>
        <v>462</v>
      </c>
      <c r="L191" s="82">
        <f t="shared" si="121"/>
        <v>486</v>
      </c>
      <c r="M191" s="82">
        <f t="shared" si="121"/>
        <v>495.5</v>
      </c>
      <c r="N191" s="82">
        <f t="shared" si="121"/>
        <v>538.70000000000005</v>
      </c>
      <c r="O191" s="82">
        <f t="shared" si="121"/>
        <v>557.25192303632059</v>
      </c>
      <c r="P191" s="84">
        <f>P175*(1-'CC70 - %'!F15/100)</f>
        <v>572.49665660946812</v>
      </c>
      <c r="Q191" s="84">
        <f>Q175*(1-'CC70 - %'!G$5/100)</f>
        <v>564.98192093653824</v>
      </c>
      <c r="R191" s="84">
        <f>R175*(1-'CC70 - %'!H$5/100)</f>
        <v>578.06956080038697</v>
      </c>
      <c r="S191" s="84">
        <f>S175*(1-'CC70 - %'!I$5/100)</f>
        <v>587.07863598010249</v>
      </c>
      <c r="T191" s="84">
        <f>T175*(1-'CC70 - %'!J$5/100)</f>
        <v>593.75769209212547</v>
      </c>
      <c r="U191" s="84">
        <f>U175*(1-'CC70 - %'!K$5/100)</f>
        <v>603.92317877135963</v>
      </c>
      <c r="V191" s="84">
        <f>V175*(1-'CC70 - %'!L$5/100)</f>
        <v>611.86782680103261</v>
      </c>
      <c r="W191" s="84">
        <f>W175*(1-'CC70 - %'!M$5/100)</f>
        <v>614.35999097581919</v>
      </c>
      <c r="X191" s="84">
        <f>X175*(1-'CC70 - %'!N$5/100)</f>
        <v>618.01896999068958</v>
      </c>
      <c r="Y191" s="84">
        <f>Y175*(1-'CC70 - %'!O$5/100)</f>
        <v>625.53288747898114</v>
      </c>
      <c r="Z191" s="84">
        <f>Z175*(1-'CC70 - %'!P$5/100)</f>
        <v>628.45549681082775</v>
      </c>
      <c r="AA191" s="84">
        <f>AA175*(1-'CC70 - %'!Q$5/100)</f>
        <v>633.61845797551575</v>
      </c>
      <c r="AB191" s="84">
        <f>AB175*(1-'CC70 - %'!R$5/100)</f>
        <v>635.45538011860219</v>
      </c>
      <c r="AC191" s="84">
        <f>AC175*(1-'CC70 - %'!S$5/100)</f>
        <v>637.49343139564849</v>
      </c>
      <c r="AD191" s="84">
        <f>AD175*(1-'CC70 - %'!T$5/100)</f>
        <v>640.9825776025782</v>
      </c>
      <c r="AE191" s="84">
        <f>AE175*(1-'CC70 - %'!U$5/100)</f>
        <v>643.36715072644188</v>
      </c>
      <c r="AF191" s="84">
        <f>AF175*(1-'CC70 - %'!V$5/100)</f>
        <v>646.79314208040944</v>
      </c>
      <c r="AG191" s="84">
        <f>AG175*(1-'CC70 - %'!W$5/100)</f>
        <v>652.32020968282643</v>
      </c>
      <c r="AH191" s="84">
        <f>AH175*(1-'CC70 - %'!X$5/100)</f>
        <v>657.01776537706519</v>
      </c>
      <c r="AI191" s="84">
        <f>AI175*(1-'CC70 - %'!Y$5/100)</f>
        <v>662.87734774485693</v>
      </c>
      <c r="AJ191" s="84">
        <f>AJ175*(1-'CC70 - %'!Z$5/100)</f>
        <v>669.15636813767583</v>
      </c>
      <c r="AK191" s="84">
        <f>AK175*(1-'CC70 - %'!AA$5/100)</f>
        <v>673.30360567765172</v>
      </c>
      <c r="AL191" s="84">
        <f>AL175*(1-'CC70 - %'!AB$5/100)</f>
        <v>681.0055561366546</v>
      </c>
      <c r="AM191" s="84">
        <f>AM175*(1-'CC70 - %'!AC$5/100)</f>
        <v>687.3166995196475</v>
      </c>
      <c r="AN191" s="84">
        <f>AN175*(1-'CC70 - %'!AD$5/100)</f>
        <v>696.94977458513188</v>
      </c>
      <c r="AO191" s="84">
        <f>AO175*(1-'CC70 - %'!AE$5/100)</f>
        <v>704.13509893048479</v>
      </c>
      <c r="AP191" s="84">
        <f>AP175*(1-'CC70 - %'!AF$5/100)</f>
        <v>711.11830460746</v>
      </c>
      <c r="AQ191" s="84">
        <f>AQ175*(1-'CC70 - %'!AG$5/100)</f>
        <v>718.57512220812328</v>
      </c>
      <c r="AR191" s="84">
        <f>AR175*(1-'CC70 - %'!AH$5/100)</f>
        <v>733.44586396639318</v>
      </c>
      <c r="AS191" s="84">
        <f>AS175*(1-'CC70 - %'!AI$5/100)</f>
        <v>746.37660616980168</v>
      </c>
      <c r="AT191" s="84">
        <f>AT175*(1-'CC70 - %'!AJ$5/100)</f>
        <v>759.8197685388144</v>
      </c>
      <c r="AU191" s="84">
        <f>AU175*(1-'CC70 - %'!AK$5/100)</f>
        <v>773.69826731158821</v>
      </c>
      <c r="AV191" s="84">
        <f>AV175*(1-'CC70 - %'!AL$5/100)</f>
        <v>788.11851224323971</v>
      </c>
      <c r="AW191" s="84">
        <f>AW175*(1-'CC70 - %'!AM$5/100)</f>
        <v>803.0332539927623</v>
      </c>
      <c r="AX191" s="84">
        <f>AX175*(1-'CC70 - %'!AN$5/100)</f>
        <v>818.30480014858404</v>
      </c>
      <c r="AY191" s="84">
        <f>AY175*(1-'CC70 - %'!AO$5/100)</f>
        <v>834.00965977135752</v>
      </c>
      <c r="AZ191" s="84">
        <f>AZ175*(1-'CC70 - %'!AP$5/100)</f>
        <v>850.07288299713593</v>
      </c>
      <c r="BA191" s="84">
        <f>BA175*(1-'CC70 - %'!AQ$5/100)</f>
        <v>866.46963514190804</v>
      </c>
      <c r="BB191" s="84">
        <f>BB175*(1-'CC70 - %'!AR$5/100)</f>
        <v>883.37954414642775</v>
      </c>
      <c r="BC191" s="84">
        <f>BC175*(1-'CC70 - %'!AS$5/100)</f>
        <v>900.53210528020577</v>
      </c>
      <c r="BD191" s="84">
        <f>BD175*(1-'CC70 - %'!AT$5/100)</f>
        <v>918.03744247221255</v>
      </c>
      <c r="BE191" s="84">
        <f>BE175*(1-'CC70 - %'!AU$5/100)</f>
        <v>935.61994713180729</v>
      </c>
      <c r="BF191" s="84">
        <f>BF175*(1-'CC70 - %'!AV$5/100)</f>
        <v>953.46314907274098</v>
      </c>
      <c r="BG191" s="84">
        <f>BG175*(1-'CC70 - %'!AW$5/100)</f>
        <v>971.57751464589785</v>
      </c>
      <c r="BH191" s="84">
        <f>BH175*(1-'CC70 - %'!AX$5/100)</f>
        <v>989.91541924832359</v>
      </c>
      <c r="BI191" s="84">
        <f>BI175*(1-'CC70 - %'!AY$5/100)</f>
        <v>1008.4862341704801</v>
      </c>
      <c r="BJ191" s="84">
        <f>BJ175*(1-'CC70 - %'!AZ$5/100)</f>
        <v>1027.4759974978294</v>
      </c>
      <c r="BK191" s="84">
        <f>BK175*(1-'CC70 - %'!BA$5/100)</f>
        <v>1046.8752406286121</v>
      </c>
    </row>
    <row r="192" spans="1:63" x14ac:dyDescent="0.3">
      <c r="A192" s="386"/>
      <c r="B192" t="s">
        <v>423</v>
      </c>
      <c r="C192" s="297">
        <f t="shared" si="95"/>
        <v>1244.0659714179023</v>
      </c>
      <c r="D192" s="298">
        <f t="shared" si="96"/>
        <v>607.660123075569</v>
      </c>
      <c r="E192" s="298">
        <f t="shared" si="97"/>
        <v>626.1604795975735</v>
      </c>
      <c r="F192" s="298">
        <f t="shared" si="98"/>
        <v>663.84866707825881</v>
      </c>
      <c r="G192" s="298">
        <f t="shared" si="99"/>
        <v>701.54724701679822</v>
      </c>
      <c r="H192" s="293">
        <f t="shared" si="100"/>
        <v>769.31631731512198</v>
      </c>
      <c r="I192" s="293">
        <f t="shared" si="101"/>
        <v>923.64296333745699</v>
      </c>
      <c r="J192" s="299">
        <f t="shared" si="102"/>
        <v>1111.3224458752147</v>
      </c>
      <c r="K192" s="82">
        <f t="shared" si="121"/>
        <v>1244.0659714179023</v>
      </c>
      <c r="L192" s="82">
        <f t="shared" si="121"/>
        <v>618.36073373563374</v>
      </c>
      <c r="M192" s="82">
        <f t="shared" si="121"/>
        <v>607.660123075569</v>
      </c>
      <c r="N192" s="82">
        <f t="shared" si="121"/>
        <v>584.38572887216105</v>
      </c>
      <c r="O192" s="82">
        <f t="shared" si="121"/>
        <v>604.5109916632515</v>
      </c>
      <c r="P192" s="84">
        <f>P176*(1-'CC70 - %'!F16/100)</f>
        <v>620.73744437031723</v>
      </c>
      <c r="Q192" s="84">
        <f>Q176*(1-'CC70 - %'!G$5/100)</f>
        <v>612.28670302239846</v>
      </c>
      <c r="R192" s="84">
        <f>R176*(1-'CC70 - %'!H$5/100)</f>
        <v>626.1604795975735</v>
      </c>
      <c r="S192" s="84">
        <f>S176*(1-'CC70 - %'!I$5/100)</f>
        <v>635.60610638601236</v>
      </c>
      <c r="T192" s="84">
        <f>T176*(1-'CC70 - %'!J$5/100)</f>
        <v>642.52231711619606</v>
      </c>
      <c r="U192" s="84">
        <f>U176*(1-'CC70 - %'!K$5/100)</f>
        <v>653.20393842355861</v>
      </c>
      <c r="V192" s="84">
        <f>V176*(1-'CC70 - %'!L$5/100)</f>
        <v>661.4755268994312</v>
      </c>
      <c r="W192" s="84">
        <f>W176*(1-'CC70 - %'!M$5/100)</f>
        <v>663.84866707825881</v>
      </c>
      <c r="X192" s="84">
        <f>X176*(1-'CC70 - %'!N$5/100)</f>
        <v>667.48097748143721</v>
      </c>
      <c r="Y192" s="84">
        <f>Y176*(1-'CC70 - %'!O$5/100)</f>
        <v>675.27252551186041</v>
      </c>
      <c r="Z192" s="84">
        <f>Z176*(1-'CC70 - %'!P$5/100)</f>
        <v>678.10386613532876</v>
      </c>
      <c r="AA192" s="84">
        <f>AA176*(1-'CC70 - %'!Q$5/100)</f>
        <v>683.34996767885571</v>
      </c>
      <c r="AB192" s="84">
        <f>AB176*(1-'CC70 - %'!R$5/100)</f>
        <v>685.00696532676966</v>
      </c>
      <c r="AC192" s="84">
        <f>AC176*(1-'CC70 - %'!S$5/100)</f>
        <v>686.88037014671602</v>
      </c>
      <c r="AD192" s="84">
        <f>AD176*(1-'CC70 - %'!T$5/100)</f>
        <v>690.31604944672847</v>
      </c>
      <c r="AE192" s="84">
        <f>AE176*(1-'CC70 - %'!U$5/100)</f>
        <v>692.56073722991766</v>
      </c>
      <c r="AF192" s="84">
        <f>AF176*(1-'CC70 - %'!V$5/100)</f>
        <v>695.92511137997155</v>
      </c>
      <c r="AG192" s="84">
        <f>AG176*(1-'CC70 - %'!W$5/100)</f>
        <v>701.54724701679822</v>
      </c>
      <c r="AH192" s="84">
        <f>AH176*(1-'CC70 - %'!X$5/100)</f>
        <v>706.27374275205</v>
      </c>
      <c r="AI192" s="84">
        <f>AI176*(1-'CC70 - %'!Y$5/100)</f>
        <v>712.2457141006339</v>
      </c>
      <c r="AJ192" s="84">
        <f>AJ176*(1-'CC70 - %'!Z$5/100)</f>
        <v>718.66394300058914</v>
      </c>
      <c r="AK192" s="84">
        <f>AK176*(1-'CC70 - %'!AA$5/100)</f>
        <v>722.78911784973127</v>
      </c>
      <c r="AL192" s="84">
        <f>AL176*(1-'CC70 - %'!AB$5/100)</f>
        <v>730.72604960492879</v>
      </c>
      <c r="AM192" s="84">
        <f>AM176*(1-'CC70 - %'!AC$5/100)</f>
        <v>737.16539431879607</v>
      </c>
      <c r="AN192" s="84">
        <f>AN176*(1-'CC70 - %'!AD$5/100)</f>
        <v>747.16147083262626</v>
      </c>
      <c r="AO192" s="84">
        <f>AO176*(1-'CC70 - %'!AE$5/100)</f>
        <v>754.5269409134612</v>
      </c>
      <c r="AP192" s="84">
        <f>AP176*(1-'CC70 - %'!AF$5/100)</f>
        <v>761.67063260541602</v>
      </c>
      <c r="AQ192" s="84">
        <f>AQ176*(1-'CC70 - %'!AG$5/100)</f>
        <v>769.31631731512198</v>
      </c>
      <c r="AR192" s="84">
        <f>AR176*(1-'CC70 - %'!AH$5/100)</f>
        <v>784.89047137792124</v>
      </c>
      <c r="AS192" s="84">
        <f>AS176*(1-'CC70 - %'!AI$5/100)</f>
        <v>798.37705281923274</v>
      </c>
      <c r="AT192" s="84">
        <f>AT176*(1-'CC70 - %'!AJ$5/100)</f>
        <v>812.4010060525909</v>
      </c>
      <c r="AU192" s="84">
        <f>AU176*(1-'CC70 - %'!AK$5/100)</f>
        <v>826.87930533329791</v>
      </c>
      <c r="AV192" s="84">
        <f>AV176*(1-'CC70 - %'!AL$5/100)</f>
        <v>841.92509493617638</v>
      </c>
      <c r="AW192" s="84">
        <f>AW176*(1-'CC70 - %'!AM$5/100)</f>
        <v>857.48724867987789</v>
      </c>
      <c r="AX192" s="84">
        <f>AX176*(1-'CC70 - %'!AN$5/100)</f>
        <v>873.41819897561447</v>
      </c>
      <c r="AY192" s="84">
        <f>AY176*(1-'CC70 - %'!AO$5/100)</f>
        <v>889.79916585045089</v>
      </c>
      <c r="AZ192" s="84">
        <f>AZ176*(1-'CC70 - %'!AP$5/100)</f>
        <v>906.54971216454464</v>
      </c>
      <c r="BA192" s="84">
        <f>BA176*(1-'CC70 - %'!AQ$5/100)</f>
        <v>923.64296333745699</v>
      </c>
      <c r="BB192" s="84">
        <f>BB176*(1-'CC70 - %'!AR$5/100)</f>
        <v>941.26995493048605</v>
      </c>
      <c r="BC192" s="84">
        <f>BC176*(1-'CC70 - %'!AS$5/100)</f>
        <v>959.1419740694115</v>
      </c>
      <c r="BD192" s="84">
        <f>BD176*(1-'CC70 - %'!AT$5/100)</f>
        <v>977.37602838620955</v>
      </c>
      <c r="BE192" s="84">
        <f>BE176*(1-'CC70 - %'!AU$5/100)</f>
        <v>995.67843839092791</v>
      </c>
      <c r="BF192" s="84">
        <f>BF176*(1-'CC70 - %'!AV$5/100)</f>
        <v>1014.2444241503579</v>
      </c>
      <c r="BG192" s="84">
        <f>BG176*(1-'CC70 - %'!AW$5/100)</f>
        <v>1033.0848623709308</v>
      </c>
      <c r="BH192" s="84">
        <f>BH176*(1-'CC70 - %'!AX$5/100)</f>
        <v>1052.1488706539087</v>
      </c>
      <c r="BI192" s="84">
        <f>BI176*(1-'CC70 - %'!AY$5/100)</f>
        <v>1071.4462064219986</v>
      </c>
      <c r="BJ192" s="84">
        <f>BJ176*(1-'CC70 - %'!AZ$5/100)</f>
        <v>1091.174231789071</v>
      </c>
      <c r="BK192" s="84">
        <f>BK176*(1-'CC70 - %'!BA$5/100)</f>
        <v>1111.3224458752147</v>
      </c>
    </row>
    <row r="193" spans="1:63" x14ac:dyDescent="0.3">
      <c r="A193" s="386"/>
      <c r="B193" t="s">
        <v>424</v>
      </c>
      <c r="C193" s="297">
        <f t="shared" si="95"/>
        <v>901.23942272500881</v>
      </c>
      <c r="D193" s="298">
        <f t="shared" si="96"/>
        <v>618.24892948451316</v>
      </c>
      <c r="E193" s="298">
        <f t="shared" si="97"/>
        <v>874.60419227116358</v>
      </c>
      <c r="F193" s="298">
        <f t="shared" si="98"/>
        <v>927.24604343189708</v>
      </c>
      <c r="G193" s="298">
        <f t="shared" si="99"/>
        <v>979.90241049949998</v>
      </c>
      <c r="H193" s="293">
        <f t="shared" si="100"/>
        <v>1074.5604333554397</v>
      </c>
      <c r="I193" s="293">
        <f t="shared" si="101"/>
        <v>1290.1197603781684</v>
      </c>
      <c r="J193" s="299">
        <f t="shared" si="102"/>
        <v>1552.2654364136472</v>
      </c>
      <c r="K193" s="82">
        <f t="shared" si="121"/>
        <v>901.23942272500881</v>
      </c>
      <c r="L193" s="82">
        <f t="shared" si="121"/>
        <v>955.62587592882051</v>
      </c>
      <c r="M193" s="82">
        <f t="shared" si="121"/>
        <v>618.24892948451316</v>
      </c>
      <c r="N193" s="82">
        <f t="shared" si="121"/>
        <v>816.25433898912627</v>
      </c>
      <c r="O193" s="82">
        <f t="shared" si="121"/>
        <v>844.36476719589984</v>
      </c>
      <c r="P193" s="84">
        <f>P177*(1-'CC70 - %'!F17/100)</f>
        <v>867.4640430930873</v>
      </c>
      <c r="Q193" s="84">
        <f>Q177*(1-'CC70 - %'!G$5/100)</f>
        <v>855.22567262540122</v>
      </c>
      <c r="R193" s="84">
        <f>R177*(1-'CC70 - %'!H$5/100)</f>
        <v>874.60419227116358</v>
      </c>
      <c r="S193" s="84">
        <f>S177*(1-'CC70 - %'!I$5/100)</f>
        <v>887.7975908598238</v>
      </c>
      <c r="T193" s="84">
        <f>T177*(1-'CC70 - %'!J$5/100)</f>
        <v>897.45796882417096</v>
      </c>
      <c r="U193" s="84">
        <f>U177*(1-'CC70 - %'!K$5/100)</f>
        <v>912.37777146274743</v>
      </c>
      <c r="V193" s="84">
        <f>V177*(1-'CC70 - %'!L$5/100)</f>
        <v>923.93130477163584</v>
      </c>
      <c r="W193" s="84">
        <f>W177*(1-'CC70 - %'!M$5/100)</f>
        <v>927.24604343189708</v>
      </c>
      <c r="X193" s="84">
        <f>X177*(1-'CC70 - %'!N$5/100)</f>
        <v>932.31955734687892</v>
      </c>
      <c r="Y193" s="84">
        <f>Y177*(1-'CC70 - %'!O$5/100)</f>
        <v>943.20258301478725</v>
      </c>
      <c r="Z193" s="84">
        <f>Z177*(1-'CC70 - %'!P$5/100)</f>
        <v>947.15732378767132</v>
      </c>
      <c r="AA193" s="84">
        <f>AA177*(1-'CC70 - %'!Q$5/100)</f>
        <v>954.48493795776028</v>
      </c>
      <c r="AB193" s="84">
        <f>AB177*(1-'CC70 - %'!R$5/100)</f>
        <v>956.79938790576773</v>
      </c>
      <c r="AC193" s="84">
        <f>AC177*(1-'CC70 - %'!S$5/100)</f>
        <v>959.41610959730463</v>
      </c>
      <c r="AD193" s="84">
        <f>AD177*(1-'CC70 - %'!T$5/100)</f>
        <v>964.21497445223963</v>
      </c>
      <c r="AE193" s="84">
        <f>AE177*(1-'CC70 - %'!U$5/100)</f>
        <v>967.3502942456239</v>
      </c>
      <c r="AF193" s="84">
        <f>AF177*(1-'CC70 - %'!V$5/100)</f>
        <v>972.04956197631327</v>
      </c>
      <c r="AG193" s="84">
        <f>AG177*(1-'CC70 - %'!W$5/100)</f>
        <v>979.90241049949998</v>
      </c>
      <c r="AH193" s="84">
        <f>AH177*(1-'CC70 - %'!X$5/100)</f>
        <v>986.50425318918826</v>
      </c>
      <c r="AI193" s="84">
        <f>AI177*(1-'CC70 - %'!Y$5/100)</f>
        <v>994.84574286760369</v>
      </c>
      <c r="AJ193" s="84">
        <f>AJ177*(1-'CC70 - %'!Z$5/100)</f>
        <v>1003.8105531450977</v>
      </c>
      <c r="AK193" s="84">
        <f>AK177*(1-'CC70 - %'!AA$5/100)</f>
        <v>1009.5724869216111</v>
      </c>
      <c r="AL193" s="84">
        <f>AL177*(1-'CC70 - %'!AB$5/100)</f>
        <v>1020.6585806835925</v>
      </c>
      <c r="AM193" s="84">
        <f>AM177*(1-'CC70 - %'!AC$5/100)</f>
        <v>1029.6528849645767</v>
      </c>
      <c r="AN193" s="84">
        <f>AN177*(1-'CC70 - %'!AD$5/100)</f>
        <v>1043.6151369912104</v>
      </c>
      <c r="AO193" s="84">
        <f>AO177*(1-'CC70 - %'!AE$5/100)</f>
        <v>1053.9030283874961</v>
      </c>
      <c r="AP193" s="84">
        <f>AP177*(1-'CC70 - %'!AF$5/100)</f>
        <v>1063.8811456683757</v>
      </c>
      <c r="AQ193" s="84">
        <f>AQ177*(1-'CC70 - %'!AG$5/100)</f>
        <v>1074.5604333554397</v>
      </c>
      <c r="AR193" s="84">
        <f>AR177*(1-'CC70 - %'!AH$5/100)</f>
        <v>1096.3139947478089</v>
      </c>
      <c r="AS193" s="84">
        <f>AS177*(1-'CC70 - %'!AI$5/100)</f>
        <v>1115.1516905978538</v>
      </c>
      <c r="AT193" s="84">
        <f>AT177*(1-'CC70 - %'!AJ$5/100)</f>
        <v>1134.7399729787426</v>
      </c>
      <c r="AU193" s="84">
        <f>AU177*(1-'CC70 - %'!AK$5/100)</f>
        <v>1154.9628737533187</v>
      </c>
      <c r="AV193" s="84">
        <f>AV177*(1-'CC70 - %'!AL$5/100)</f>
        <v>1175.9784298151842</v>
      </c>
      <c r="AW193" s="84">
        <f>AW177*(1-'CC70 - %'!AM$5/100)</f>
        <v>1197.7152294831499</v>
      </c>
      <c r="AX193" s="84">
        <f>AX177*(1-'CC70 - %'!AN$5/100)</f>
        <v>1219.9671543003622</v>
      </c>
      <c r="AY193" s="84">
        <f>AY177*(1-'CC70 - %'!AO$5/100)</f>
        <v>1242.847650225935</v>
      </c>
      <c r="AZ193" s="84">
        <f>AZ177*(1-'CC70 - %'!AP$5/100)</f>
        <v>1266.2443648166645</v>
      </c>
      <c r="BA193" s="84">
        <f>BA177*(1-'CC70 - %'!AQ$5/100)</f>
        <v>1290.1197603781684</v>
      </c>
      <c r="BB193" s="84">
        <f>BB177*(1-'CC70 - %'!AR$5/100)</f>
        <v>1314.740670267435</v>
      </c>
      <c r="BC193" s="84">
        <f>BC177*(1-'CC70 - %'!AS$5/100)</f>
        <v>1339.7038280721251</v>
      </c>
      <c r="BD193" s="84">
        <f>BD177*(1-'CC70 - %'!AT$5/100)</f>
        <v>1365.1726669196694</v>
      </c>
      <c r="BE193" s="84">
        <f>BE177*(1-'CC70 - %'!AU$5/100)</f>
        <v>1390.7369831618573</v>
      </c>
      <c r="BF193" s="84">
        <f>BF177*(1-'CC70 - %'!AV$5/100)</f>
        <v>1416.6694549609081</v>
      </c>
      <c r="BG193" s="84">
        <f>BG177*(1-'CC70 - %'!AW$5/100)</f>
        <v>1442.9852746091378</v>
      </c>
      <c r="BH193" s="84">
        <f>BH177*(1-'CC70 - %'!AX$5/100)</f>
        <v>1469.6133709343812</v>
      </c>
      <c r="BI193" s="84">
        <f>BI177*(1-'CC70 - %'!AY$5/100)</f>
        <v>1496.5673728434167</v>
      </c>
      <c r="BJ193" s="84">
        <f>BJ177*(1-'CC70 - %'!AZ$5/100)</f>
        <v>1524.1229504524708</v>
      </c>
      <c r="BK193" s="84">
        <f>BK177*(1-'CC70 - %'!BA$5/100)</f>
        <v>1552.2654364136472</v>
      </c>
    </row>
    <row r="194" spans="1:63" x14ac:dyDescent="0.3">
      <c r="A194" s="386"/>
      <c r="B194" t="s">
        <v>425</v>
      </c>
      <c r="C194" s="297">
        <f t="shared" si="95"/>
        <v>0</v>
      </c>
      <c r="D194" s="298">
        <f t="shared" si="96"/>
        <v>0</v>
      </c>
      <c r="E194" s="298">
        <f t="shared" si="97"/>
        <v>0</v>
      </c>
      <c r="F194" s="298">
        <f t="shared" si="98"/>
        <v>0</v>
      </c>
      <c r="G194" s="298">
        <f t="shared" si="99"/>
        <v>0</v>
      </c>
      <c r="H194" s="293">
        <f t="shared" si="100"/>
        <v>0</v>
      </c>
      <c r="I194" s="293">
        <f t="shared" si="101"/>
        <v>0</v>
      </c>
      <c r="J194" s="299">
        <f t="shared" si="102"/>
        <v>0</v>
      </c>
      <c r="K194" s="82">
        <f t="shared" si="121"/>
        <v>0</v>
      </c>
      <c r="L194" s="82">
        <f t="shared" si="121"/>
        <v>129</v>
      </c>
      <c r="M194" s="82">
        <f t="shared" si="121"/>
        <v>0</v>
      </c>
      <c r="N194" s="82">
        <f t="shared" si="121"/>
        <v>0</v>
      </c>
      <c r="O194" s="82">
        <f t="shared" si="121"/>
        <v>0</v>
      </c>
      <c r="P194" s="84">
        <f>P178*(1-'CC70 - %'!F18/100)</f>
        <v>0</v>
      </c>
      <c r="Q194" s="84">
        <f>Q178*(1-'CC70 - %'!G$5/100)</f>
        <v>0</v>
      </c>
      <c r="R194" s="84">
        <f>R178*(1-'CC70 - %'!H$5/100)</f>
        <v>0</v>
      </c>
      <c r="S194" s="84">
        <f>S178*(1-'CC70 - %'!I$5/100)</f>
        <v>0</v>
      </c>
      <c r="T194" s="84">
        <f>T178*(1-'CC70 - %'!J$5/100)</f>
        <v>0</v>
      </c>
      <c r="U194" s="84">
        <f>U178*(1-'CC70 - %'!K$5/100)</f>
        <v>0</v>
      </c>
      <c r="V194" s="84">
        <f>V178*(1-'CC70 - %'!L$5/100)</f>
        <v>0</v>
      </c>
      <c r="W194" s="84">
        <f>W178*(1-'CC70 - %'!M$5/100)</f>
        <v>0</v>
      </c>
      <c r="X194" s="84">
        <f>X178*(1-'CC70 - %'!N$5/100)</f>
        <v>0</v>
      </c>
      <c r="Y194" s="84">
        <f>Y178*(1-'CC70 - %'!O$5/100)</f>
        <v>0</v>
      </c>
      <c r="Z194" s="84">
        <f>Z178*(1-'CC70 - %'!P$5/100)</f>
        <v>0</v>
      </c>
      <c r="AA194" s="84">
        <f>AA178*(1-'CC70 - %'!Q$5/100)</f>
        <v>0</v>
      </c>
      <c r="AB194" s="84">
        <f>AB178*(1-'CC70 - %'!R$5/100)</f>
        <v>0</v>
      </c>
      <c r="AC194" s="84">
        <f>AC178*(1-'CC70 - %'!S$5/100)</f>
        <v>0</v>
      </c>
      <c r="AD194" s="84">
        <f>AD178*(1-'CC70 - %'!T$5/100)</f>
        <v>0</v>
      </c>
      <c r="AE194" s="84">
        <f>AE178*(1-'CC70 - %'!U$5/100)</f>
        <v>0</v>
      </c>
      <c r="AF194" s="84">
        <f>AF178*(1-'CC70 - %'!V$5/100)</f>
        <v>0</v>
      </c>
      <c r="AG194" s="84">
        <f>AG178*(1-'CC70 - %'!W$5/100)</f>
        <v>0</v>
      </c>
      <c r="AH194" s="84">
        <f>AH178*(1-'CC70 - %'!X$5/100)</f>
        <v>0</v>
      </c>
      <c r="AI194" s="84">
        <f>AI178*(1-'CC70 - %'!Y$5/100)</f>
        <v>0</v>
      </c>
      <c r="AJ194" s="84">
        <f>AJ178*(1-'CC70 - %'!Z$5/100)</f>
        <v>0</v>
      </c>
      <c r="AK194" s="84">
        <f>AK178*(1-'CC70 - %'!AA$5/100)</f>
        <v>0</v>
      </c>
      <c r="AL194" s="84">
        <f>AL178*(1-'CC70 - %'!AB$5/100)</f>
        <v>0</v>
      </c>
      <c r="AM194" s="84">
        <f>AM178*(1-'CC70 - %'!AC$5/100)</f>
        <v>0</v>
      </c>
      <c r="AN194" s="84">
        <f>AN178*(1-'CC70 - %'!AD$5/100)</f>
        <v>0</v>
      </c>
      <c r="AO194" s="84">
        <f>AO178*(1-'CC70 - %'!AE$5/100)</f>
        <v>0</v>
      </c>
      <c r="AP194" s="84">
        <f>AP178*(1-'CC70 - %'!AF$5/100)</f>
        <v>0</v>
      </c>
      <c r="AQ194" s="84">
        <f>AQ178*(1-'CC70 - %'!AG$5/100)</f>
        <v>0</v>
      </c>
      <c r="AR194" s="84">
        <f>AR178*(1-'CC70 - %'!AH$5/100)</f>
        <v>0</v>
      </c>
      <c r="AS194" s="84">
        <f>AS178*(1-'CC70 - %'!AI$5/100)</f>
        <v>0</v>
      </c>
      <c r="AT194" s="84">
        <f>AT178*(1-'CC70 - %'!AJ$5/100)</f>
        <v>0</v>
      </c>
      <c r="AU194" s="84">
        <f>AU178*(1-'CC70 - %'!AK$5/100)</f>
        <v>0</v>
      </c>
      <c r="AV194" s="84">
        <f>AV178*(1-'CC70 - %'!AL$5/100)</f>
        <v>0</v>
      </c>
      <c r="AW194" s="84">
        <f>AW178*(1-'CC70 - %'!AM$5/100)</f>
        <v>0</v>
      </c>
      <c r="AX194" s="84">
        <f>AX178*(1-'CC70 - %'!AN$5/100)</f>
        <v>0</v>
      </c>
      <c r="AY194" s="84">
        <f>AY178*(1-'CC70 - %'!AO$5/100)</f>
        <v>0</v>
      </c>
      <c r="AZ194" s="84">
        <f>AZ178*(1-'CC70 - %'!AP$5/100)</f>
        <v>0</v>
      </c>
      <c r="BA194" s="84">
        <f>BA178*(1-'CC70 - %'!AQ$5/100)</f>
        <v>0</v>
      </c>
      <c r="BB194" s="84">
        <f>BB178*(1-'CC70 - %'!AR$5/100)</f>
        <v>0</v>
      </c>
      <c r="BC194" s="84">
        <f>BC178*(1-'CC70 - %'!AS$5/100)</f>
        <v>0</v>
      </c>
      <c r="BD194" s="84">
        <f>BD178*(1-'CC70 - %'!AT$5/100)</f>
        <v>0</v>
      </c>
      <c r="BE194" s="84">
        <f>BE178*(1-'CC70 - %'!AU$5/100)</f>
        <v>0</v>
      </c>
      <c r="BF194" s="84">
        <f>BF178*(1-'CC70 - %'!AV$5/100)</f>
        <v>0</v>
      </c>
      <c r="BG194" s="84">
        <f>BG178*(1-'CC70 - %'!AW$5/100)</f>
        <v>0</v>
      </c>
      <c r="BH194" s="84">
        <f>BH178*(1-'CC70 - %'!AX$5/100)</f>
        <v>0</v>
      </c>
      <c r="BI194" s="84">
        <f>BI178*(1-'CC70 - %'!AY$5/100)</f>
        <v>0</v>
      </c>
      <c r="BJ194" s="84">
        <f>BJ178*(1-'CC70 - %'!AZ$5/100)</f>
        <v>0</v>
      </c>
      <c r="BK194" s="84">
        <f>BK178*(1-'CC70 - %'!BA$5/100)</f>
        <v>0</v>
      </c>
    </row>
    <row r="195" spans="1:63" x14ac:dyDescent="0.3">
      <c r="A195" s="386"/>
      <c r="B195" t="s">
        <v>426</v>
      </c>
      <c r="C195" s="297">
        <f t="shared" si="95"/>
        <v>168.86544963795106</v>
      </c>
      <c r="D195" s="298">
        <f t="shared" si="96"/>
        <v>164.93146787757703</v>
      </c>
      <c r="E195" s="298">
        <f t="shared" si="97"/>
        <v>168.14878446290066</v>
      </c>
      <c r="F195" s="298">
        <f t="shared" si="98"/>
        <v>177.3948625052881</v>
      </c>
      <c r="G195" s="298">
        <f t="shared" si="99"/>
        <v>185.67356398870982</v>
      </c>
      <c r="H195" s="293">
        <f t="shared" si="100"/>
        <v>201.71549804766107</v>
      </c>
      <c r="I195" s="293">
        <f t="shared" si="101"/>
        <v>239.99065694776297</v>
      </c>
      <c r="J195" s="299">
        <f t="shared" si="102"/>
        <v>286.2173398474846</v>
      </c>
      <c r="K195" s="82">
        <f t="shared" si="121"/>
        <v>168.86544963795106</v>
      </c>
      <c r="L195" s="82">
        <f t="shared" si="121"/>
        <v>148.33635557383047</v>
      </c>
      <c r="M195" s="82">
        <f t="shared" si="121"/>
        <v>164.93146787757703</v>
      </c>
      <c r="N195" s="82">
        <f t="shared" si="121"/>
        <v>157.4</v>
      </c>
      <c r="O195" s="82">
        <f t="shared" si="121"/>
        <v>162.82059158328727</v>
      </c>
      <c r="P195" s="84">
        <f>P179*(1-'CC70 - %'!F19/100)</f>
        <v>167.27487237855999</v>
      </c>
      <c r="Q195" s="84">
        <f>Q179*(1-'CC70 - %'!G$5/100)</f>
        <v>164.58640649383847</v>
      </c>
      <c r="R195" s="84">
        <f>R179*(1-'CC70 - %'!H$5/100)</f>
        <v>168.14878446290066</v>
      </c>
      <c r="S195" s="84">
        <f>S179*(1-'CC70 - %'!I$5/100)</f>
        <v>170.51648360001468</v>
      </c>
      <c r="T195" s="84">
        <f>T179*(1-'CC70 - %'!J$5/100)</f>
        <v>172.20193660362423</v>
      </c>
      <c r="U195" s="84">
        <f>U179*(1-'CC70 - %'!K$5/100)</f>
        <v>174.89258192024707</v>
      </c>
      <c r="V195" s="84">
        <f>V179*(1-'CC70 - %'!L$5/100)</f>
        <v>176.93364435001521</v>
      </c>
      <c r="W195" s="84">
        <f>W179*(1-'CC70 - %'!M$5/100)</f>
        <v>177.3948625052881</v>
      </c>
      <c r="X195" s="84">
        <f>X179*(1-'CC70 - %'!N$5/100)</f>
        <v>178.1916740598885</v>
      </c>
      <c r="Y195" s="84">
        <f>Y179*(1-'CC70 - %'!O$5/100)</f>
        <v>180.09655630598243</v>
      </c>
      <c r="Z195" s="84">
        <f>Z179*(1-'CC70 - %'!P$5/100)</f>
        <v>180.6764740839148</v>
      </c>
      <c r="AA195" s="84">
        <f>AA179*(1-'CC70 - %'!Q$5/100)</f>
        <v>181.89839226179228</v>
      </c>
      <c r="AB195" s="84">
        <f>AB179*(1-'CC70 - %'!R$5/100)</f>
        <v>182.16385088029909</v>
      </c>
      <c r="AC195" s="84">
        <f>AC179*(1-'CC70 - %'!S$5/100)</f>
        <v>182.48663875387703</v>
      </c>
      <c r="AD195" s="84">
        <f>AD179*(1-'CC70 - %'!T$5/100)</f>
        <v>183.2238120425844</v>
      </c>
      <c r="AE195" s="84">
        <f>AE179*(1-'CC70 - %'!U$5/100)</f>
        <v>183.64411003114947</v>
      </c>
      <c r="AF195" s="84">
        <f>AF179*(1-'CC70 - %'!V$5/100)</f>
        <v>184.36057255349203</v>
      </c>
      <c r="AG195" s="84">
        <f>AG179*(1-'CC70 - %'!W$5/100)</f>
        <v>185.67356398870982</v>
      </c>
      <c r="AH195" s="84">
        <f>AH179*(1-'CC70 - %'!X$5/100)</f>
        <v>186.74759504470759</v>
      </c>
      <c r="AI195" s="84">
        <f>AI179*(1-'CC70 - %'!Y$5/100)</f>
        <v>188.14895193144218</v>
      </c>
      <c r="AJ195" s="84">
        <f>AJ179*(1-'CC70 - %'!Z$5/100)</f>
        <v>189.66579048463632</v>
      </c>
      <c r="AK195" s="84">
        <f>AK179*(1-'CC70 - %'!AA$5/100)</f>
        <v>190.57552675856127</v>
      </c>
      <c r="AL195" s="84">
        <f>AL179*(1-'CC70 - %'!AB$5/100)</f>
        <v>192.48800233156587</v>
      </c>
      <c r="AM195" s="84">
        <f>AM179*(1-'CC70 - %'!AC$5/100)</f>
        <v>194.00313134782539</v>
      </c>
      <c r="AN195" s="84">
        <f>AN179*(1-'CC70 - %'!AD$5/100)</f>
        <v>196.45096257035743</v>
      </c>
      <c r="AO195" s="84">
        <f>AO179*(1-'CC70 - %'!AE$5/100)</f>
        <v>198.20358182848724</v>
      </c>
      <c r="AP195" s="84">
        <f>AP179*(1-'CC70 - %'!AF$5/100)</f>
        <v>199.89510999224004</v>
      </c>
      <c r="AQ195" s="84">
        <f>AQ179*(1-'CC70 - %'!AG$5/100)</f>
        <v>201.71549804766107</v>
      </c>
      <c r="AR195" s="84">
        <f>AR179*(1-'CC70 - %'!AH$5/100)</f>
        <v>205.60983768481975</v>
      </c>
      <c r="AS195" s="84">
        <f>AS179*(1-'CC70 - %'!AI$5/100)</f>
        <v>208.95103741645153</v>
      </c>
      <c r="AT195" s="84">
        <f>AT179*(1-'CC70 - %'!AJ$5/100)</f>
        <v>212.42700571431129</v>
      </c>
      <c r="AU195" s="84">
        <f>AU179*(1-'CC70 - %'!AK$5/100)</f>
        <v>216.01570087735053</v>
      </c>
      <c r="AV195" s="84">
        <f>AV179*(1-'CC70 - %'!AL$5/100)</f>
        <v>219.74636399643103</v>
      </c>
      <c r="AW195" s="84">
        <f>AW179*(1-'CC70 - %'!AM$5/100)</f>
        <v>223.60529477523284</v>
      </c>
      <c r="AX195" s="84">
        <f>AX179*(1-'CC70 - %'!AN$5/100)</f>
        <v>227.55371776226835</v>
      </c>
      <c r="AY195" s="84">
        <f>AY179*(1-'CC70 - %'!AO$5/100)</f>
        <v>231.61255142628465</v>
      </c>
      <c r="AZ195" s="84">
        <f>AZ179*(1-'CC70 - %'!AP$5/100)</f>
        <v>235.76059874585425</v>
      </c>
      <c r="BA195" s="84">
        <f>BA179*(1-'CC70 - %'!AQ$5/100)</f>
        <v>239.99065694776297</v>
      </c>
      <c r="BB195" s="84">
        <f>BB179*(1-'CC70 - %'!AR$5/100)</f>
        <v>244.3521189641053</v>
      </c>
      <c r="BC195" s="84">
        <f>BC179*(1-'CC70 - %'!AS$5/100)</f>
        <v>248.76977151382712</v>
      </c>
      <c r="BD195" s="84">
        <f>BD179*(1-'CC70 - %'!AT$5/100)</f>
        <v>253.2738069373803</v>
      </c>
      <c r="BE195" s="84">
        <f>BE179*(1-'CC70 - %'!AU$5/100)</f>
        <v>257.78798133103311</v>
      </c>
      <c r="BF195" s="84">
        <f>BF179*(1-'CC70 - %'!AV$5/100)</f>
        <v>262.36278868759553</v>
      </c>
      <c r="BG195" s="84">
        <f>BG179*(1-'CC70 - %'!AW$5/100)</f>
        <v>267.00090147066749</v>
      </c>
      <c r="BH195" s="84">
        <f>BH179*(1-'CC70 - %'!AX$5/100)</f>
        <v>271.68903565883238</v>
      </c>
      <c r="BI195" s="84">
        <f>BI179*(1-'CC70 - %'!AY$5/100)</f>
        <v>276.42959922337781</v>
      </c>
      <c r="BJ195" s="84">
        <f>BJ179*(1-'CC70 - %'!AZ$5/100)</f>
        <v>281.27335123282995</v>
      </c>
      <c r="BK195" s="84">
        <f>BK179*(1-'CC70 - %'!BA$5/100)</f>
        <v>286.2173398474846</v>
      </c>
    </row>
    <row r="196" spans="1:63" x14ac:dyDescent="0.3">
      <c r="A196" s="357"/>
      <c r="C196" s="297"/>
      <c r="D196" s="298"/>
      <c r="E196" s="298"/>
      <c r="F196" s="298"/>
      <c r="G196" s="298"/>
      <c r="H196" s="293"/>
      <c r="I196" s="293"/>
      <c r="J196" s="299"/>
      <c r="K196" s="84"/>
      <c r="L196" s="84"/>
      <c r="M196" s="84"/>
      <c r="N196" s="84"/>
      <c r="O196" s="84"/>
      <c r="P196" s="84"/>
      <c r="Q196" s="84"/>
      <c r="R196" s="84"/>
      <c r="S196" s="84"/>
    </row>
    <row r="197" spans="1:63" x14ac:dyDescent="0.3">
      <c r="A197" s="386" t="s">
        <v>429</v>
      </c>
      <c r="B197" t="s">
        <v>412</v>
      </c>
      <c r="C197" s="297">
        <v>0</v>
      </c>
      <c r="D197" s="298">
        <v>0</v>
      </c>
      <c r="E197" s="298">
        <f t="shared" si="97"/>
        <v>33.695897822782577</v>
      </c>
      <c r="F197" s="298">
        <f t="shared" si="98"/>
        <v>100.68679007235603</v>
      </c>
      <c r="G197" s="298">
        <f t="shared" si="99"/>
        <v>269.87763586315577</v>
      </c>
      <c r="H197" s="293">
        <f t="shared" si="100"/>
        <v>526.67793361027111</v>
      </c>
      <c r="I197" s="293">
        <f t="shared" si="101"/>
        <v>716.66433652737589</v>
      </c>
      <c r="J197" s="299">
        <f t="shared" si="102"/>
        <v>971.81025214758563</v>
      </c>
      <c r="K197" s="82">
        <f>K165</f>
        <v>769</v>
      </c>
      <c r="L197" s="82">
        <f>L165</f>
        <v>567</v>
      </c>
      <c r="M197" s="82">
        <f>M165</f>
        <v>831.7</v>
      </c>
      <c r="N197" s="82">
        <f>N165</f>
        <v>1015.3</v>
      </c>
      <c r="O197" s="82">
        <f>O165*('CC70 - %'!F$5/100)</f>
        <v>10.502652263946095</v>
      </c>
      <c r="P197" s="82">
        <f>P165*('CC70 - %'!G$5/100)</f>
        <v>21.623192754753717</v>
      </c>
      <c r="Q197" s="82">
        <f>Q165*('CC70 - %'!G$5/100)</f>
        <v>21.731308718527483</v>
      </c>
      <c r="R197" s="82">
        <f>R165*('CC70 - %'!H$5/100)</f>
        <v>33.695897822782577</v>
      </c>
      <c r="S197" s="82">
        <f>S165*('CC70 - %'!I$5/100)</f>
        <v>46.103345949399625</v>
      </c>
      <c r="T197" s="82">
        <f>T165*('CC70 - %'!J$5/100)</f>
        <v>58.898340525547361</v>
      </c>
      <c r="U197" s="82">
        <f>U165*('CC70 - %'!K$5/100)</f>
        <v>72.652824973426334</v>
      </c>
      <c r="V197" s="82">
        <f>V165*('CC70 - %'!L$5/100)</f>
        <v>86.800078880810602</v>
      </c>
      <c r="W197" s="82">
        <f>W165*('CC70 - %'!M$5/100)</f>
        <v>100.68679007235603</v>
      </c>
      <c r="X197" s="82">
        <f>X165*('CC70 - %'!N$5/100)</f>
        <v>115.19943090680094</v>
      </c>
      <c r="Y197" s="82">
        <f>Y165*('CC70 - %'!O$5/100)</f>
        <v>130.9950994487572</v>
      </c>
      <c r="Z197" s="82">
        <f>Z165*('CC70 - %'!P$5/100)</f>
        <v>146.39445200018289</v>
      </c>
      <c r="AA197" s="82">
        <f>AA165*('CC70 - %'!Q$5/100)</f>
        <v>162.8447661160389</v>
      </c>
      <c r="AB197" s="82">
        <f>AB165*('CC70 - %'!R$5/100)</f>
        <v>178.96024735255421</v>
      </c>
      <c r="AC197" s="82">
        <f>AC165*('CC70 - %'!S$5/100)</f>
        <v>195.59273040057738</v>
      </c>
      <c r="AD197" s="82">
        <f>AD165*('CC70 - %'!T$5/100)</f>
        <v>213.1895776454966</v>
      </c>
      <c r="AE197" s="82">
        <f>AE165*('CC70 - %'!U$5/100)</f>
        <v>230.96543464692127</v>
      </c>
      <c r="AF197" s="82">
        <f>AF165*('CC70 - %'!V$5/100)</f>
        <v>249.6799370108333</v>
      </c>
      <c r="AG197" s="82">
        <f>AG165*('CC70 - %'!W$5/100)</f>
        <v>269.87763586315577</v>
      </c>
      <c r="AH197" s="82">
        <f>AH165*('CC70 - %'!X$5/100)</f>
        <v>290.46452952717334</v>
      </c>
      <c r="AI197" s="82">
        <f>AI165*('CC70 - %'!Y$5/100)</f>
        <v>312.3349597017604</v>
      </c>
      <c r="AJ197" s="82">
        <f>AJ165*('CC70 - %'!Z$5/100)</f>
        <v>335.24879801993615</v>
      </c>
      <c r="AK197" s="82">
        <f>AK165*('CC70 - %'!AA$5/100)</f>
        <v>357.92038094033211</v>
      </c>
      <c r="AL197" s="82">
        <f>AL165*('CC70 - %'!AB$5/100)</f>
        <v>383.38505267244011</v>
      </c>
      <c r="AM197" s="82">
        <f>AM165*('CC70 - %'!AC$5/100)</f>
        <v>409.07407405095984</v>
      </c>
      <c r="AN197" s="82">
        <f>AN165*('CC70 - %'!AD$5/100)</f>
        <v>437.85230254086042</v>
      </c>
      <c r="AO197" s="82">
        <f>AO165*('CC70 - %'!AE$5/100)</f>
        <v>466.27811484472528</v>
      </c>
      <c r="AP197" s="82">
        <f>AP165*('CC70 - %'!AF$5/100)</f>
        <v>495.71284487604021</v>
      </c>
      <c r="AQ197" s="82">
        <f>AQ165*('CC70 - %'!AG$5/100)</f>
        <v>526.67793361027111</v>
      </c>
      <c r="AR197" s="82">
        <f>AR165*('CC70 - %'!AH$5/100)</f>
        <v>544.26702289751574</v>
      </c>
      <c r="AS197" s="82">
        <f>AS165*('CC70 - %'!AI$5/100)</f>
        <v>560.71767684596023</v>
      </c>
      <c r="AT197" s="82">
        <f>AT165*('CC70 - %'!AJ$5/100)</f>
        <v>577.8444941506857</v>
      </c>
      <c r="AU197" s="82">
        <f>AU165*('CC70 - %'!AK$5/100)</f>
        <v>595.60547884558332</v>
      </c>
      <c r="AV197" s="82">
        <f>AV165*('CC70 - %'!AL$5/100)</f>
        <v>614.09896538798534</v>
      </c>
      <c r="AW197" s="82">
        <f>AW165*('CC70 - %'!AM$5/100)</f>
        <v>633.30634564103286</v>
      </c>
      <c r="AX197" s="82">
        <f>AX165*('CC70 - %'!AN$5/100)</f>
        <v>653.1352912165114</v>
      </c>
      <c r="AY197" s="82">
        <f>AY165*('CC70 - %'!AO$5/100)</f>
        <v>673.66146614802267</v>
      </c>
      <c r="AZ197" s="82">
        <f>AZ165*('CC70 - %'!AP$5/100)</f>
        <v>694.83988581927997</v>
      </c>
      <c r="BA197" s="82">
        <f>BA165*('CC70 - %'!AQ$5/100)</f>
        <v>716.66433652737589</v>
      </c>
      <c r="BB197" s="82">
        <f>BB165*('CC70 - %'!AR$5/100)</f>
        <v>739.29895338450024</v>
      </c>
      <c r="BC197" s="82">
        <f>BC165*('CC70 - %'!AS$5/100)</f>
        <v>762.53400271778253</v>
      </c>
      <c r="BD197" s="82">
        <f>BD165*('CC70 - %'!AT$5/100)</f>
        <v>786.4753660681755</v>
      </c>
      <c r="BE197" s="82">
        <f>BE165*('CC70 - %'!AU$5/100)</f>
        <v>810.89918736975892</v>
      </c>
      <c r="BF197" s="82">
        <f>BF165*('CC70 - %'!AV$5/100)</f>
        <v>835.97328106533359</v>
      </c>
      <c r="BG197" s="82">
        <f>BG165*('CC70 - %'!AW$5/100)</f>
        <v>861.71952139244195</v>
      </c>
      <c r="BH197" s="82">
        <f>BH165*('CC70 - %'!AX$5/100)</f>
        <v>888.10827998526031</v>
      </c>
      <c r="BI197" s="82">
        <f>BI165*('CC70 - %'!AY$5/100)</f>
        <v>915.15988120872282</v>
      </c>
      <c r="BJ197" s="82">
        <f>BJ165*('CC70 - %'!AZ$5/100)</f>
        <v>943.05736592913399</v>
      </c>
      <c r="BK197" s="82">
        <f>BK165*('CC70 - %'!BA$5/100)</f>
        <v>971.81025214758563</v>
      </c>
    </row>
    <row r="198" spans="1:63" x14ac:dyDescent="0.3">
      <c r="A198" s="386"/>
      <c r="B198" t="s">
        <v>413</v>
      </c>
      <c r="C198" s="297">
        <v>0</v>
      </c>
      <c r="D198" s="298">
        <v>0</v>
      </c>
      <c r="E198" s="298">
        <f t="shared" si="97"/>
        <v>4.3523412666873176</v>
      </c>
      <c r="F198" s="298">
        <f t="shared" si="98"/>
        <v>12.973555508726268</v>
      </c>
      <c r="G198" s="298">
        <f t="shared" si="99"/>
        <v>34.610139084557254</v>
      </c>
      <c r="H198" s="293">
        <f t="shared" si="100"/>
        <v>67.238535555761672</v>
      </c>
      <c r="I198" s="293">
        <f t="shared" si="101"/>
        <v>91.097598396366237</v>
      </c>
      <c r="J198" s="299">
        <f t="shared" si="102"/>
        <v>123.01752647148896</v>
      </c>
      <c r="K198" s="82">
        <f t="shared" ref="K198:N198" si="122">K166</f>
        <v>30.379732311994736</v>
      </c>
      <c r="L198" s="82">
        <f t="shared" si="122"/>
        <v>115.22607457378612</v>
      </c>
      <c r="M198" s="82">
        <f t="shared" si="122"/>
        <v>123.19989497262668</v>
      </c>
      <c r="N198" s="82">
        <f t="shared" si="122"/>
        <v>131.33708370927823</v>
      </c>
      <c r="O198" s="82">
        <f>O166*('CC70 - %'!F$5/100)</f>
        <v>1.3586011223868106</v>
      </c>
      <c r="P198" s="82">
        <f>P166*('CC70 - %'!G$5/100)</f>
        <v>2.7971309730059568</v>
      </c>
      <c r="Q198" s="82">
        <f>Q166*('CC70 - %'!G$5/100)</f>
        <v>2.808319496897981</v>
      </c>
      <c r="R198" s="82">
        <f>R166*('CC70 - %'!H$5/100)</f>
        <v>4.3523412666873176</v>
      </c>
      <c r="S198" s="82">
        <f>S166*('CC70 - %'!I$5/100)</f>
        <v>5.9520228019070451</v>
      </c>
      <c r="T198" s="82">
        <f>T166*('CC70 - %'!J$5/100)</f>
        <v>7.6001538366603825</v>
      </c>
      <c r="U198" s="82">
        <f>U166*('CC70 - %'!K$5/100)</f>
        <v>9.3704394460453972</v>
      </c>
      <c r="V198" s="82">
        <f>V166*('CC70 - %'!L$5/100)</f>
        <v>11.189653529600697</v>
      </c>
      <c r="W198" s="82">
        <f>W166*('CC70 - %'!M$5/100)</f>
        <v>12.973555508726268</v>
      </c>
      <c r="X198" s="82">
        <f>X166*('CC70 - %'!N$5/100)</f>
        <v>14.836374166376736</v>
      </c>
      <c r="Y198" s="82">
        <f>Y166*('CC70 - %'!O$5/100)</f>
        <v>16.862592220627128</v>
      </c>
      <c r="Z198" s="82">
        <f>Z166*('CC70 - %'!P$5/100)</f>
        <v>18.835912577135968</v>
      </c>
      <c r="AA198" s="82">
        <f>AA166*('CC70 - %'!Q$5/100)</f>
        <v>20.94254798600446</v>
      </c>
      <c r="AB198" s="82">
        <f>AB166*('CC70 - %'!R$5/100)</f>
        <v>23.004185147716559</v>
      </c>
      <c r="AC198" s="82">
        <f>AC166*('CC70 - %'!S$5/100)</f>
        <v>25.130345341494682</v>
      </c>
      <c r="AD198" s="82">
        <f>AD166*('CC70 - %'!T$5/100)</f>
        <v>27.378400427509629</v>
      </c>
      <c r="AE198" s="82">
        <f>AE166*('CC70 - %'!U$5/100)</f>
        <v>29.64738072504721</v>
      </c>
      <c r="AF198" s="82">
        <f>AF166*('CC70 - %'!V$5/100)</f>
        <v>32.034732639065062</v>
      </c>
      <c r="AG198" s="82">
        <f>AG166*('CC70 - %'!W$5/100)</f>
        <v>34.610139084557254</v>
      </c>
      <c r="AH198" s="82">
        <f>AH166*('CC70 - %'!X$5/100)</f>
        <v>37.233118273510073</v>
      </c>
      <c r="AI198" s="82">
        <f>AI166*('CC70 - %'!Y$5/100)</f>
        <v>40.018206448566943</v>
      </c>
      <c r="AJ198" s="82">
        <f>AJ166*('CC70 - %'!Z$5/100)</f>
        <v>42.934442344093931</v>
      </c>
      <c r="AK198" s="82">
        <f>AK166*('CC70 - %'!AA$5/100)</f>
        <v>45.817084549764068</v>
      </c>
      <c r="AL198" s="82">
        <f>AL166*('CC70 - %'!AB$5/100)</f>
        <v>49.054569385787268</v>
      </c>
      <c r="AM198" s="82">
        <f>AM166*('CC70 - %'!AC$5/100)</f>
        <v>52.317906326096441</v>
      </c>
      <c r="AN198" s="82">
        <f>AN166*('CC70 - %'!AD$5/100)</f>
        <v>55.973308832894062</v>
      </c>
      <c r="AO198" s="82">
        <f>AO166*('CC70 - %'!AE$5/100)</f>
        <v>59.580500415776442</v>
      </c>
      <c r="AP198" s="82">
        <f>AP166*('CC70 - %'!AF$5/100)</f>
        <v>63.313435851633393</v>
      </c>
      <c r="AQ198" s="82">
        <f>AQ166*('CC70 - %'!AG$5/100)</f>
        <v>67.238535555761672</v>
      </c>
      <c r="AR198" s="82">
        <f>AR166*('CC70 - %'!AH$5/100)</f>
        <v>69.453377563086306</v>
      </c>
      <c r="AS198" s="82">
        <f>AS166*('CC70 - %'!AI$5/100)</f>
        <v>71.521173422323372</v>
      </c>
      <c r="AT198" s="82">
        <f>AT166*('CC70 - %'!AJ$5/100)</f>
        <v>73.67348264140135</v>
      </c>
      <c r="AU198" s="82">
        <f>AU166*('CC70 - %'!AK$5/100)</f>
        <v>75.904852221519405</v>
      </c>
      <c r="AV198" s="82">
        <f>AV166*('CC70 - %'!AL$5/100)</f>
        <v>78.227715545372646</v>
      </c>
      <c r="AW198" s="82">
        <f>AW166*('CC70 - %'!AM$5/100)</f>
        <v>80.639594763425066</v>
      </c>
      <c r="AX198" s="82">
        <f>AX166*('CC70 - %'!AN$5/100)</f>
        <v>83.128634263679132</v>
      </c>
      <c r="AY198" s="82">
        <f>AY166*('CC70 - %'!AO$5/100)</f>
        <v>85.704371828387352</v>
      </c>
      <c r="AZ198" s="82">
        <f>AZ166*('CC70 - %'!AP$5/100)</f>
        <v>88.360987033646651</v>
      </c>
      <c r="BA198" s="82">
        <f>BA166*('CC70 - %'!AQ$5/100)</f>
        <v>91.097598396366237</v>
      </c>
      <c r="BB198" s="82">
        <f>BB166*('CC70 - %'!AR$5/100)</f>
        <v>93.934971045002897</v>
      </c>
      <c r="BC198" s="82">
        <f>BC166*('CC70 - %'!AS$5/100)</f>
        <v>96.846352191296546</v>
      </c>
      <c r="BD198" s="82">
        <f>BD166*('CC70 - %'!AT$5/100)</f>
        <v>99.845103012029199</v>
      </c>
      <c r="BE198" s="82">
        <f>BE166*('CC70 - %'!AU$5/100)</f>
        <v>102.90271938462129</v>
      </c>
      <c r="BF198" s="82">
        <f>BF166*('CC70 - %'!AV$5/100)</f>
        <v>106.04042748590493</v>
      </c>
      <c r="BG198" s="82">
        <f>BG166*('CC70 - %'!AW$5/100)</f>
        <v>109.26091437010291</v>
      </c>
      <c r="BH198" s="82">
        <f>BH166*('CC70 - %'!AX$5/100)</f>
        <v>112.56033575937302</v>
      </c>
      <c r="BI198" s="82">
        <f>BI166*('CC70 - %'!AY$5/100)</f>
        <v>115.94118284316859</v>
      </c>
      <c r="BJ198" s="82">
        <f>BJ166*('CC70 - %'!AZ$5/100)</f>
        <v>119.42654937186734</v>
      </c>
      <c r="BK198" s="82">
        <f>BK166*('CC70 - %'!BA$5/100)</f>
        <v>123.01752647148896</v>
      </c>
    </row>
    <row r="199" spans="1:63" x14ac:dyDescent="0.3">
      <c r="A199" s="386"/>
      <c r="B199" t="s">
        <v>414</v>
      </c>
      <c r="C199" s="297">
        <v>0</v>
      </c>
      <c r="D199" s="298">
        <v>0</v>
      </c>
      <c r="E199" s="298">
        <f t="shared" si="97"/>
        <v>5.6335803600957712</v>
      </c>
      <c r="F199" s="298">
        <f t="shared" si="98"/>
        <v>16.792701453349377</v>
      </c>
      <c r="G199" s="298">
        <f t="shared" si="99"/>
        <v>44.798646948783144</v>
      </c>
      <c r="H199" s="293">
        <f t="shared" si="100"/>
        <v>87.0321673182696</v>
      </c>
      <c r="I199" s="293">
        <f t="shared" si="101"/>
        <v>117.91484392681254</v>
      </c>
      <c r="J199" s="299">
        <f t="shared" si="102"/>
        <v>159.231337483061</v>
      </c>
      <c r="K199" s="82">
        <f t="shared" ref="K199:N199" si="123">K167</f>
        <v>200</v>
      </c>
      <c r="L199" s="82">
        <f t="shared" si="123"/>
        <v>200</v>
      </c>
      <c r="M199" s="82">
        <f t="shared" si="123"/>
        <v>200</v>
      </c>
      <c r="N199" s="82">
        <f t="shared" si="123"/>
        <v>170</v>
      </c>
      <c r="O199" s="82">
        <f>O167*('CC70 - %'!F$5/100)</f>
        <v>1.7585451441651103</v>
      </c>
      <c r="P199" s="82">
        <f>P167*('CC70 - %'!G$5/100)</f>
        <v>3.6205483781228534</v>
      </c>
      <c r="Q199" s="82">
        <f>Q167*('CC70 - %'!G$5/100)</f>
        <v>3.6350305716353444</v>
      </c>
      <c r="R199" s="82">
        <f>R167*('CC70 - %'!H$5/100)</f>
        <v>5.6335803600957712</v>
      </c>
      <c r="S199" s="82">
        <f>S167*('CC70 - %'!I$5/100)</f>
        <v>7.7041749957229841</v>
      </c>
      <c r="T199" s="82">
        <f>T167*('CC70 - %'!J$5/100)</f>
        <v>9.8374816597286046</v>
      </c>
      <c r="U199" s="82">
        <f>U167*('CC70 - %'!K$5/100)</f>
        <v>12.128902674235206</v>
      </c>
      <c r="V199" s="82">
        <f>V167*('CC70 - %'!L$5/100)</f>
        <v>14.483655691966122</v>
      </c>
      <c r="W199" s="82">
        <f>W167*('CC70 - %'!M$5/100)</f>
        <v>16.792701453349377</v>
      </c>
      <c r="X199" s="82">
        <f>X167*('CC70 - %'!N$5/100)</f>
        <v>19.203895328352466</v>
      </c>
      <c r="Y199" s="82">
        <f>Y167*('CC70 - %'!O$5/100)</f>
        <v>21.826589996866968</v>
      </c>
      <c r="Z199" s="82">
        <f>Z167*('CC70 - %'!P$5/100)</f>
        <v>24.380814981404249</v>
      </c>
      <c r="AA199" s="82">
        <f>AA167*('CC70 - %'!Q$5/100)</f>
        <v>27.107600207581342</v>
      </c>
      <c r="AB199" s="82">
        <f>AB167*('CC70 - %'!R$5/100)</f>
        <v>29.776140634951108</v>
      </c>
      <c r="AC199" s="82">
        <f>AC167*('CC70 - %'!S$5/100)</f>
        <v>32.528198338184147</v>
      </c>
      <c r="AD199" s="82">
        <f>AD167*('CC70 - %'!T$5/100)</f>
        <v>35.438034264406582</v>
      </c>
      <c r="AE199" s="82">
        <f>AE167*('CC70 - %'!U$5/100)</f>
        <v>38.374955350877599</v>
      </c>
      <c r="AF199" s="82">
        <f>AF167*('CC70 - %'!V$5/100)</f>
        <v>41.465094205196962</v>
      </c>
      <c r="AG199" s="82">
        <f>AG167*('CC70 - %'!W$5/100)</f>
        <v>44.798646948783144</v>
      </c>
      <c r="AH199" s="82">
        <f>AH167*('CC70 - %'!X$5/100)</f>
        <v>48.193776865852236</v>
      </c>
      <c r="AI199" s="82">
        <f>AI167*('CC70 - %'!Y$5/100)</f>
        <v>51.798737295822711</v>
      </c>
      <c r="AJ199" s="82">
        <f>AJ167*('CC70 - %'!Z$5/100)</f>
        <v>55.573452617939822</v>
      </c>
      <c r="AK199" s="82">
        <f>AK167*('CC70 - %'!AA$5/100)</f>
        <v>59.304684963928814</v>
      </c>
      <c r="AL199" s="82">
        <f>AL167*('CC70 - %'!AB$5/100)</f>
        <v>63.495218258715703</v>
      </c>
      <c r="AM199" s="82">
        <f>AM167*('CC70 - %'!AC$5/100)</f>
        <v>67.719213981664495</v>
      </c>
      <c r="AN199" s="82">
        <f>AN167*('CC70 - %'!AD$5/100)</f>
        <v>72.450691250728426</v>
      </c>
      <c r="AO199" s="82">
        <f>AO167*('CC70 - %'!AE$5/100)</f>
        <v>77.119765298751332</v>
      </c>
      <c r="AP199" s="82">
        <f>AP167*('CC70 - %'!AF$5/100)</f>
        <v>81.951599584796554</v>
      </c>
      <c r="AQ199" s="82">
        <f>AQ167*('CC70 - %'!AG$5/100)</f>
        <v>87.0321673182696</v>
      </c>
      <c r="AR199" s="82">
        <f>AR167*('CC70 - %'!AH$5/100)</f>
        <v>89.899012923572087</v>
      </c>
      <c r="AS199" s="82">
        <f>AS167*('CC70 - %'!AI$5/100)</f>
        <v>92.575525041417023</v>
      </c>
      <c r="AT199" s="82">
        <f>AT167*('CC70 - %'!AJ$5/100)</f>
        <v>95.361429501220485</v>
      </c>
      <c r="AU199" s="82">
        <f>AU167*('CC70 - %'!AK$5/100)</f>
        <v>98.249668054314441</v>
      </c>
      <c r="AV199" s="82">
        <f>AV167*('CC70 - %'!AL$5/100)</f>
        <v>101.25633421365413</v>
      </c>
      <c r="AW199" s="82">
        <f>AW167*('CC70 - %'!AM$5/100)</f>
        <v>104.37822070213831</v>
      </c>
      <c r="AX199" s="82">
        <f>AX167*('CC70 - %'!AN$5/100)</f>
        <v>107.59998186123201</v>
      </c>
      <c r="AY199" s="82">
        <f>AY167*('CC70 - %'!AO$5/100)</f>
        <v>110.93396319867098</v>
      </c>
      <c r="AZ199" s="82">
        <f>AZ167*('CC70 - %'!AP$5/100)</f>
        <v>114.37263087834765</v>
      </c>
      <c r="BA199" s="82">
        <f>BA167*('CC70 - %'!AQ$5/100)</f>
        <v>117.91484392681254</v>
      </c>
      <c r="BB199" s="82">
        <f>BB167*('CC70 - %'!AR$5/100)</f>
        <v>121.58748029611051</v>
      </c>
      <c r="BC199" s="82">
        <f>BC167*('CC70 - %'!AS$5/100)</f>
        <v>125.35591173140482</v>
      </c>
      <c r="BD199" s="82">
        <f>BD167*('CC70 - %'!AT$5/100)</f>
        <v>129.23743266309381</v>
      </c>
      <c r="BE199" s="82">
        <f>BE167*('CC70 - %'!AU$5/100)</f>
        <v>133.19514794548311</v>
      </c>
      <c r="BF199" s="82">
        <f>BF167*('CC70 - %'!AV$5/100)</f>
        <v>137.25653230208229</v>
      </c>
      <c r="BG199" s="82">
        <f>BG167*('CC70 - %'!AW$5/100)</f>
        <v>141.42506380020461</v>
      </c>
      <c r="BH199" s="82">
        <f>BH167*('CC70 - %'!AX$5/100)</f>
        <v>145.69576648626014</v>
      </c>
      <c r="BI199" s="82">
        <f>BI167*('CC70 - %'!AY$5/100)</f>
        <v>150.07186490426275</v>
      </c>
      <c r="BJ199" s="82">
        <f>BJ167*('CC70 - %'!AZ$5/100)</f>
        <v>154.58325112622538</v>
      </c>
      <c r="BK199" s="82">
        <f>BK167*('CC70 - %'!BA$5/100)</f>
        <v>159.231337483061</v>
      </c>
    </row>
    <row r="200" spans="1:63" x14ac:dyDescent="0.3">
      <c r="A200" s="386"/>
      <c r="B200" t="s">
        <v>415</v>
      </c>
      <c r="C200" s="297">
        <v>0</v>
      </c>
      <c r="D200" s="298">
        <v>0</v>
      </c>
      <c r="E200" s="298">
        <f t="shared" si="97"/>
        <v>13.964651551437399</v>
      </c>
      <c r="F200" s="298">
        <f t="shared" si="98"/>
        <v>41.626143484949573</v>
      </c>
      <c r="G200" s="298">
        <f t="shared" si="99"/>
        <v>111.04794014245417</v>
      </c>
      <c r="H200" s="293">
        <f t="shared" si="100"/>
        <v>215.73738416422827</v>
      </c>
      <c r="I200" s="293">
        <f t="shared" si="101"/>
        <v>292.29008959269891</v>
      </c>
      <c r="J200" s="299">
        <f t="shared" si="102"/>
        <v>394.70638597271716</v>
      </c>
      <c r="K200" s="82">
        <f t="shared" ref="K200:N200" si="124">K168</f>
        <v>466</v>
      </c>
      <c r="L200" s="82">
        <f t="shared" si="124"/>
        <v>438</v>
      </c>
      <c r="M200" s="82">
        <f t="shared" si="124"/>
        <v>367.7</v>
      </c>
      <c r="N200" s="82">
        <f t="shared" si="124"/>
        <v>421.4</v>
      </c>
      <c r="O200" s="82">
        <f>O168*('CC70 - %'!F$5/100)</f>
        <v>4.3591230808892787</v>
      </c>
      <c r="P200" s="82">
        <f>P168*('CC70 - %'!G$5/100)</f>
        <v>8.9747005090645313</v>
      </c>
      <c r="Q200" s="82">
        <f>Q168*('CC70 - %'!G$5/100)</f>
        <v>9.0105993111007887</v>
      </c>
      <c r="R200" s="82">
        <f>R168*('CC70 - %'!H$5/100)</f>
        <v>13.964651551437399</v>
      </c>
      <c r="S200" s="82">
        <f>S168*('CC70 - %'!I$5/100)</f>
        <v>19.097290254103914</v>
      </c>
      <c r="T200" s="82">
        <f>T168*('CC70 - %'!J$5/100)</f>
        <v>24.385381008291965</v>
      </c>
      <c r="U200" s="82">
        <f>U168*('CC70 - %'!K$5/100)</f>
        <v>30.065409334839504</v>
      </c>
      <c r="V200" s="82">
        <f>V168*('CC70 - %'!L$5/100)</f>
        <v>35.90242652114425</v>
      </c>
      <c r="W200" s="82">
        <f>W168*('CC70 - %'!M$5/100)</f>
        <v>41.626143484949573</v>
      </c>
      <c r="X200" s="82">
        <f>X168*('CC70 - %'!N$5/100)</f>
        <v>47.603067596280752</v>
      </c>
      <c r="Y200" s="82">
        <f>Y168*('CC70 - %'!O$5/100)</f>
        <v>54.104264851057273</v>
      </c>
      <c r="Z200" s="82">
        <f>Z168*('CC70 - %'!P$5/100)</f>
        <v>60.435737842139687</v>
      </c>
      <c r="AA200" s="82">
        <f>AA168*('CC70 - %'!Q$5/100)</f>
        <v>67.194957220439846</v>
      </c>
      <c r="AB200" s="82">
        <f>AB168*('CC70 - %'!R$5/100)</f>
        <v>73.809798020990556</v>
      </c>
      <c r="AC200" s="82">
        <f>AC168*('CC70 - %'!S$5/100)</f>
        <v>80.631663410063496</v>
      </c>
      <c r="AD200" s="82">
        <f>AD168*('CC70 - %'!T$5/100)</f>
        <v>87.844633170711347</v>
      </c>
      <c r="AE200" s="82">
        <f>AE168*('CC70 - %'!U$5/100)</f>
        <v>95.124742263881274</v>
      </c>
      <c r="AF200" s="82">
        <f>AF168*('CC70 - %'!V$5/100)</f>
        <v>102.78465116511761</v>
      </c>
      <c r="AG200" s="82">
        <f>AG168*('CC70 - %'!W$5/100)</f>
        <v>111.04794014245417</v>
      </c>
      <c r="AH200" s="82">
        <f>AH168*('CC70 - %'!X$5/100)</f>
        <v>119.46386806629485</v>
      </c>
      <c r="AI200" s="82">
        <f>AI168*('CC70 - %'!Y$5/100)</f>
        <v>128.39992880270401</v>
      </c>
      <c r="AJ200" s="82">
        <f>AJ168*('CC70 - %'!Z$5/100)</f>
        <v>137.75678195999899</v>
      </c>
      <c r="AK200" s="82">
        <f>AK168*('CC70 - %'!AA$5/100)</f>
        <v>147.00584849293881</v>
      </c>
      <c r="AL200" s="82">
        <f>AL168*('CC70 - %'!AB$5/100)</f>
        <v>157.39344102483994</v>
      </c>
      <c r="AM200" s="82">
        <f>AM168*('CC70 - %'!AC$5/100)</f>
        <v>167.86398101102009</v>
      </c>
      <c r="AN200" s="82">
        <f>AN168*('CC70 - %'!AD$5/100)</f>
        <v>179.59247819445264</v>
      </c>
      <c r="AO200" s="82">
        <f>AO168*('CC70 - %'!AE$5/100)</f>
        <v>191.16628880525769</v>
      </c>
      <c r="AP200" s="82">
        <f>AP168*('CC70 - %'!AF$5/100)</f>
        <v>203.14355332372509</v>
      </c>
      <c r="AQ200" s="82">
        <f>AQ168*('CC70 - %'!AG$5/100)</f>
        <v>215.73738416422827</v>
      </c>
      <c r="AR200" s="82">
        <f>AR168*('CC70 - %'!AH$5/100)</f>
        <v>222.84378850584281</v>
      </c>
      <c r="AS200" s="82">
        <f>AS168*('CC70 - %'!AI$5/100)</f>
        <v>229.47838972031261</v>
      </c>
      <c r="AT200" s="82">
        <f>AT168*('CC70 - %'!AJ$5/100)</f>
        <v>236.38415524596653</v>
      </c>
      <c r="AU200" s="82">
        <f>AU168*('CC70 - %'!AK$5/100)</f>
        <v>243.54358892993008</v>
      </c>
      <c r="AV200" s="82">
        <f>AV168*('CC70 - %'!AL$5/100)</f>
        <v>250.99658375078744</v>
      </c>
      <c r="AW200" s="82">
        <f>AW168*('CC70 - %'!AM$5/100)</f>
        <v>258.73518943459464</v>
      </c>
      <c r="AX200" s="82">
        <f>AX168*('CC70 - %'!AN$5/100)</f>
        <v>266.72136680190107</v>
      </c>
      <c r="AY200" s="82">
        <f>AY168*('CC70 - %'!AO$5/100)</f>
        <v>274.98571818776452</v>
      </c>
      <c r="AZ200" s="82">
        <f>AZ168*('CC70 - %'!AP$5/100)</f>
        <v>283.50956854197477</v>
      </c>
      <c r="BA200" s="82">
        <f>BA168*('CC70 - %'!AQ$5/100)</f>
        <v>292.29008959269891</v>
      </c>
      <c r="BB200" s="82">
        <f>BB168*('CC70 - %'!AR$5/100)</f>
        <v>301.39390703988812</v>
      </c>
      <c r="BC200" s="82">
        <f>BC168*('CC70 - %'!AS$5/100)</f>
        <v>310.73518355067051</v>
      </c>
      <c r="BD200" s="82">
        <f>BD168*('CC70 - %'!AT$5/100)</f>
        <v>320.35678896604554</v>
      </c>
      <c r="BE200" s="82">
        <f>BE168*('CC70 - %'!AU$5/100)</f>
        <v>330.16726673074464</v>
      </c>
      <c r="BF200" s="82">
        <f>BF168*('CC70 - %'!AV$5/100)</f>
        <v>340.23472183586756</v>
      </c>
      <c r="BG200" s="82">
        <f>BG168*('CC70 - %'!AW$5/100)</f>
        <v>350.56777579650725</v>
      </c>
      <c r="BH200" s="82">
        <f>BH168*('CC70 - %'!AX$5/100)</f>
        <v>361.15409410182372</v>
      </c>
      <c r="BI200" s="82">
        <f>BI168*('CC70 - %'!AY$5/100)</f>
        <v>372.00166982739017</v>
      </c>
      <c r="BJ200" s="82">
        <f>BJ168*('CC70 - %'!AZ$5/100)</f>
        <v>383.18460014465518</v>
      </c>
      <c r="BK200" s="82">
        <f>BK168*('CC70 - %'!BA$5/100)</f>
        <v>394.70638597271716</v>
      </c>
    </row>
    <row r="201" spans="1:63" x14ac:dyDescent="0.3">
      <c r="A201" s="386"/>
      <c r="B201" t="s">
        <v>416</v>
      </c>
      <c r="C201" s="297">
        <v>0</v>
      </c>
      <c r="D201" s="298">
        <v>0</v>
      </c>
      <c r="E201" s="298">
        <f t="shared" si="97"/>
        <v>20.565882185149622</v>
      </c>
      <c r="F201" s="298">
        <f t="shared" si="98"/>
        <v>61.303238364403661</v>
      </c>
      <c r="G201" s="298">
        <f t="shared" si="99"/>
        <v>163.54141350832248</v>
      </c>
      <c r="H201" s="293">
        <f t="shared" si="100"/>
        <v>317.71860610422431</v>
      </c>
      <c r="I201" s="293">
        <f t="shared" si="101"/>
        <v>430.45854200576417</v>
      </c>
      <c r="J201" s="299">
        <f t="shared" si="102"/>
        <v>581.28804730581032</v>
      </c>
      <c r="K201" s="82">
        <f t="shared" ref="K201:N201" si="125">K169</f>
        <v>517</v>
      </c>
      <c r="L201" s="82">
        <f t="shared" si="125"/>
        <v>742</v>
      </c>
      <c r="M201" s="82">
        <f t="shared" si="125"/>
        <v>650.4</v>
      </c>
      <c r="N201" s="82">
        <f t="shared" si="125"/>
        <v>620.6</v>
      </c>
      <c r="O201" s="82">
        <f>O169*('CC70 - %'!F$5/100)</f>
        <v>6.4197242145227493</v>
      </c>
      <c r="P201" s="82">
        <f>P169*('CC70 - %'!G$5/100)</f>
        <v>13.217131314488485</v>
      </c>
      <c r="Q201" s="82">
        <f>Q169*('CC70 - %'!G$5/100)</f>
        <v>13.26999983974644</v>
      </c>
      <c r="R201" s="82">
        <f>R169*('CC70 - %'!H$5/100)</f>
        <v>20.565882185149622</v>
      </c>
      <c r="S201" s="82">
        <f>S169*('CC70 - %'!I$5/100)</f>
        <v>28.124770602033433</v>
      </c>
      <c r="T201" s="82">
        <f>T169*('CC70 - %'!J$5/100)</f>
        <v>35.912594811926894</v>
      </c>
      <c r="U201" s="82">
        <f>U169*('CC70 - %'!K$5/100)</f>
        <v>44.277629409590396</v>
      </c>
      <c r="V201" s="82">
        <f>V169*('CC70 - %'!L$5/100)</f>
        <v>52.873863073142196</v>
      </c>
      <c r="W201" s="82">
        <f>W169*('CC70 - %'!M$5/100)</f>
        <v>61.303238364403661</v>
      </c>
      <c r="X201" s="82">
        <f>X169*('CC70 - %'!N$5/100)</f>
        <v>70.105514357503168</v>
      </c>
      <c r="Y201" s="82">
        <f>Y169*('CC70 - %'!O$5/100)</f>
        <v>79.679892659150795</v>
      </c>
      <c r="Z201" s="82">
        <f>Z169*('CC70 - %'!P$5/100)</f>
        <v>89.004316337996897</v>
      </c>
      <c r="AA201" s="82">
        <f>AA169*('CC70 - %'!Q$5/100)</f>
        <v>98.958686404852799</v>
      </c>
      <c r="AB201" s="82">
        <f>AB169*('CC70 - %'!R$5/100)</f>
        <v>108.70042869441562</v>
      </c>
      <c r="AC201" s="82">
        <f>AC169*('CC70 - %'!S$5/100)</f>
        <v>118.74705816868871</v>
      </c>
      <c r="AD201" s="82">
        <f>AD169*('CC70 - %'!T$5/100)</f>
        <v>129.36967096759247</v>
      </c>
      <c r="AE201" s="82">
        <f>AE169*('CC70 - %'!U$5/100)</f>
        <v>140.09116053385083</v>
      </c>
      <c r="AF201" s="82">
        <f>AF169*('CC70 - %'!V$5/100)</f>
        <v>151.37198508085433</v>
      </c>
      <c r="AG201" s="82">
        <f>AG169*('CC70 - %'!W$5/100)</f>
        <v>163.54141350832248</v>
      </c>
      <c r="AH201" s="82">
        <f>AH169*('CC70 - %'!X$5/100)</f>
        <v>175.93563484086999</v>
      </c>
      <c r="AI201" s="82">
        <f>AI169*('CC70 - %'!Y$5/100)</f>
        <v>189.09586097522103</v>
      </c>
      <c r="AJ201" s="82">
        <f>AJ169*('CC70 - %'!Z$5/100)</f>
        <v>202.87579232172615</v>
      </c>
      <c r="AK201" s="82">
        <f>AK169*('CC70 - %'!AA$5/100)</f>
        <v>216.49698522714246</v>
      </c>
      <c r="AL201" s="82">
        <f>AL169*('CC70 - %'!AB$5/100)</f>
        <v>231.79489677269979</v>
      </c>
      <c r="AM201" s="82">
        <f>AM169*('CC70 - %'!AC$5/100)</f>
        <v>247.21496586482937</v>
      </c>
      <c r="AN201" s="82">
        <f>AN169*('CC70 - %'!AD$5/100)</f>
        <v>264.48764111883565</v>
      </c>
      <c r="AO201" s="82">
        <f>AO169*('CC70 - %'!AE$5/100)</f>
        <v>281.53250790826525</v>
      </c>
      <c r="AP201" s="82">
        <f>AP169*('CC70 - %'!AF$5/100)</f>
        <v>299.17154530779266</v>
      </c>
      <c r="AQ201" s="82">
        <f>AQ169*('CC70 - %'!AG$5/100)</f>
        <v>317.71860610422431</v>
      </c>
      <c r="AR201" s="82">
        <f>AR169*('CC70 - %'!AH$5/100)</f>
        <v>328.18427894334621</v>
      </c>
      <c r="AS201" s="82">
        <f>AS169*('CC70 - %'!AI$5/100)</f>
        <v>337.95512259237313</v>
      </c>
      <c r="AT201" s="82">
        <f>AT169*('CC70 - %'!AJ$5/100)</f>
        <v>348.12531263798502</v>
      </c>
      <c r="AU201" s="82">
        <f>AU169*('CC70 - %'!AK$5/100)</f>
        <v>358.66908232063281</v>
      </c>
      <c r="AV201" s="82">
        <f>AV169*('CC70 - %'!AL$5/100)</f>
        <v>369.64518242937532</v>
      </c>
      <c r="AW201" s="82">
        <f>AW169*('CC70 - %'!AM$5/100)</f>
        <v>381.04190451615932</v>
      </c>
      <c r="AX201" s="82">
        <f>AX169*('CC70 - %'!AN$5/100)</f>
        <v>392.80322790047438</v>
      </c>
      <c r="AY201" s="82">
        <f>AY169*('CC70 - %'!AO$5/100)</f>
        <v>404.97422094761924</v>
      </c>
      <c r="AZ201" s="82">
        <f>AZ169*('CC70 - %'!AP$5/100)</f>
        <v>417.52738072413297</v>
      </c>
      <c r="BA201" s="82">
        <f>BA169*('CC70 - %'!AQ$5/100)</f>
        <v>430.45854200576417</v>
      </c>
      <c r="BB201" s="82">
        <f>BB169*('CC70 - %'!AR$5/100)</f>
        <v>443.86582512803676</v>
      </c>
      <c r="BC201" s="82">
        <f>BC169*('CC70 - %'!AS$5/100)</f>
        <v>457.6228165912346</v>
      </c>
      <c r="BD201" s="82">
        <f>BD169*('CC70 - %'!AT$5/100)</f>
        <v>471.79265123950637</v>
      </c>
      <c r="BE201" s="82">
        <f>BE169*('CC70 - %'!AU$5/100)</f>
        <v>486.24064008804049</v>
      </c>
      <c r="BF201" s="82">
        <f>BF169*('CC70 - %'!AV$5/100)</f>
        <v>501.06708203924899</v>
      </c>
      <c r="BG201" s="82">
        <f>BG169*('CC70 - %'!AW$5/100)</f>
        <v>516.28467408474728</v>
      </c>
      <c r="BH201" s="82">
        <f>BH169*('CC70 - %'!AX$5/100)</f>
        <v>531.87525106690066</v>
      </c>
      <c r="BI201" s="82">
        <f>BI169*('CC70 - %'!AY$5/100)</f>
        <v>547.85058446815026</v>
      </c>
      <c r="BJ201" s="82">
        <f>BJ169*('CC70 - %'!AZ$5/100)</f>
        <v>564.31979793491496</v>
      </c>
      <c r="BK201" s="82">
        <f>BK169*('CC70 - %'!BA$5/100)</f>
        <v>581.28804730581032</v>
      </c>
    </row>
    <row r="202" spans="1:63" x14ac:dyDescent="0.3">
      <c r="A202" s="386"/>
      <c r="B202" t="s">
        <v>417</v>
      </c>
      <c r="C202" s="297">
        <v>0</v>
      </c>
      <c r="D202" s="298">
        <v>0</v>
      </c>
      <c r="E202" s="298">
        <f t="shared" si="97"/>
        <v>8.9109985813514871</v>
      </c>
      <c r="F202" s="298">
        <f t="shared" si="98"/>
        <v>26.562102475327329</v>
      </c>
      <c r="G202" s="298">
        <f t="shared" si="99"/>
        <v>70.860918614869306</v>
      </c>
      <c r="H202" s="293">
        <f t="shared" si="100"/>
        <v>137.66441054048641</v>
      </c>
      <c r="I202" s="293">
        <f t="shared" si="101"/>
        <v>186.51353842305818</v>
      </c>
      <c r="J202" s="299">
        <f t="shared" si="102"/>
        <v>251.86650970114772</v>
      </c>
      <c r="K202" s="82">
        <f t="shared" ref="K202:N202" si="126">K170</f>
        <v>201.02416595832574</v>
      </c>
      <c r="L202" s="82">
        <f t="shared" si="126"/>
        <v>247.82375039928598</v>
      </c>
      <c r="M202" s="82">
        <f t="shared" si="126"/>
        <v>199.73610791490233</v>
      </c>
      <c r="N202" s="82">
        <f t="shared" si="126"/>
        <v>268.89999999999998</v>
      </c>
      <c r="O202" s="82">
        <f>O170*('CC70 - %'!F$5/100)</f>
        <v>2.7816046427411654</v>
      </c>
      <c r="P202" s="82">
        <f>P170*('CC70 - %'!G$5/100)</f>
        <v>5.7268556404543238</v>
      </c>
      <c r="Q202" s="82">
        <f>Q170*('CC70 - %'!G$5/100)</f>
        <v>5.7497630630161405</v>
      </c>
      <c r="R202" s="82">
        <f>R170*('CC70 - %'!H$5/100)</f>
        <v>8.9109985813514871</v>
      </c>
      <c r="S202" s="82">
        <f>S170*('CC70 - %'!I$5/100)</f>
        <v>12.186192096175942</v>
      </c>
      <c r="T202" s="82">
        <f>T170*('CC70 - %'!J$5/100)</f>
        <v>15.560581284123657</v>
      </c>
      <c r="U202" s="82">
        <f>U170*('CC70 - %'!K$5/100)</f>
        <v>19.185070171187331</v>
      </c>
      <c r="V202" s="82">
        <f>V170*('CC70 - %'!L$5/100)</f>
        <v>22.909735385704053</v>
      </c>
      <c r="W202" s="82">
        <f>W170*('CC70 - %'!M$5/100)</f>
        <v>26.562102475327329</v>
      </c>
      <c r="X202" s="82">
        <f>X170*('CC70 - %'!N$5/100)</f>
        <v>30.376043845846919</v>
      </c>
      <c r="Y202" s="82">
        <f>Y170*('CC70 - %'!O$5/100)</f>
        <v>34.52452970680897</v>
      </c>
      <c r="Z202" s="82">
        <f>Z170*('CC70 - %'!P$5/100)</f>
        <v>38.56471263823294</v>
      </c>
      <c r="AA202" s="82">
        <f>AA170*('CC70 - %'!Q$5/100)</f>
        <v>42.877845269521288</v>
      </c>
      <c r="AB202" s="82">
        <f>AB170*('CC70 - %'!R$5/100)</f>
        <v>47.098848333755001</v>
      </c>
      <c r="AC202" s="82">
        <f>AC170*('CC70 - %'!S$5/100)</f>
        <v>51.45195607728067</v>
      </c>
      <c r="AD202" s="82">
        <f>AD170*('CC70 - %'!T$5/100)</f>
        <v>56.054631845287794</v>
      </c>
      <c r="AE202" s="82">
        <f>AE170*('CC70 - %'!U$5/100)</f>
        <v>60.700149963829311</v>
      </c>
      <c r="AF202" s="82">
        <f>AF170*('CC70 - %'!V$5/100)</f>
        <v>65.58802253986741</v>
      </c>
      <c r="AG202" s="82">
        <f>AG170*('CC70 - %'!W$5/100)</f>
        <v>70.860918614869306</v>
      </c>
      <c r="AH202" s="82">
        <f>AH170*('CC70 - %'!X$5/100)</f>
        <v>76.231215289574479</v>
      </c>
      <c r="AI202" s="82">
        <f>AI170*('CC70 - %'!Y$5/100)</f>
        <v>81.93341446380424</v>
      </c>
      <c r="AJ202" s="82">
        <f>AJ170*('CC70 - %'!Z$5/100)</f>
        <v>87.904125935082405</v>
      </c>
      <c r="AK202" s="82">
        <f>AK170*('CC70 - %'!AA$5/100)</f>
        <v>93.806057569414406</v>
      </c>
      <c r="AL202" s="82">
        <f>AL170*('CC70 - %'!AB$5/100)</f>
        <v>100.43449523393319</v>
      </c>
      <c r="AM202" s="82">
        <f>AM170*('CC70 - %'!AC$5/100)</f>
        <v>107.11586258629163</v>
      </c>
      <c r="AN202" s="82">
        <f>AN170*('CC70 - %'!AD$5/100)</f>
        <v>114.59994633718155</v>
      </c>
      <c r="AO202" s="82">
        <f>AO170*('CC70 - %'!AE$5/100)</f>
        <v>121.98532287549544</v>
      </c>
      <c r="AP202" s="82">
        <f>AP170*('CC70 - %'!AF$5/100)</f>
        <v>129.62814781383403</v>
      </c>
      <c r="AQ202" s="82">
        <f>AQ170*('CC70 - %'!AG$5/100)</f>
        <v>137.66441054048641</v>
      </c>
      <c r="AR202" s="82">
        <f>AR170*('CC70 - %'!AH$5/100)</f>
        <v>142.19908573616783</v>
      </c>
      <c r="AS202" s="82">
        <f>AS170*('CC70 - %'!AI$5/100)</f>
        <v>146.43269813904138</v>
      </c>
      <c r="AT202" s="82">
        <f>AT170*('CC70 - %'!AJ$5/100)</f>
        <v>150.83934348751873</v>
      </c>
      <c r="AU202" s="82">
        <f>AU170*('CC70 - %'!AK$5/100)</f>
        <v>155.40785729297147</v>
      </c>
      <c r="AV202" s="82">
        <f>AV170*('CC70 - %'!AL$5/100)</f>
        <v>160.16369570618588</v>
      </c>
      <c r="AW202" s="82">
        <f>AW170*('CC70 - %'!AM$5/100)</f>
        <v>165.10178556944115</v>
      </c>
      <c r="AX202" s="82">
        <f>AX170*('CC70 - %'!AN$5/100)</f>
        <v>170.19785366167818</v>
      </c>
      <c r="AY202" s="82">
        <f>AY170*('CC70 - %'!AO$5/100)</f>
        <v>175.47142767130961</v>
      </c>
      <c r="AZ202" s="82">
        <f>AZ170*('CC70 - %'!AP$5/100)</f>
        <v>180.91059084228053</v>
      </c>
      <c r="BA202" s="82">
        <f>BA170*('CC70 - %'!AQ$5/100)</f>
        <v>186.51353842305818</v>
      </c>
      <c r="BB202" s="82">
        <f>BB170*('CC70 - %'!AR$5/100)</f>
        <v>192.32278500955366</v>
      </c>
      <c r="BC202" s="82">
        <f>BC170*('CC70 - %'!AS$5/100)</f>
        <v>198.28355685043971</v>
      </c>
      <c r="BD202" s="82">
        <f>BD170*('CC70 - %'!AT$5/100)</f>
        <v>204.42320966532895</v>
      </c>
      <c r="BE202" s="82">
        <f>BE170*('CC70 - %'!AU$5/100)</f>
        <v>210.68338401494358</v>
      </c>
      <c r="BF202" s="82">
        <f>BF170*('CC70 - %'!AV$5/100)</f>
        <v>217.10753844723487</v>
      </c>
      <c r="BG202" s="82">
        <f>BG170*('CC70 - %'!AW$5/100)</f>
        <v>223.70117444632368</v>
      </c>
      <c r="BH202" s="82">
        <f>BH170*('CC70 - %'!AX$5/100)</f>
        <v>230.45642122444329</v>
      </c>
      <c r="BI202" s="82">
        <f>BI170*('CC70 - %'!AY$5/100)</f>
        <v>237.37837925150743</v>
      </c>
      <c r="BJ202" s="82">
        <f>BJ170*('CC70 - %'!AZ$5/100)</f>
        <v>244.51433075201183</v>
      </c>
      <c r="BK202" s="82">
        <f>BK170*('CC70 - %'!BA$5/100)</f>
        <v>251.86650970114772</v>
      </c>
    </row>
    <row r="203" spans="1:63" x14ac:dyDescent="0.3">
      <c r="A203" s="386"/>
      <c r="B203" t="s">
        <v>418</v>
      </c>
      <c r="C203" s="297">
        <v>0</v>
      </c>
      <c r="D203" s="298">
        <v>0</v>
      </c>
      <c r="E203" s="298">
        <f t="shared" si="97"/>
        <v>3.5187477328689636</v>
      </c>
      <c r="F203" s="298">
        <f t="shared" si="98"/>
        <v>10.437297860236001</v>
      </c>
      <c r="G203" s="298">
        <f t="shared" si="99"/>
        <v>27.577418273031004</v>
      </c>
      <c r="H203" s="293">
        <f t="shared" si="100"/>
        <v>53.077404981833737</v>
      </c>
      <c r="I203" s="293">
        <f t="shared" si="101"/>
        <v>71.261383400269779</v>
      </c>
      <c r="J203" s="299">
        <f t="shared" si="102"/>
        <v>95.38497230119907</v>
      </c>
      <c r="K203" s="82">
        <f t="shared" ref="K203:N203" si="127">K171</f>
        <v>107.77264867839591</v>
      </c>
      <c r="L203" s="82">
        <f t="shared" si="127"/>
        <v>121.71801820253535</v>
      </c>
      <c r="M203" s="82">
        <f t="shared" si="127"/>
        <v>156.70408071033322</v>
      </c>
      <c r="N203" s="82">
        <f t="shared" si="127"/>
        <v>106.5</v>
      </c>
      <c r="O203" s="82">
        <f>O171*('CC70 - %'!F$5/100)</f>
        <v>1.1016768109034367</v>
      </c>
      <c r="P203" s="82">
        <f>P171*('CC70 - %'!G$5/100)</f>
        <v>2.268167072176964</v>
      </c>
      <c r="Q203" s="82">
        <f>Q171*('CC70 - %'!G$5/100)</f>
        <v>2.2727034063213178</v>
      </c>
      <c r="R203" s="82">
        <f>R171*('CC70 - %'!H$5/100)</f>
        <v>3.5187477328689636</v>
      </c>
      <c r="S203" s="82">
        <f>S171*('CC70 - %'!I$5/100)</f>
        <v>4.8072865055594995</v>
      </c>
      <c r="T203" s="82">
        <f>T171*('CC70 - %'!J$5/100)</f>
        <v>6.1323835512224916</v>
      </c>
      <c r="U203" s="82">
        <f>U171*('CC70 - %'!K$5/100)</f>
        <v>7.5533509859037764</v>
      </c>
      <c r="V203" s="82">
        <f>V171*('CC70 - %'!L$5/100)</f>
        <v>9.0109461452184263</v>
      </c>
      <c r="W203" s="82">
        <f>W171*('CC70 - %'!M$5/100)</f>
        <v>10.437297860236001</v>
      </c>
      <c r="X203" s="82">
        <f>X171*('CC70 - %'!N$5/100)</f>
        <v>11.924314030635404</v>
      </c>
      <c r="Y203" s="82">
        <f>Y171*('CC70 - %'!O$5/100)</f>
        <v>13.539660628679322</v>
      </c>
      <c r="Z203" s="82">
        <f>Z171*('CC70 - %'!P$5/100)</f>
        <v>15.109467711927401</v>
      </c>
      <c r="AA203" s="82">
        <f>AA171*('CC70 - %'!Q$5/100)</f>
        <v>16.783105096350535</v>
      </c>
      <c r="AB203" s="82">
        <f>AB171*('CC70 - %'!R$5/100)</f>
        <v>18.417521180663812</v>
      </c>
      <c r="AC203" s="82">
        <f>AC171*('CC70 - %'!S$5/100)</f>
        <v>20.100438697292535</v>
      </c>
      <c r="AD203" s="82">
        <f>AD171*('CC70 - %'!T$5/100)</f>
        <v>21.877572295240942</v>
      </c>
      <c r="AE203" s="82">
        <f>AE171*('CC70 - %'!U$5/100)</f>
        <v>23.668055567637708</v>
      </c>
      <c r="AF203" s="82">
        <f>AF171*('CC70 - %'!V$5/100)</f>
        <v>25.549579507975789</v>
      </c>
      <c r="AG203" s="82">
        <f>AG171*('CC70 - %'!W$5/100)</f>
        <v>27.577418273031004</v>
      </c>
      <c r="AH203" s="82">
        <f>AH171*('CC70 - %'!X$5/100)</f>
        <v>29.639336641172576</v>
      </c>
      <c r="AI203" s="82">
        <f>AI171*('CC70 - %'!Y$5/100)</f>
        <v>31.82633955002952</v>
      </c>
      <c r="AJ203" s="82">
        <f>AJ171*('CC70 - %'!Z$5/100)</f>
        <v>34.113484986962909</v>
      </c>
      <c r="AK203" s="82">
        <f>AK171*('CC70 - %'!AA$5/100)</f>
        <v>36.369730817719748</v>
      </c>
      <c r="AL203" s="82">
        <f>AL171*('CC70 - %'!AB$5/100)</f>
        <v>38.903229567416169</v>
      </c>
      <c r="AM203" s="82">
        <f>AM171*('CC70 - %'!AC$5/100)</f>
        <v>41.452551638888657</v>
      </c>
      <c r="AN203" s="82">
        <f>AN171*('CC70 - %'!AD$5/100)</f>
        <v>44.307555090518989</v>
      </c>
      <c r="AO203" s="82">
        <f>AO171*('CC70 - %'!AE$5/100)</f>
        <v>47.119210659971252</v>
      </c>
      <c r="AP203" s="82">
        <f>AP171*('CC70 - %'!AF$5/100)</f>
        <v>50.025098673886113</v>
      </c>
      <c r="AQ203" s="82">
        <f>AQ171*('CC70 - %'!AG$5/100)</f>
        <v>53.077404981833737</v>
      </c>
      <c r="AR203" s="82">
        <f>AR171*('CC70 - %'!AH$5/100)</f>
        <v>54.775369608444784</v>
      </c>
      <c r="AS203" s="82">
        <f>AS171*('CC70 - %'!AI$5/100)</f>
        <v>56.354451828070154</v>
      </c>
      <c r="AT203" s="82">
        <f>AT171*('CC70 - %'!AJ$5/100)</f>
        <v>57.99727484977435</v>
      </c>
      <c r="AU203" s="82">
        <f>AU171*('CC70 - %'!AK$5/100)</f>
        <v>59.699383660513007</v>
      </c>
      <c r="AV203" s="82">
        <f>AV171*('CC70 - %'!AL$5/100)</f>
        <v>61.470394991436123</v>
      </c>
      <c r="AW203" s="82">
        <f>AW171*('CC70 - %'!AM$5/100)</f>
        <v>63.308184853162459</v>
      </c>
      <c r="AX203" s="82">
        <f>AX171*('CC70 - %'!AN$5/100)</f>
        <v>65.20328202643735</v>
      </c>
      <c r="AY203" s="82">
        <f>AY171*('CC70 - %'!AO$5/100)</f>
        <v>67.163015230257727</v>
      </c>
      <c r="AZ203" s="82">
        <f>AZ171*('CC70 - %'!AP$5/100)</f>
        <v>69.182662616497723</v>
      </c>
      <c r="BA203" s="82">
        <f>BA171*('CC70 - %'!AQ$5/100)</f>
        <v>71.261383400269779</v>
      </c>
      <c r="BB203" s="82">
        <f>BB171*('CC70 - %'!AR$5/100)</f>
        <v>73.415258381237948</v>
      </c>
      <c r="BC203" s="82">
        <f>BC171*('CC70 - %'!AS$5/100)</f>
        <v>75.623206881102377</v>
      </c>
      <c r="BD203" s="82">
        <f>BD171*('CC70 - %'!AT$5/100)</f>
        <v>77.89551934512825</v>
      </c>
      <c r="BE203" s="82">
        <f>BE171*('CC70 - %'!AU$5/100)</f>
        <v>80.209817413469182</v>
      </c>
      <c r="BF203" s="82">
        <f>BF171*('CC70 - %'!AV$5/100)</f>
        <v>82.582531577560133</v>
      </c>
      <c r="BG203" s="82">
        <f>BG171*('CC70 - %'!AW$5/100)</f>
        <v>85.015609557145069</v>
      </c>
      <c r="BH203" s="82">
        <f>BH171*('CC70 - %'!AX$5/100)</f>
        <v>87.505915227588304</v>
      </c>
      <c r="BI203" s="82">
        <f>BI171*('CC70 - %'!AY$5/100)</f>
        <v>90.055244982061907</v>
      </c>
      <c r="BJ203" s="82">
        <f>BJ171*('CC70 - %'!AZ$5/100)</f>
        <v>92.68137815063622</v>
      </c>
      <c r="BK203" s="82">
        <f>BK171*('CC70 - %'!BA$5/100)</f>
        <v>95.38497230119907</v>
      </c>
    </row>
    <row r="204" spans="1:63" x14ac:dyDescent="0.3">
      <c r="A204" s="386"/>
      <c r="B204" t="s">
        <v>419</v>
      </c>
      <c r="C204" s="297">
        <v>0</v>
      </c>
      <c r="D204" s="298">
        <v>0</v>
      </c>
      <c r="E204" s="298">
        <f t="shared" si="97"/>
        <v>7.27723080305348</v>
      </c>
      <c r="F204" s="298">
        <f t="shared" si="98"/>
        <v>21.69213119748904</v>
      </c>
      <c r="G204" s="298">
        <f t="shared" si="99"/>
        <v>57.86907662133008</v>
      </c>
      <c r="H204" s="293">
        <f t="shared" si="100"/>
        <v>112.42462668168083</v>
      </c>
      <c r="I204" s="293">
        <f t="shared" si="101"/>
        <v>152.31761677521482</v>
      </c>
      <c r="J204" s="299">
        <f t="shared" si="102"/>
        <v>205.68858876159487</v>
      </c>
      <c r="K204" s="82">
        <f t="shared" ref="K204:N204" si="128">K172</f>
        <v>133.29921508867</v>
      </c>
      <c r="L204" s="82">
        <f t="shared" si="128"/>
        <v>196.93190017375747</v>
      </c>
      <c r="M204" s="82">
        <f t="shared" si="128"/>
        <v>211.50616730098926</v>
      </c>
      <c r="N204" s="82">
        <f t="shared" si="128"/>
        <v>219.59911059084641</v>
      </c>
      <c r="O204" s="82">
        <f>O172*('CC70 - %'!F$5/100)</f>
        <v>2.2716173505441764</v>
      </c>
      <c r="P204" s="82">
        <f>P172*('CC70 - %'!G$5/100)</f>
        <v>4.6768776687465294</v>
      </c>
      <c r="Q204" s="82">
        <f>Q172*('CC70 - %'!G$5/100)</f>
        <v>4.6955851794215153</v>
      </c>
      <c r="R204" s="82">
        <f>R172*('CC70 - %'!H$5/100)</f>
        <v>7.27723080305348</v>
      </c>
      <c r="S204" s="82">
        <f>S172*('CC70 - %'!I$5/100)</f>
        <v>9.9519410405706186</v>
      </c>
      <c r="T204" s="82">
        <f>T172*('CC70 - %'!J$5/100)</f>
        <v>12.707660134883325</v>
      </c>
      <c r="U204" s="82">
        <f>U172*('CC70 - %'!K$5/100)</f>
        <v>15.667624939441115</v>
      </c>
      <c r="V204" s="82">
        <f>V172*('CC70 - %'!L$5/100)</f>
        <v>18.709399459175355</v>
      </c>
      <c r="W204" s="82">
        <f>W172*('CC70 - %'!M$5/100)</f>
        <v>21.69213119748904</v>
      </c>
      <c r="X204" s="82">
        <f>X172*('CC70 - %'!N$5/100)</f>
        <v>24.806813729328887</v>
      </c>
      <c r="Y204" s="82">
        <f>Y172*('CC70 - %'!O$5/100)</f>
        <v>28.194704414959116</v>
      </c>
      <c r="Z204" s="82">
        <f>Z172*('CC70 - %'!P$5/100)</f>
        <v>31.494148737625626</v>
      </c>
      <c r="AA204" s="82">
        <f>AA172*('CC70 - %'!Q$5/100)</f>
        <v>35.016499387277086</v>
      </c>
      <c r="AB204" s="82">
        <f>AB172*('CC70 - %'!R$5/100)</f>
        <v>38.463611766254253</v>
      </c>
      <c r="AC204" s="82">
        <f>AC172*('CC70 - %'!S$5/100)</f>
        <v>42.018608377575802</v>
      </c>
      <c r="AD204" s="82">
        <f>AD172*('CC70 - %'!T$5/100)</f>
        <v>45.777416503244844</v>
      </c>
      <c r="AE204" s="82">
        <f>AE172*('CC70 - %'!U$5/100)</f>
        <v>49.571212141271545</v>
      </c>
      <c r="AF204" s="82">
        <f>AF172*('CC70 - %'!V$5/100)</f>
        <v>53.562928282511251</v>
      </c>
      <c r="AG204" s="82">
        <f>AG172*('CC70 - %'!W$5/100)</f>
        <v>57.86907662133008</v>
      </c>
      <c r="AH204" s="82">
        <f>AH172*('CC70 - %'!X$5/100)</f>
        <v>62.25476785738153</v>
      </c>
      <c r="AI204" s="82">
        <f>AI172*('CC70 - %'!Y$5/100)</f>
        <v>66.91150964642101</v>
      </c>
      <c r="AJ204" s="82">
        <f>AJ172*('CC70 - %'!Z$5/100)</f>
        <v>71.787533925659574</v>
      </c>
      <c r="AK204" s="82">
        <f>AK172*('CC70 - %'!AA$5/100)</f>
        <v>76.607388658524172</v>
      </c>
      <c r="AL204" s="82">
        <f>AL172*('CC70 - %'!AB$5/100)</f>
        <v>82.020549743444931</v>
      </c>
      <c r="AM204" s="82">
        <f>AM172*('CC70 - %'!AC$5/100)</f>
        <v>87.476936236969038</v>
      </c>
      <c r="AN204" s="82">
        <f>AN172*('CC70 - %'!AD$5/100)</f>
        <v>93.588866825599879</v>
      </c>
      <c r="AO204" s="82">
        <f>AO172*('CC70 - %'!AE$5/100)</f>
        <v>99.620187462238931</v>
      </c>
      <c r="AP204" s="82">
        <f>AP172*('CC70 - %'!AF$5/100)</f>
        <v>105.86175517834414</v>
      </c>
      <c r="AQ204" s="82">
        <f>AQ172*('CC70 - %'!AG$5/100)</f>
        <v>112.42462668168083</v>
      </c>
      <c r="AR204" s="82">
        <f>AR172*('CC70 - %'!AH$5/100)</f>
        <v>116.12790165300851</v>
      </c>
      <c r="AS204" s="82">
        <f>AS172*('CC70 - %'!AI$5/100)</f>
        <v>119.5853115386813</v>
      </c>
      <c r="AT204" s="82">
        <f>AT172*('CC70 - %'!AJ$5/100)</f>
        <v>123.184030018469</v>
      </c>
      <c r="AU204" s="82">
        <f>AU172*('CC70 - %'!AK$5/100)</f>
        <v>126.91493953278446</v>
      </c>
      <c r="AV204" s="82">
        <f>AV172*('CC70 - %'!AL$5/100)</f>
        <v>130.79882902945855</v>
      </c>
      <c r="AW204" s="82">
        <f>AW172*('CC70 - %'!AM$5/100)</f>
        <v>134.83155547790977</v>
      </c>
      <c r="AX204" s="82">
        <f>AX172*('CC70 - %'!AN$5/100)</f>
        <v>138.99329597833983</v>
      </c>
      <c r="AY204" s="82">
        <f>AY172*('CC70 - %'!AO$5/100)</f>
        <v>143.29999795732857</v>
      </c>
      <c r="AZ204" s="82">
        <f>AZ172*('CC70 - %'!AP$5/100)</f>
        <v>147.74192951070788</v>
      </c>
      <c r="BA204" s="82">
        <f>BA172*('CC70 - %'!AQ$5/100)</f>
        <v>152.31761677521482</v>
      </c>
      <c r="BB204" s="82">
        <f>BB172*('CC70 - %'!AR$5/100)</f>
        <v>157.06177960004678</v>
      </c>
      <c r="BC204" s="82">
        <f>BC172*('CC70 - %'!AS$5/100)</f>
        <v>161.92968660894797</v>
      </c>
      <c r="BD204" s="82">
        <f>BD172*('CC70 - %'!AT$5/100)</f>
        <v>166.94367804623423</v>
      </c>
      <c r="BE204" s="82">
        <f>BE172*('CC70 - %'!AU$5/100)</f>
        <v>172.05609425790772</v>
      </c>
      <c r="BF204" s="82">
        <f>BF172*('CC70 - %'!AV$5/100)</f>
        <v>177.30242597835925</v>
      </c>
      <c r="BG204" s="82">
        <f>BG172*('CC70 - %'!AW$5/100)</f>
        <v>182.68716603399216</v>
      </c>
      <c r="BH204" s="82">
        <f>BH172*('CC70 - %'!AX$5/100)</f>
        <v>188.20388668961411</v>
      </c>
      <c r="BI204" s="82">
        <f>BI172*('CC70 - %'!AY$5/100)</f>
        <v>193.85675328050459</v>
      </c>
      <c r="BJ204" s="82">
        <f>BJ172*('CC70 - %'!AZ$5/100)</f>
        <v>199.68437917388573</v>
      </c>
      <c r="BK204" s="82">
        <f>BK172*('CC70 - %'!BA$5/100)</f>
        <v>205.68858876159487</v>
      </c>
    </row>
    <row r="205" spans="1:63" x14ac:dyDescent="0.3">
      <c r="A205" s="386"/>
      <c r="B205" t="s">
        <v>420</v>
      </c>
      <c r="C205" s="297">
        <v>0</v>
      </c>
      <c r="D205" s="298">
        <v>0</v>
      </c>
      <c r="E205" s="298">
        <f t="shared" si="97"/>
        <v>16.412291524213426</v>
      </c>
      <c r="F205" s="298">
        <f t="shared" si="98"/>
        <v>48.682084710737456</v>
      </c>
      <c r="G205" s="298">
        <f t="shared" si="99"/>
        <v>128.62775695861751</v>
      </c>
      <c r="H205" s="293">
        <f t="shared" si="100"/>
        <v>247.56587003193206</v>
      </c>
      <c r="I205" s="293">
        <f t="shared" si="101"/>
        <v>332.38034879823118</v>
      </c>
      <c r="J205" s="299">
        <f t="shared" si="102"/>
        <v>444.8986091878499</v>
      </c>
      <c r="K205" s="82">
        <f t="shared" ref="K205:N205" si="129">K173</f>
        <v>1048.1144799708336</v>
      </c>
      <c r="L205" s="82">
        <f t="shared" si="129"/>
        <v>683.87502065145532</v>
      </c>
      <c r="M205" s="82">
        <f t="shared" si="129"/>
        <v>503.48773330439957</v>
      </c>
      <c r="N205" s="82">
        <f t="shared" si="129"/>
        <v>496.74178998435787</v>
      </c>
      <c r="O205" s="82">
        <f>O173*('CC70 - %'!F$5/100)</f>
        <v>5.1384874275345735</v>
      </c>
      <c r="P205" s="82">
        <f>P173*('CC70 - %'!G$5/100)</f>
        <v>10.579280482786528</v>
      </c>
      <c r="Q205" s="82">
        <f>Q173*('CC70 - %'!G$5/100)</f>
        <v>10.600439043752102</v>
      </c>
      <c r="R205" s="82">
        <f>R173*('CC70 - %'!H$5/100)</f>
        <v>16.412291524213426</v>
      </c>
      <c r="S205" s="82">
        <f>S173*('CC70 - %'!I$5/100)</f>
        <v>22.422348391918071</v>
      </c>
      <c r="T205" s="82">
        <f>T173*('CC70 - %'!J$5/100)</f>
        <v>28.602921897698533</v>
      </c>
      <c r="U205" s="82">
        <f>U173*('CC70 - %'!K$5/100)</f>
        <v>35.230658113783619</v>
      </c>
      <c r="V205" s="82">
        <f>V173*('CC70 - %'!L$5/100)</f>
        <v>42.029234907309394</v>
      </c>
      <c r="W205" s="82">
        <f>W173*('CC70 - %'!M$5/100)</f>
        <v>48.682084710737456</v>
      </c>
      <c r="X205" s="82">
        <f>X173*('CC70 - %'!N$5/100)</f>
        <v>55.617888224539186</v>
      </c>
      <c r="Y205" s="82">
        <f>Y173*('CC70 - %'!O$5/100)</f>
        <v>63.152255929304253</v>
      </c>
      <c r="Z205" s="82">
        <f>Z173*('CC70 - %'!P$5/100)</f>
        <v>70.474216309236397</v>
      </c>
      <c r="AA205" s="82">
        <f>AA173*('CC70 - %'!Q$5/100)</f>
        <v>78.280466357340487</v>
      </c>
      <c r="AB205" s="82">
        <f>AB173*('CC70 - %'!R$5/100)</f>
        <v>85.903778763922674</v>
      </c>
      <c r="AC205" s="82">
        <f>AC173*('CC70 - %'!S$5/100)</f>
        <v>93.75331359590561</v>
      </c>
      <c r="AD205" s="82">
        <f>AD173*('CC70 - %'!T$5/100)</f>
        <v>102.04229504648059</v>
      </c>
      <c r="AE205" s="82">
        <f>AE173*('CC70 - %'!U$5/100)</f>
        <v>110.39354261143288</v>
      </c>
      <c r="AF205" s="82">
        <f>AF173*('CC70 - %'!V$5/100)</f>
        <v>119.16942589802409</v>
      </c>
      <c r="AG205" s="82">
        <f>AG173*('CC70 - %'!W$5/100)</f>
        <v>128.62775695861751</v>
      </c>
      <c r="AH205" s="82">
        <f>AH173*('CC70 - %'!X$5/100)</f>
        <v>138.24504354070456</v>
      </c>
      <c r="AI205" s="82">
        <f>AI173*('CC70 - %'!Y$5/100)</f>
        <v>148.44575471109511</v>
      </c>
      <c r="AJ205" s="82">
        <f>AJ173*('CC70 - %'!Z$5/100)</f>
        <v>159.11355488289649</v>
      </c>
      <c r="AK205" s="82">
        <f>AK173*('CC70 - %'!AA$5/100)</f>
        <v>169.63723180885796</v>
      </c>
      <c r="AL205" s="82">
        <f>AL173*('CC70 - %'!AB$5/100)</f>
        <v>181.45408348817566</v>
      </c>
      <c r="AM205" s="82">
        <f>AM173*('CC70 - %'!AC$5/100)</f>
        <v>193.3447389720242</v>
      </c>
      <c r="AN205" s="82">
        <f>AN173*('CC70 - %'!AD$5/100)</f>
        <v>206.6611664365723</v>
      </c>
      <c r="AO205" s="82">
        <f>AO173*('CC70 - %'!AE$5/100)</f>
        <v>219.77540888154135</v>
      </c>
      <c r="AP205" s="82">
        <f>AP173*('CC70 - %'!AF$5/100)</f>
        <v>233.32917426676354</v>
      </c>
      <c r="AQ205" s="82">
        <f>AQ173*('CC70 - %'!AG$5/100)</f>
        <v>247.56587003193206</v>
      </c>
      <c r="AR205" s="82">
        <f>AR173*('CC70 - %'!AH$5/100)</f>
        <v>255.48558822867284</v>
      </c>
      <c r="AS205" s="82">
        <f>AS173*('CC70 - %'!AI$5/100)</f>
        <v>262.85081009073087</v>
      </c>
      <c r="AT205" s="82">
        <f>AT173*('CC70 - %'!AJ$5/100)</f>
        <v>270.51333448912385</v>
      </c>
      <c r="AU205" s="82">
        <f>AU173*('CC70 - %'!AK$5/100)</f>
        <v>278.45238216418932</v>
      </c>
      <c r="AV205" s="82">
        <f>AV173*('CC70 - %'!AL$5/100)</f>
        <v>286.71280787879328</v>
      </c>
      <c r="AW205" s="82">
        <f>AW173*('CC70 - %'!AM$5/100)</f>
        <v>295.28470483211765</v>
      </c>
      <c r="AX205" s="82">
        <f>AX173*('CC70 - %'!AN$5/100)</f>
        <v>304.12389696401311</v>
      </c>
      <c r="AY205" s="82">
        <f>AY173*('CC70 - %'!AO$5/100)</f>
        <v>313.26456719460015</v>
      </c>
      <c r="AZ205" s="82">
        <f>AZ173*('CC70 - %'!AP$5/100)</f>
        <v>322.68469168077934</v>
      </c>
      <c r="BA205" s="82">
        <f>BA173*('CC70 - %'!AQ$5/100)</f>
        <v>332.38034879823118</v>
      </c>
      <c r="BB205" s="82">
        <f>BB173*('CC70 - %'!AR$5/100)</f>
        <v>342.42654329070677</v>
      </c>
      <c r="BC205" s="82">
        <f>BC173*('CC70 - %'!AS$5/100)</f>
        <v>352.72494976972968</v>
      </c>
      <c r="BD205" s="82">
        <f>BD173*('CC70 - %'!AT$5/100)</f>
        <v>363.32356536394542</v>
      </c>
      <c r="BE205" s="82">
        <f>BE173*('CC70 - %'!AU$5/100)</f>
        <v>374.11801198389855</v>
      </c>
      <c r="BF205" s="82">
        <f>BF173*('CC70 - %'!AV$5/100)</f>
        <v>385.18492542044106</v>
      </c>
      <c r="BG205" s="82">
        <f>BG173*('CC70 - %'!AW$5/100)</f>
        <v>396.53339031011762</v>
      </c>
      <c r="BH205" s="82">
        <f>BH173*('CC70 - %'!AX$5/100)</f>
        <v>408.14877900818482</v>
      </c>
      <c r="BI205" s="82">
        <f>BI173*('CC70 - %'!AY$5/100)</f>
        <v>420.03947032741115</v>
      </c>
      <c r="BJ205" s="82">
        <f>BJ173*('CC70 - %'!AZ$5/100)</f>
        <v>432.28839136867794</v>
      </c>
      <c r="BK205" s="82">
        <f>BK173*('CC70 - %'!BA$5/100)</f>
        <v>444.8986091878499</v>
      </c>
    </row>
    <row r="206" spans="1:63" x14ac:dyDescent="0.3">
      <c r="A206" s="386"/>
      <c r="B206" t="s">
        <v>421</v>
      </c>
      <c r="C206" s="297">
        <v>0</v>
      </c>
      <c r="D206" s="298">
        <v>0</v>
      </c>
      <c r="E206" s="298">
        <f t="shared" si="97"/>
        <v>15.565251147864615</v>
      </c>
      <c r="F206" s="298">
        <f t="shared" si="98"/>
        <v>46.397246309636486</v>
      </c>
      <c r="G206" s="298">
        <f t="shared" si="99"/>
        <v>123.77602630496142</v>
      </c>
      <c r="H206" s="293">
        <f t="shared" si="100"/>
        <v>240.46475876112493</v>
      </c>
      <c r="I206" s="293">
        <f t="shared" si="101"/>
        <v>325.79177760249331</v>
      </c>
      <c r="J206" s="299">
        <f t="shared" si="102"/>
        <v>439.9468189164341</v>
      </c>
      <c r="K206" s="82">
        <f t="shared" ref="K206:N206" si="130">K174</f>
        <v>330.0776224697172</v>
      </c>
      <c r="L206" s="82">
        <f t="shared" si="130"/>
        <v>414.51562066941744</v>
      </c>
      <c r="M206" s="82">
        <f t="shared" si="130"/>
        <v>370.99405287354472</v>
      </c>
      <c r="N206" s="82">
        <f t="shared" si="130"/>
        <v>469.70000000000005</v>
      </c>
      <c r="O206" s="82">
        <f>O174*('CC70 - %'!F$5/100)</f>
        <v>4.8587567894961907</v>
      </c>
      <c r="P206" s="82">
        <f>P174*('CC70 - %'!G$5/100)</f>
        <v>10.003362195319438</v>
      </c>
      <c r="Q206" s="82">
        <f>Q174*('CC70 - %'!G$5/100)</f>
        <v>10.043375644100715</v>
      </c>
      <c r="R206" s="82">
        <f>R174*('CC70 - %'!H$5/100)</f>
        <v>15.565251147864615</v>
      </c>
      <c r="S206" s="82">
        <f>S174*('CC70 - %'!I$5/100)</f>
        <v>21.286182326418157</v>
      </c>
      <c r="T206" s="82">
        <f>T174*('CC70 - %'!J$5/100)</f>
        <v>27.180383150438388</v>
      </c>
      <c r="U206" s="82">
        <f>U174*('CC70 - %'!K$5/100)</f>
        <v>33.511444624048693</v>
      </c>
      <c r="V206" s="82">
        <f>V174*('CC70 - %'!L$5/100)</f>
        <v>40.017488697155812</v>
      </c>
      <c r="W206" s="82">
        <f>W174*('CC70 - %'!M$5/100)</f>
        <v>46.397246309636486</v>
      </c>
      <c r="X206" s="82">
        <f>X174*('CC70 - %'!N$5/100)</f>
        <v>53.059233151336187</v>
      </c>
      <c r="Y206" s="82">
        <f>Y174*('CC70 - %'!O$5/100)</f>
        <v>60.305584244284773</v>
      </c>
      <c r="Z206" s="82">
        <f>Z174*('CC70 - %'!P$5/100)</f>
        <v>67.362757628032796</v>
      </c>
      <c r="AA206" s="82">
        <f>AA174*('CC70 - %'!Q$5/100)</f>
        <v>74.896704808829128</v>
      </c>
      <c r="AB206" s="82">
        <f>AB174*('CC70 - %'!R$5/100)</f>
        <v>82.2697250366855</v>
      </c>
      <c r="AC206" s="82">
        <f>AC174*('CC70 - %'!S$5/100)</f>
        <v>89.873498584971131</v>
      </c>
      <c r="AD206" s="82">
        <f>AD174*('CC70 - %'!T$5/100)</f>
        <v>97.913204082304532</v>
      </c>
      <c r="AE206" s="82">
        <f>AE174*('CC70 - %'!U$5/100)</f>
        <v>106.02774428416004</v>
      </c>
      <c r="AF206" s="82">
        <f>AF174*('CC70 - %'!V$5/100)</f>
        <v>114.56561616577066</v>
      </c>
      <c r="AG206" s="82">
        <f>AG174*('CC70 - %'!W$5/100)</f>
        <v>123.77602630496142</v>
      </c>
      <c r="AH206" s="82">
        <f>AH174*('CC70 - %'!X$5/100)</f>
        <v>133.15657055229877</v>
      </c>
      <c r="AI206" s="82">
        <f>AI174*('CC70 - %'!Y$5/100)</f>
        <v>143.1168641638113</v>
      </c>
      <c r="AJ206" s="82">
        <f>AJ174*('CC70 - %'!Z$5/100)</f>
        <v>153.54618055674311</v>
      </c>
      <c r="AK206" s="82">
        <f>AK174*('CC70 - %'!AA$5/100)</f>
        <v>163.85535604445505</v>
      </c>
      <c r="AL206" s="82">
        <f>AL174*('CC70 - %'!AB$5/100)</f>
        <v>175.4335530359927</v>
      </c>
      <c r="AM206" s="82">
        <f>AM174*('CC70 - %'!AC$5/100)</f>
        <v>187.1042047481636</v>
      </c>
      <c r="AN206" s="82">
        <f>AN174*('CC70 - %'!AD$5/100)</f>
        <v>200.17699812039493</v>
      </c>
      <c r="AO206" s="82">
        <f>AO174*('CC70 - %'!AE$5/100)</f>
        <v>213.07737506366766</v>
      </c>
      <c r="AP206" s="82">
        <f>AP174*('CC70 - %'!AF$5/100)</f>
        <v>226.42744897046441</v>
      </c>
      <c r="AQ206" s="82">
        <f>AQ174*('CC70 - %'!AG$5/100)</f>
        <v>240.46475876112493</v>
      </c>
      <c r="AR206" s="82">
        <f>AR174*('CC70 - %'!AH$5/100)</f>
        <v>248.38568453059892</v>
      </c>
      <c r="AS206" s="82">
        <f>AS174*('CC70 - %'!AI$5/100)</f>
        <v>255.78073007031523</v>
      </c>
      <c r="AT206" s="82">
        <f>AT174*('CC70 - %'!AJ$5/100)</f>
        <v>263.47802021601922</v>
      </c>
      <c r="AU206" s="82">
        <f>AU174*('CC70 - %'!AK$5/100)</f>
        <v>271.45805344183242</v>
      </c>
      <c r="AV206" s="82">
        <f>AV174*('CC70 - %'!AL$5/100)</f>
        <v>279.76529517737276</v>
      </c>
      <c r="AW206" s="82">
        <f>AW174*('CC70 - %'!AM$5/100)</f>
        <v>288.39088390467282</v>
      </c>
      <c r="AX206" s="82">
        <f>AX174*('CC70 - %'!AN$5/100)</f>
        <v>297.29242047188649</v>
      </c>
      <c r="AY206" s="82">
        <f>AY174*('CC70 - %'!AO$5/100)</f>
        <v>306.50401479068108</v>
      </c>
      <c r="AZ206" s="82">
        <f>AZ174*('CC70 - %'!AP$5/100)</f>
        <v>316.00485131505832</v>
      </c>
      <c r="BA206" s="82">
        <f>BA174*('CC70 - %'!AQ$5/100)</f>
        <v>325.79177760249331</v>
      </c>
      <c r="BB206" s="82">
        <f>BB174*('CC70 - %'!AR$5/100)</f>
        <v>335.9390558534302</v>
      </c>
      <c r="BC206" s="82">
        <f>BC174*('CC70 - %'!AS$5/100)</f>
        <v>346.35101023671098</v>
      </c>
      <c r="BD206" s="82">
        <f>BD174*('CC70 - %'!AT$5/100)</f>
        <v>357.07542424620698</v>
      </c>
      <c r="BE206" s="82">
        <f>BE174*('CC70 - %'!AU$5/100)</f>
        <v>368.01035876466727</v>
      </c>
      <c r="BF206" s="82">
        <f>BF174*('CC70 - %'!AV$5/100)</f>
        <v>379.23172483698869</v>
      </c>
      <c r="BG206" s="82">
        <f>BG174*('CC70 - %'!AW$5/100)</f>
        <v>390.74913215856549</v>
      </c>
      <c r="BH206" s="82">
        <f>BH174*('CC70 - %'!AX$5/100)</f>
        <v>402.54883246233192</v>
      </c>
      <c r="BI206" s="82">
        <f>BI174*('CC70 - %'!AY$5/100)</f>
        <v>414.6397349737191</v>
      </c>
      <c r="BJ206" s="82">
        <f>BJ174*('CC70 - %'!AZ$5/100)</f>
        <v>427.10442972934175</v>
      </c>
      <c r="BK206" s="82">
        <f>BK174*('CC70 - %'!BA$5/100)</f>
        <v>439.9468189164341</v>
      </c>
    </row>
    <row r="207" spans="1:63" x14ac:dyDescent="0.3">
      <c r="A207" s="386"/>
      <c r="B207" t="s">
        <v>422</v>
      </c>
      <c r="C207" s="297">
        <v>0</v>
      </c>
      <c r="D207" s="298">
        <v>0</v>
      </c>
      <c r="E207" s="298">
        <f t="shared" si="97"/>
        <v>17.878440024754237</v>
      </c>
      <c r="F207" s="298">
        <f t="shared" si="98"/>
        <v>53.422607910940798</v>
      </c>
      <c r="G207" s="298">
        <f t="shared" si="99"/>
        <v>143.1922411498887</v>
      </c>
      <c r="H207" s="293">
        <f t="shared" si="100"/>
        <v>279.44588085871465</v>
      </c>
      <c r="I207" s="293">
        <f t="shared" si="101"/>
        <v>380.24926434285169</v>
      </c>
      <c r="J207" s="299">
        <f t="shared" si="102"/>
        <v>515.62511851857016</v>
      </c>
      <c r="K207" s="82">
        <f t="shared" ref="K207:N207" si="131">K175</f>
        <v>462</v>
      </c>
      <c r="L207" s="82">
        <f t="shared" si="131"/>
        <v>486</v>
      </c>
      <c r="M207" s="82">
        <f t="shared" si="131"/>
        <v>495.5</v>
      </c>
      <c r="N207" s="82">
        <f t="shared" si="131"/>
        <v>538.70000000000005</v>
      </c>
      <c r="O207" s="82">
        <f>O175*('CC70 - %'!F$5/100)</f>
        <v>5.5725192303632056</v>
      </c>
      <c r="P207" s="82">
        <f>P175*('CC70 - %'!G$5/100)</f>
        <v>11.472878889969301</v>
      </c>
      <c r="Q207" s="82">
        <f>Q175*('CC70 - %'!G$5/100)</f>
        <v>11.530243284419148</v>
      </c>
      <c r="R207" s="82">
        <f>R175*('CC70 - %'!H$5/100)</f>
        <v>17.878440024754237</v>
      </c>
      <c r="S207" s="82">
        <f>S175*('CC70 - %'!I$5/100)</f>
        <v>24.461609832504273</v>
      </c>
      <c r="T207" s="82">
        <f>T175*('CC70 - %'!J$5/100)</f>
        <v>31.250404846953973</v>
      </c>
      <c r="U207" s="82">
        <f>U175*('CC70 - %'!K$5/100)</f>
        <v>38.548288006682533</v>
      </c>
      <c r="V207" s="82">
        <f>V175*('CC70 - %'!L$5/100)</f>
        <v>46.054567608679882</v>
      </c>
      <c r="W207" s="82">
        <f>W175*('CC70 - %'!M$5/100)</f>
        <v>53.422607910940798</v>
      </c>
      <c r="X207" s="82">
        <f>X175*('CC70 - %'!N$5/100)</f>
        <v>61.122755273804465</v>
      </c>
      <c r="Y207" s="82">
        <f>Y175*('CC70 - %'!O$5/100)</f>
        <v>69.503654164331238</v>
      </c>
      <c r="Z207" s="82">
        <f>Z175*('CC70 - %'!P$5/100)</f>
        <v>77.674274886731524</v>
      </c>
      <c r="AA207" s="82">
        <f>AA175*('CC70 - %'!Q$5/100)</f>
        <v>86.402516996661234</v>
      </c>
      <c r="AB207" s="82">
        <f>AB175*('CC70 - %'!R$5/100)</f>
        <v>94.953102776342874</v>
      </c>
      <c r="AC207" s="82">
        <f>AC175*('CC70 - %'!S$5/100)</f>
        <v>103.77800045975674</v>
      </c>
      <c r="AD207" s="82">
        <f>AD175*('CC70 - %'!T$5/100)</f>
        <v>113.11457251810204</v>
      </c>
      <c r="AE207" s="82">
        <f>AE175*('CC70 - %'!U$5/100)</f>
        <v>122.5461239478937</v>
      </c>
      <c r="AF207" s="82">
        <f>AF175*('CC70 - %'!V$5/100)</f>
        <v>132.47570379960194</v>
      </c>
      <c r="AG207" s="82">
        <f>AG175*('CC70 - %'!W$5/100)</f>
        <v>143.1922411498887</v>
      </c>
      <c r="AH207" s="82">
        <f>AH175*('CC70 - %'!X$5/100)</f>
        <v>154.11527829832394</v>
      </c>
      <c r="AI207" s="82">
        <f>AI175*('CC70 - %'!Y$5/100)</f>
        <v>165.71933693621423</v>
      </c>
      <c r="AJ207" s="82">
        <f>AJ175*('CC70 - %'!Z$5/100)</f>
        <v>177.87700925178723</v>
      </c>
      <c r="AK207" s="82">
        <f>AK175*('CC70 - %'!AA$5/100)</f>
        <v>189.90614519113254</v>
      </c>
      <c r="AL207" s="82">
        <f>AL175*('CC70 - %'!AB$5/100)</f>
        <v>203.41724404081893</v>
      </c>
      <c r="AM207" s="82">
        <f>AM175*('CC70 - %'!AC$5/100)</f>
        <v>217.04737879567816</v>
      </c>
      <c r="AN207" s="82">
        <f>AN175*('CC70 - %'!AD$5/100)</f>
        <v>232.3165915283773</v>
      </c>
      <c r="AO207" s="82">
        <f>AO175*('CC70 - %'!AE$5/100)</f>
        <v>247.39881854314331</v>
      </c>
      <c r="AP207" s="82">
        <f>AP175*('CC70 - %'!AF$5/100)</f>
        <v>263.01635923837563</v>
      </c>
      <c r="AQ207" s="82">
        <f>AQ175*('CC70 - %'!AG$5/100)</f>
        <v>279.44588085871465</v>
      </c>
      <c r="AR207" s="82">
        <f>AR175*('CC70 - %'!AH$5/100)</f>
        <v>288.77833668363212</v>
      </c>
      <c r="AS207" s="82">
        <f>AS175*('CC70 - %'!AI$5/100)</f>
        <v>297.50675910264818</v>
      </c>
      <c r="AT207" s="82">
        <f>AT175*('CC70 - %'!AJ$5/100)</f>
        <v>306.5939416911005</v>
      </c>
      <c r="AU207" s="82">
        <f>AU175*('CC70 - %'!AK$5/100)</f>
        <v>316.01760214135294</v>
      </c>
      <c r="AV207" s="82">
        <f>AV175*('CC70 - %'!AL$5/100)</f>
        <v>325.82991495568564</v>
      </c>
      <c r="AW207" s="82">
        <f>AW175*('CC70 - %'!AM$5/100)</f>
        <v>336.0210069898792</v>
      </c>
      <c r="AX207" s="82">
        <f>AX175*('CC70 - %'!AN$5/100)</f>
        <v>346.54189045438255</v>
      </c>
      <c r="AY207" s="82">
        <f>AY175*('CC70 - %'!AO$5/100)</f>
        <v>357.43271133058181</v>
      </c>
      <c r="AZ207" s="82">
        <f>AZ175*('CC70 - %'!AP$5/100)</f>
        <v>368.6696015865715</v>
      </c>
      <c r="BA207" s="82">
        <f>BA175*('CC70 - %'!AQ$5/100)</f>
        <v>380.24926434285169</v>
      </c>
      <c r="BB207" s="82">
        <f>BB175*('CC70 - %'!AR$5/100)</f>
        <v>392.25878675094083</v>
      </c>
      <c r="BC207" s="82">
        <f>BC175*('CC70 - %'!AS$5/100)</f>
        <v>404.5868878795128</v>
      </c>
      <c r="BD207" s="82">
        <f>BD175*('CC70 - %'!AT$5/100)</f>
        <v>417.28974657827843</v>
      </c>
      <c r="BE207" s="82">
        <f>BE175*('CC70 - %'!AU$5/100)</f>
        <v>430.24858882703541</v>
      </c>
      <c r="BF207" s="82">
        <f>BF175*('CC70 - %'!AV$5/100)</f>
        <v>443.55245396424215</v>
      </c>
      <c r="BG207" s="82">
        <f>BG175*('CC70 - %'!AW$5/100)</f>
        <v>457.21294806865785</v>
      </c>
      <c r="BH207" s="82">
        <f>BH175*('CC70 - %'!AX$5/100)</f>
        <v>471.21435085990311</v>
      </c>
      <c r="BI207" s="82">
        <f>BI175*('CC70 - %'!AY$5/100)</f>
        <v>485.56744608208299</v>
      </c>
      <c r="BJ207" s="82">
        <f>BJ175*('CC70 - %'!AZ$5/100)</f>
        <v>500.36935194132212</v>
      </c>
      <c r="BK207" s="82">
        <f>BK175*('CC70 - %'!BA$5/100)</f>
        <v>515.62511851857016</v>
      </c>
    </row>
    <row r="208" spans="1:63" x14ac:dyDescent="0.3">
      <c r="A208" s="386"/>
      <c r="B208" t="s">
        <v>423</v>
      </c>
      <c r="C208" s="297">
        <v>0</v>
      </c>
      <c r="D208" s="298">
        <v>0</v>
      </c>
      <c r="E208" s="298">
        <f t="shared" si="97"/>
        <v>19.365788028790931</v>
      </c>
      <c r="F208" s="298">
        <f t="shared" si="98"/>
        <v>57.72597105028337</v>
      </c>
      <c r="G208" s="298">
        <f t="shared" si="99"/>
        <v>153.99817617441911</v>
      </c>
      <c r="H208" s="293">
        <f t="shared" si="100"/>
        <v>299.1785678447697</v>
      </c>
      <c r="I208" s="293">
        <f t="shared" si="101"/>
        <v>405.33971772363219</v>
      </c>
      <c r="J208" s="299">
        <f t="shared" si="102"/>
        <v>547.36777184898642</v>
      </c>
      <c r="K208" s="82">
        <f t="shared" ref="K208:N208" si="132">K176</f>
        <v>1244.0659714179023</v>
      </c>
      <c r="L208" s="82">
        <f t="shared" si="132"/>
        <v>618.36073373563374</v>
      </c>
      <c r="M208" s="82">
        <f t="shared" si="132"/>
        <v>607.660123075569</v>
      </c>
      <c r="N208" s="82">
        <f t="shared" si="132"/>
        <v>584.38572887216105</v>
      </c>
      <c r="O208" s="82">
        <f>O176*('CC70 - %'!F$5/100)</f>
        <v>6.0451099166325148</v>
      </c>
      <c r="P208" s="82">
        <f>P176*('CC70 - %'!G$5/100)</f>
        <v>12.445863546272024</v>
      </c>
      <c r="Q208" s="82">
        <f>Q176*('CC70 - %'!G$5/100)</f>
        <v>12.495647000457112</v>
      </c>
      <c r="R208" s="82">
        <f>R176*('CC70 - %'!H$5/100)</f>
        <v>19.365788028790931</v>
      </c>
      <c r="S208" s="82">
        <f>S176*('CC70 - %'!I$5/100)</f>
        <v>26.483587766083851</v>
      </c>
      <c r="T208" s="82">
        <f>T176*('CC70 - %'!J$5/100)</f>
        <v>33.816964058747168</v>
      </c>
      <c r="U208" s="82">
        <f>U176*('CC70 - %'!K$5/100)</f>
        <v>41.693868410014375</v>
      </c>
      <c r="V208" s="82">
        <f>V176*('CC70 - %'!L$5/100)</f>
        <v>49.788480519312039</v>
      </c>
      <c r="W208" s="82">
        <f>W176*('CC70 - %'!M$5/100)</f>
        <v>57.72597105028337</v>
      </c>
      <c r="X208" s="82">
        <f>X176*('CC70 - %'!N$5/100)</f>
        <v>66.014602168493781</v>
      </c>
      <c r="Y208" s="82">
        <f>Y176*('CC70 - %'!O$5/100)</f>
        <v>75.030280612428939</v>
      </c>
      <c r="Z208" s="82">
        <f>Z176*('CC70 - %'!P$5/100)</f>
        <v>83.810590196501309</v>
      </c>
      <c r="AA208" s="82">
        <f>AA176*('CC70 - %'!Q$5/100)</f>
        <v>93.184086501662136</v>
      </c>
      <c r="AB208" s="82">
        <f>AB176*('CC70 - %'!R$5/100)</f>
        <v>102.35736263503455</v>
      </c>
      <c r="AC208" s="82">
        <f>AC176*('CC70 - %'!S$5/100)</f>
        <v>111.81773467504681</v>
      </c>
      <c r="AD208" s="82">
        <f>AD176*('CC70 - %'!T$5/100)</f>
        <v>121.82047931412855</v>
      </c>
      <c r="AE208" s="82">
        <f>AE176*('CC70 - %'!U$5/100)</f>
        <v>131.91633090093671</v>
      </c>
      <c r="AF208" s="82">
        <f>AF176*('CC70 - %'!V$5/100)</f>
        <v>142.53887823445203</v>
      </c>
      <c r="AG208" s="82">
        <f>AG176*('CC70 - %'!W$5/100)</f>
        <v>153.99817617441911</v>
      </c>
      <c r="AH208" s="82">
        <f>AH176*('CC70 - %'!X$5/100)</f>
        <v>165.66914953443148</v>
      </c>
      <c r="AI208" s="82">
        <f>AI176*('CC70 - %'!Y$5/100)</f>
        <v>178.06142852515848</v>
      </c>
      <c r="AJ208" s="82">
        <f>AJ176*('CC70 - %'!Z$5/100)</f>
        <v>191.03725067104267</v>
      </c>
      <c r="AK208" s="82">
        <f>AK176*('CC70 - %'!AA$5/100)</f>
        <v>203.86359734223188</v>
      </c>
      <c r="AL208" s="82">
        <f>AL176*('CC70 - %'!AB$5/100)</f>
        <v>218.26882001186186</v>
      </c>
      <c r="AM208" s="82">
        <f>AM176*('CC70 - %'!AC$5/100)</f>
        <v>232.78907189014612</v>
      </c>
      <c r="AN208" s="82">
        <f>AN176*('CC70 - %'!AD$5/100)</f>
        <v>249.05382361087544</v>
      </c>
      <c r="AO208" s="82">
        <f>AO176*('CC70 - %'!AE$5/100)</f>
        <v>265.10406032094585</v>
      </c>
      <c r="AP208" s="82">
        <f>AP176*('CC70 - %'!AF$5/100)</f>
        <v>281.7137956211813</v>
      </c>
      <c r="AQ208" s="82">
        <f>AQ176*('CC70 - %'!AG$5/100)</f>
        <v>299.1785678447697</v>
      </c>
      <c r="AR208" s="82">
        <f>AR176*('CC70 - %'!AH$5/100)</f>
        <v>309.03353054252642</v>
      </c>
      <c r="AS208" s="82">
        <f>AS176*('CC70 - %'!AI$5/100)</f>
        <v>318.23420986500878</v>
      </c>
      <c r="AT208" s="82">
        <f>AT176*('CC70 - %'!AJ$5/100)</f>
        <v>327.81093226683493</v>
      </c>
      <c r="AU208" s="82">
        <f>AU176*('CC70 - %'!AK$5/100)</f>
        <v>337.73943457275544</v>
      </c>
      <c r="AV208" s="82">
        <f>AV176*('CC70 - %'!AL$5/100)</f>
        <v>348.07503924923191</v>
      </c>
      <c r="AW208" s="82">
        <f>AW176*('CC70 - %'!AM$5/100)</f>
        <v>358.80672107881406</v>
      </c>
      <c r="AX208" s="82">
        <f>AX176*('CC70 - %'!AN$5/100)</f>
        <v>369.88172839180822</v>
      </c>
      <c r="AY208" s="82">
        <f>AY176*('CC70 - %'!AO$5/100)</f>
        <v>381.34249965019325</v>
      </c>
      <c r="AZ208" s="82">
        <f>AZ176*('CC70 - %'!AP$5/100)</f>
        <v>393.16313681688138</v>
      </c>
      <c r="BA208" s="82">
        <f>BA176*('CC70 - %'!AQ$5/100)</f>
        <v>405.33971772363219</v>
      </c>
      <c r="BB208" s="82">
        <f>BB176*('CC70 - %'!AR$5/100)</f>
        <v>417.96463702689454</v>
      </c>
      <c r="BC208" s="82">
        <f>BC176*('CC70 - %'!AS$5/100)</f>
        <v>430.91885791524288</v>
      </c>
      <c r="BD208" s="82">
        <f>BD176*('CC70 - %'!AT$5/100)</f>
        <v>444.26183108464073</v>
      </c>
      <c r="BE208" s="82">
        <f>BE176*('CC70 - %'!AU$5/100)</f>
        <v>457.86672714327341</v>
      </c>
      <c r="BF208" s="82">
        <f>BF176*('CC70 - %'!AV$5/100)</f>
        <v>471.82799218716286</v>
      </c>
      <c r="BG208" s="82">
        <f>BG176*('CC70 - %'!AW$5/100)</f>
        <v>486.15758229220273</v>
      </c>
      <c r="BH208" s="82">
        <f>BH176*('CC70 - %'!AX$5/100)</f>
        <v>500.8383923038902</v>
      </c>
      <c r="BI208" s="82">
        <f>BI176*('CC70 - %'!AY$5/100)</f>
        <v>515.881506795777</v>
      </c>
      <c r="BJ208" s="82">
        <f>BJ176*('CC70 - %'!AZ$5/100)</f>
        <v>531.38968165192682</v>
      </c>
      <c r="BK208" s="82">
        <f>BK176*('CC70 - %'!BA$5/100)</f>
        <v>547.36777184898642</v>
      </c>
    </row>
    <row r="209" spans="1:66" x14ac:dyDescent="0.3">
      <c r="A209" s="386"/>
      <c r="B209" t="s">
        <v>424</v>
      </c>
      <c r="C209" s="297">
        <v>0</v>
      </c>
      <c r="D209" s="298">
        <v>0</v>
      </c>
      <c r="E209" s="298">
        <f t="shared" si="97"/>
        <v>27.049614193953513</v>
      </c>
      <c r="F209" s="298">
        <f t="shared" si="98"/>
        <v>80.630090733208434</v>
      </c>
      <c r="G209" s="298">
        <f t="shared" si="99"/>
        <v>215.10052913403655</v>
      </c>
      <c r="H209" s="293">
        <f t="shared" si="100"/>
        <v>417.88461297155993</v>
      </c>
      <c r="I209" s="293">
        <f t="shared" si="101"/>
        <v>566.16766462639043</v>
      </c>
      <c r="J209" s="299">
        <f t="shared" si="102"/>
        <v>764.54864778582635</v>
      </c>
      <c r="K209" s="82">
        <f t="shared" ref="K209:N209" si="133">K177</f>
        <v>901.23942272500881</v>
      </c>
      <c r="L209" s="82">
        <f t="shared" si="133"/>
        <v>955.62587592882051</v>
      </c>
      <c r="M209" s="82">
        <f t="shared" si="133"/>
        <v>618.24892948451316</v>
      </c>
      <c r="N209" s="82">
        <f t="shared" si="133"/>
        <v>816.25433898912627</v>
      </c>
      <c r="O209" s="82">
        <f>O177*('CC70 - %'!F$5/100)</f>
        <v>8.443647671958999</v>
      </c>
      <c r="P209" s="82">
        <f>P177*('CC70 - %'!G$5/100)</f>
        <v>17.384048959781307</v>
      </c>
      <c r="Q209" s="82">
        <f>Q177*('CC70 - %'!G$5/100)</f>
        <v>17.453585155620434</v>
      </c>
      <c r="R209" s="82">
        <f>R177*('CC70 - %'!H$5/100)</f>
        <v>27.049614193953513</v>
      </c>
      <c r="S209" s="82">
        <f>S177*('CC70 - %'!I$5/100)</f>
        <v>36.991566285825996</v>
      </c>
      <c r="T209" s="82">
        <f>T177*('CC70 - %'!J$5/100)</f>
        <v>47.234629938114267</v>
      </c>
      <c r="U209" s="82">
        <f>U177*('CC70 - %'!K$5/100)</f>
        <v>58.236879029537072</v>
      </c>
      <c r="V209" s="82">
        <f>V177*('CC70 - %'!L$5/100)</f>
        <v>69.543216488187653</v>
      </c>
      <c r="W209" s="82">
        <f>W177*('CC70 - %'!M$5/100)</f>
        <v>80.630090733208434</v>
      </c>
      <c r="X209" s="82">
        <f>X177*('CC70 - %'!N$5/100)</f>
        <v>92.20742874859242</v>
      </c>
      <c r="Y209" s="82">
        <f>Y177*('CC70 - %'!O$5/100)</f>
        <v>104.80028700164303</v>
      </c>
      <c r="Z209" s="82">
        <f>Z177*('CC70 - %'!P$5/100)</f>
        <v>117.06438833330769</v>
      </c>
      <c r="AA209" s="82">
        <f>AA177*('CC70 - %'!Q$5/100)</f>
        <v>130.15703699424003</v>
      </c>
      <c r="AB209" s="82">
        <f>AB177*('CC70 - %'!R$5/100)</f>
        <v>142.97002348017219</v>
      </c>
      <c r="AC209" s="82">
        <f>AC177*('CC70 - %'!S$5/100)</f>
        <v>156.18401784142171</v>
      </c>
      <c r="AD209" s="82">
        <f>AD177*('CC70 - %'!T$5/100)</f>
        <v>170.15558372686581</v>
      </c>
      <c r="AE209" s="82">
        <f>AE177*('CC70 - %'!U$5/100)</f>
        <v>184.25719890392836</v>
      </c>
      <c r="AF209" s="82">
        <f>AF177*('CC70 - %'!V$5/100)</f>
        <v>199.09448859755815</v>
      </c>
      <c r="AG209" s="82">
        <f>AG177*('CC70 - %'!W$5/100)</f>
        <v>215.10052913403655</v>
      </c>
      <c r="AH209" s="82">
        <f>AH177*('CC70 - %'!X$5/100)</f>
        <v>231.40223222956269</v>
      </c>
      <c r="AI209" s="82">
        <f>AI177*('CC70 - %'!Y$5/100)</f>
        <v>248.71143571690092</v>
      </c>
      <c r="AJ209" s="82">
        <f>AJ177*('CC70 - %'!Z$5/100)</f>
        <v>266.8357166588234</v>
      </c>
      <c r="AK209" s="82">
        <f>AK177*('CC70 - %'!AA$5/100)</f>
        <v>284.75121425994161</v>
      </c>
      <c r="AL209" s="82">
        <f>AL177*('CC70 - %'!AB$5/100)</f>
        <v>304.87204358081334</v>
      </c>
      <c r="AM209" s="82">
        <f>AM177*('CC70 - %'!AC$5/100)</f>
        <v>325.15354262039261</v>
      </c>
      <c r="AN209" s="82">
        <f>AN177*('CC70 - %'!AD$5/100)</f>
        <v>347.87171233040345</v>
      </c>
      <c r="AO209" s="82">
        <f>AO177*('CC70 - %'!AE$5/100)</f>
        <v>370.29025321722838</v>
      </c>
      <c r="AP209" s="82">
        <f>AP177*('CC70 - %'!AF$5/100)</f>
        <v>393.4902867540568</v>
      </c>
      <c r="AQ209" s="82">
        <f>AQ177*('CC70 - %'!AG$5/100)</f>
        <v>417.88461297155993</v>
      </c>
      <c r="AR209" s="82">
        <f>AR177*('CC70 - %'!AH$5/100)</f>
        <v>431.64976099826617</v>
      </c>
      <c r="AS209" s="82">
        <f>AS177*('CC70 - %'!AI$5/100)</f>
        <v>444.50102352501858</v>
      </c>
      <c r="AT209" s="82">
        <f>AT177*('CC70 - %'!AJ$5/100)</f>
        <v>457.87753295633462</v>
      </c>
      <c r="AU209" s="82">
        <f>AU177*('CC70 - %'!AK$5/100)</f>
        <v>471.74539913867949</v>
      </c>
      <c r="AV209" s="82">
        <f>AV177*('CC70 - %'!AL$5/100)</f>
        <v>486.18189501193126</v>
      </c>
      <c r="AW209" s="82">
        <f>AW177*('CC70 - %'!AM$5/100)</f>
        <v>501.1716208475591</v>
      </c>
      <c r="AX209" s="82">
        <f>AX177*('CC70 - %'!AN$5/100)</f>
        <v>516.64089452577605</v>
      </c>
      <c r="AY209" s="82">
        <f>AY177*('CC70 - %'!AO$5/100)</f>
        <v>532.6489929539722</v>
      </c>
      <c r="AZ209" s="82">
        <f>AZ177*('CC70 - %'!AP$5/100)</f>
        <v>549.1597424473706</v>
      </c>
      <c r="BA209" s="82">
        <f>BA177*('CC70 - %'!AQ$5/100)</f>
        <v>566.16766462639043</v>
      </c>
      <c r="BB209" s="82">
        <f>BB177*('CC70 - %'!AR$5/100)</f>
        <v>583.80181387326536</v>
      </c>
      <c r="BC209" s="82">
        <f>BC177*('CC70 - %'!AS$5/100)</f>
        <v>601.89592275704172</v>
      </c>
      <c r="BD209" s="82">
        <f>BD177*('CC70 - %'!AT$5/100)</f>
        <v>620.53303041803156</v>
      </c>
      <c r="BE209" s="82">
        <f>BE177*('CC70 - %'!AU$5/100)</f>
        <v>639.53598495764243</v>
      </c>
      <c r="BF209" s="82">
        <f>BF177*('CC70 - %'!AV$5/100)</f>
        <v>659.03670615397562</v>
      </c>
      <c r="BG209" s="82">
        <f>BG177*('CC70 - %'!AW$5/100)</f>
        <v>679.05189393371199</v>
      </c>
      <c r="BH209" s="82">
        <f>BH177*('CC70 - %'!AX$5/100)</f>
        <v>699.55765627503752</v>
      </c>
      <c r="BI209" s="82">
        <f>BI177*('CC70 - %'!AY$5/100)</f>
        <v>720.56947581349698</v>
      </c>
      <c r="BJ209" s="82">
        <f>BJ177*('CC70 - %'!AZ$5/100)</f>
        <v>742.2308792166308</v>
      </c>
      <c r="BK209" s="82">
        <f>BK177*('CC70 - %'!BA$5/100)</f>
        <v>764.54864778582635</v>
      </c>
    </row>
    <row r="210" spans="1:66" x14ac:dyDescent="0.3">
      <c r="A210" s="386"/>
      <c r="B210" t="s">
        <v>425</v>
      </c>
      <c r="C210" s="297">
        <v>0</v>
      </c>
      <c r="D210" s="298">
        <v>0</v>
      </c>
      <c r="E210" s="298">
        <f t="shared" si="97"/>
        <v>0</v>
      </c>
      <c r="F210" s="298">
        <f t="shared" si="98"/>
        <v>0</v>
      </c>
      <c r="G210" s="298">
        <f t="shared" si="99"/>
        <v>0</v>
      </c>
      <c r="H210" s="293">
        <f t="shared" si="100"/>
        <v>0</v>
      </c>
      <c r="I210" s="293">
        <f t="shared" si="101"/>
        <v>0</v>
      </c>
      <c r="J210" s="299">
        <f t="shared" si="102"/>
        <v>0</v>
      </c>
      <c r="K210" s="82">
        <f t="shared" ref="K210:N210" si="134">K178</f>
        <v>0</v>
      </c>
      <c r="L210" s="82">
        <f t="shared" si="134"/>
        <v>129</v>
      </c>
      <c r="M210" s="82">
        <f t="shared" si="134"/>
        <v>0</v>
      </c>
      <c r="N210" s="82">
        <f t="shared" si="134"/>
        <v>0</v>
      </c>
      <c r="O210" s="82">
        <f>O178*('CC70 - %'!F$5/100)</f>
        <v>0</v>
      </c>
      <c r="P210" s="82">
        <f>P178*('CC70 - %'!G$5/100)</f>
        <v>0</v>
      </c>
      <c r="Q210" s="82">
        <f>Q178*('CC70 - %'!G$5/100)</f>
        <v>0</v>
      </c>
      <c r="R210" s="82">
        <f>R178*('CC70 - %'!H$5/100)</f>
        <v>0</v>
      </c>
      <c r="S210" s="82">
        <f>S178*('CC70 - %'!I$5/100)</f>
        <v>0</v>
      </c>
      <c r="T210" s="82">
        <f>T178*('CC70 - %'!J$5/100)</f>
        <v>0</v>
      </c>
      <c r="U210" s="82">
        <f>U178*('CC70 - %'!K$5/100)</f>
        <v>0</v>
      </c>
      <c r="V210" s="82">
        <f>V178*('CC70 - %'!L$5/100)</f>
        <v>0</v>
      </c>
      <c r="W210" s="82">
        <f>W178*('CC70 - %'!M$5/100)</f>
        <v>0</v>
      </c>
      <c r="X210" s="82">
        <f>X178*('CC70 - %'!N$5/100)</f>
        <v>0</v>
      </c>
      <c r="Y210" s="82">
        <f>Y178*('CC70 - %'!O$5/100)</f>
        <v>0</v>
      </c>
      <c r="Z210" s="82">
        <f>Z178*('CC70 - %'!P$5/100)</f>
        <v>0</v>
      </c>
      <c r="AA210" s="82">
        <f>AA178*('CC70 - %'!Q$5/100)</f>
        <v>0</v>
      </c>
      <c r="AB210" s="82">
        <f>AB178*('CC70 - %'!R$5/100)</f>
        <v>0</v>
      </c>
      <c r="AC210" s="82">
        <f>AC178*('CC70 - %'!S$5/100)</f>
        <v>0</v>
      </c>
      <c r="AD210" s="82">
        <f>AD178*('CC70 - %'!T$5/100)</f>
        <v>0</v>
      </c>
      <c r="AE210" s="82">
        <f>AE178*('CC70 - %'!U$5/100)</f>
        <v>0</v>
      </c>
      <c r="AF210" s="82">
        <f>AF178*('CC70 - %'!V$5/100)</f>
        <v>0</v>
      </c>
      <c r="AG210" s="82">
        <f>AG178*('CC70 - %'!W$5/100)</f>
        <v>0</v>
      </c>
      <c r="AH210" s="82">
        <f>AH178*('CC70 - %'!X$5/100)</f>
        <v>0</v>
      </c>
      <c r="AI210" s="82">
        <f>AI178*('CC70 - %'!Y$5/100)</f>
        <v>0</v>
      </c>
      <c r="AJ210" s="82">
        <f>AJ178*('CC70 - %'!Z$5/100)</f>
        <v>0</v>
      </c>
      <c r="AK210" s="82">
        <f>AK178*('CC70 - %'!AA$5/100)</f>
        <v>0</v>
      </c>
      <c r="AL210" s="82">
        <f>AL178*('CC70 - %'!AB$5/100)</f>
        <v>0</v>
      </c>
      <c r="AM210" s="82">
        <f>AM178*('CC70 - %'!AC$5/100)</f>
        <v>0</v>
      </c>
      <c r="AN210" s="82">
        <f>AN178*('CC70 - %'!AD$5/100)</f>
        <v>0</v>
      </c>
      <c r="AO210" s="82">
        <f>AO178*('CC70 - %'!AE$5/100)</f>
        <v>0</v>
      </c>
      <c r="AP210" s="82">
        <f>AP178*('CC70 - %'!AF$5/100)</f>
        <v>0</v>
      </c>
      <c r="AQ210" s="82">
        <f>AQ178*('CC70 - %'!AG$5/100)</f>
        <v>0</v>
      </c>
      <c r="AR210" s="82">
        <f>AR178*('CC70 - %'!AH$5/100)</f>
        <v>0</v>
      </c>
      <c r="AS210" s="82">
        <f>AS178*('CC70 - %'!AI$5/100)</f>
        <v>0</v>
      </c>
      <c r="AT210" s="82">
        <f>AT178*('CC70 - %'!AJ$5/100)</f>
        <v>0</v>
      </c>
      <c r="AU210" s="82">
        <f>AU178*('CC70 - %'!AK$5/100)</f>
        <v>0</v>
      </c>
      <c r="AV210" s="82">
        <f>AV178*('CC70 - %'!AL$5/100)</f>
        <v>0</v>
      </c>
      <c r="AW210" s="82">
        <f>AW178*('CC70 - %'!AM$5/100)</f>
        <v>0</v>
      </c>
      <c r="AX210" s="82">
        <f>AX178*('CC70 - %'!AN$5/100)</f>
        <v>0</v>
      </c>
      <c r="AY210" s="82">
        <f>AY178*('CC70 - %'!AO$5/100)</f>
        <v>0</v>
      </c>
      <c r="AZ210" s="82">
        <f>AZ178*('CC70 - %'!AP$5/100)</f>
        <v>0</v>
      </c>
      <c r="BA210" s="82">
        <f>BA178*('CC70 - %'!AQ$5/100)</f>
        <v>0</v>
      </c>
      <c r="BB210" s="82">
        <f>BB178*('CC70 - %'!AR$5/100)</f>
        <v>0</v>
      </c>
      <c r="BC210" s="82">
        <f>BC178*('CC70 - %'!AS$5/100)</f>
        <v>0</v>
      </c>
      <c r="BD210" s="82">
        <f>BD178*('CC70 - %'!AT$5/100)</f>
        <v>0</v>
      </c>
      <c r="BE210" s="82">
        <f>BE178*('CC70 - %'!AU$5/100)</f>
        <v>0</v>
      </c>
      <c r="BF210" s="82">
        <f>BF178*('CC70 - %'!AV$5/100)</f>
        <v>0</v>
      </c>
      <c r="BG210" s="82">
        <f>BG178*('CC70 - %'!AW$5/100)</f>
        <v>0</v>
      </c>
      <c r="BH210" s="82">
        <f>BH178*('CC70 - %'!AX$5/100)</f>
        <v>0</v>
      </c>
      <c r="BI210" s="82">
        <f>BI178*('CC70 - %'!AY$5/100)</f>
        <v>0</v>
      </c>
      <c r="BJ210" s="82">
        <f>BJ178*('CC70 - %'!AZ$5/100)</f>
        <v>0</v>
      </c>
      <c r="BK210" s="82">
        <f>BK178*('CC70 - %'!BA$5/100)</f>
        <v>0</v>
      </c>
    </row>
    <row r="211" spans="1:66" ht="15" thickBot="1" x14ac:dyDescent="0.35">
      <c r="A211" s="386"/>
      <c r="B211" t="s">
        <v>426</v>
      </c>
      <c r="C211" s="300">
        <v>0</v>
      </c>
      <c r="D211" s="301">
        <v>0</v>
      </c>
      <c r="E211" s="301">
        <f t="shared" si="97"/>
        <v>5.200477869986619</v>
      </c>
      <c r="F211" s="301">
        <f t="shared" si="98"/>
        <v>15.425640217851139</v>
      </c>
      <c r="G211" s="301">
        <f t="shared" si="99"/>
        <v>40.757611607277759</v>
      </c>
      <c r="H211" s="302">
        <f t="shared" si="100"/>
        <v>78.444915907423763</v>
      </c>
      <c r="I211" s="302">
        <f t="shared" si="101"/>
        <v>105.31964081880244</v>
      </c>
      <c r="J211" s="303">
        <f t="shared" si="102"/>
        <v>140.97271962637305</v>
      </c>
      <c r="K211" s="82">
        <f t="shared" ref="K211:N211" si="135">K179</f>
        <v>168.86544963795106</v>
      </c>
      <c r="L211" s="82">
        <f t="shared" si="135"/>
        <v>148.33635557383047</v>
      </c>
      <c r="M211" s="82">
        <f t="shared" si="135"/>
        <v>164.93146787757703</v>
      </c>
      <c r="N211" s="82">
        <f t="shared" si="135"/>
        <v>157.4</v>
      </c>
      <c r="O211" s="82">
        <f>O179*('CC70 - %'!F$5/100)</f>
        <v>1.6282059158328728</v>
      </c>
      <c r="P211" s="82">
        <f>P179*('CC70 - %'!G$5/100)</f>
        <v>3.3522018512737475</v>
      </c>
      <c r="Q211" s="82">
        <f>Q179*('CC70 - %'!G$5/100)</f>
        <v>3.3589062549762954</v>
      </c>
      <c r="R211" s="82">
        <f>R179*('CC70 - %'!H$5/100)</f>
        <v>5.200477869986619</v>
      </c>
      <c r="S211" s="82">
        <f>S179*('CC70 - %'!I$5/100)</f>
        <v>7.1048534833339456</v>
      </c>
      <c r="T211" s="82">
        <f>T179*('CC70 - %'!J$5/100)</f>
        <v>9.0632598212433813</v>
      </c>
      <c r="U211" s="82">
        <f>U179*('CC70 - %'!K$5/100)</f>
        <v>11.163356292781728</v>
      </c>
      <c r="V211" s="82">
        <f>V179*('CC70 - %'!L$5/100)</f>
        <v>13.317586133872114</v>
      </c>
      <c r="W211" s="82">
        <f>W179*('CC70 - %'!M$5/100)</f>
        <v>15.425640217851139</v>
      </c>
      <c r="X211" s="82">
        <f>X179*('CC70 - %'!N$5/100)</f>
        <v>17.623352379549409</v>
      </c>
      <c r="Y211" s="82">
        <f>Y179*('CC70 - %'!O$5/100)</f>
        <v>20.010728478442491</v>
      </c>
      <c r="Z211" s="82">
        <f>Z179*('CC70 - %'!P$5/100)</f>
        <v>22.330800167674862</v>
      </c>
      <c r="AA211" s="82">
        <f>AA179*('CC70 - %'!Q$5/100)</f>
        <v>24.804326217517126</v>
      </c>
      <c r="AB211" s="82">
        <f>AB179*('CC70 - %'!R$5/100)</f>
        <v>27.219885763722854</v>
      </c>
      <c r="AC211" s="82">
        <f>AC179*('CC70 - %'!S$5/100)</f>
        <v>29.707127239003242</v>
      </c>
      <c r="AD211" s="82">
        <f>AD179*('CC70 - %'!T$5/100)</f>
        <v>32.333613889867834</v>
      </c>
      <c r="AE211" s="82">
        <f>AE179*('CC70 - %'!U$5/100)</f>
        <v>34.97983048212371</v>
      </c>
      <c r="AF211" s="82">
        <f>AF179*('CC70 - %'!V$5/100)</f>
        <v>37.760599197703193</v>
      </c>
      <c r="AG211" s="82">
        <f>AG179*('CC70 - %'!W$5/100)</f>
        <v>40.757611607277759</v>
      </c>
      <c r="AH211" s="82">
        <f>AH179*('CC70 - %'!X$5/100)</f>
        <v>43.804991430240051</v>
      </c>
      <c r="AI211" s="82">
        <f>AI179*('CC70 - %'!Y$5/100)</f>
        <v>47.037237982860546</v>
      </c>
      <c r="AJ211" s="82">
        <f>AJ179*('CC70 - %'!Z$5/100)</f>
        <v>50.417488609840035</v>
      </c>
      <c r="AK211" s="82">
        <f>AK179*('CC70 - %'!AA$5/100)</f>
        <v>53.752071649850606</v>
      </c>
      <c r="AL211" s="82">
        <f>AL179*('CC70 - %'!AB$5/100)</f>
        <v>57.496416280857332</v>
      </c>
      <c r="AM211" s="82">
        <f>AM179*('CC70 - %'!AC$5/100)</f>
        <v>61.264146741418536</v>
      </c>
      <c r="AN211" s="82">
        <f>AN179*('CC70 - %'!AD$5/100)</f>
        <v>65.48365419011914</v>
      </c>
      <c r="AO211" s="82">
        <f>AO179*('CC70 - %'!AE$5/100)</f>
        <v>69.63909631811714</v>
      </c>
      <c r="AP211" s="82">
        <f>AP179*('CC70 - %'!AF$5/100)</f>
        <v>73.933807805349062</v>
      </c>
      <c r="AQ211" s="82">
        <f>AQ179*('CC70 - %'!AG$5/100)</f>
        <v>78.444915907423763</v>
      </c>
      <c r="AR211" s="82">
        <f>AR179*('CC70 - %'!AH$5/100)</f>
        <v>80.954396022246101</v>
      </c>
      <c r="AS211" s="82">
        <f>AS179*('CC70 - %'!AI$5/100)</f>
        <v>83.288175753410727</v>
      </c>
      <c r="AT211" s="82">
        <f>AT179*('CC70 - %'!AJ$5/100)</f>
        <v>85.716160200511567</v>
      </c>
      <c r="AU211" s="82">
        <f>AU179*('CC70 - %'!AK$5/100)</f>
        <v>88.231765147086833</v>
      </c>
      <c r="AV211" s="82">
        <f>AV179*('CC70 - %'!AL$5/100)</f>
        <v>90.849203489690552</v>
      </c>
      <c r="AW211" s="82">
        <f>AW179*('CC70 - %'!AM$5/100)</f>
        <v>93.565336111622244</v>
      </c>
      <c r="AX211" s="82">
        <f>AX179*('CC70 - %'!AN$5/100)</f>
        <v>96.366165173344953</v>
      </c>
      <c r="AY211" s="82">
        <f>AY179*('CC70 - %'!AO$5/100)</f>
        <v>99.262522039836284</v>
      </c>
      <c r="AZ211" s="82">
        <f>AZ179*('CC70 - %'!AP$5/100)</f>
        <v>102.24742812992244</v>
      </c>
      <c r="BA211" s="82">
        <f>BA179*('CC70 - %'!AQ$5/100)</f>
        <v>105.31964081880244</v>
      </c>
      <c r="BB211" s="82">
        <f>BB179*('CC70 - %'!AR$5/100)</f>
        <v>108.50292647142581</v>
      </c>
      <c r="BC211" s="82">
        <f>BC179*('CC70 - %'!AS$5/100)</f>
        <v>111.76612923084987</v>
      </c>
      <c r="BD211" s="82">
        <f>BD179*('CC70 - %'!AT$5/100)</f>
        <v>115.12445769880924</v>
      </c>
      <c r="BE211" s="82">
        <f>BE179*('CC70 - %'!AU$5/100)</f>
        <v>118.54483813032907</v>
      </c>
      <c r="BF211" s="82">
        <f>BF179*('CC70 - %'!AV$5/100)</f>
        <v>122.05155371181183</v>
      </c>
      <c r="BG211" s="82">
        <f>BG179*('CC70 - %'!AW$5/100)</f>
        <v>125.64748304502002</v>
      </c>
      <c r="BH211" s="82">
        <f>BH179*('CC70 - %'!AX$5/100)</f>
        <v>129.32799114387223</v>
      </c>
      <c r="BI211" s="82">
        <f>BI179*('CC70 - %'!AY$5/100)</f>
        <v>133.0957329594041</v>
      </c>
      <c r="BJ211" s="82">
        <f>BJ179*('CC70 - %'!AZ$5/100)</f>
        <v>136.97698517286514</v>
      </c>
      <c r="BK211" s="82">
        <f>BK179*('CC70 - %'!BA$5/100)</f>
        <v>140.97271962637305</v>
      </c>
    </row>
    <row r="212" spans="1:66" x14ac:dyDescent="0.3">
      <c r="A212" s="357"/>
      <c r="C212" s="277"/>
      <c r="D212" s="277"/>
      <c r="E212" s="277"/>
      <c r="F212" s="277"/>
      <c r="G212" s="277"/>
      <c r="H212" s="356"/>
      <c r="I212" s="356"/>
      <c r="J212" s="356"/>
      <c r="K212" s="84"/>
      <c r="L212" s="84"/>
      <c r="M212" s="84"/>
      <c r="N212" s="84"/>
      <c r="O212" s="84"/>
      <c r="P212" s="84"/>
      <c r="Q212" s="84"/>
      <c r="R212" s="84"/>
      <c r="S212" s="84"/>
    </row>
    <row r="213" spans="1:66" x14ac:dyDescent="0.3">
      <c r="A213" s="357"/>
      <c r="C213" s="284"/>
      <c r="D213" s="284"/>
      <c r="E213" s="284"/>
      <c r="F213" s="284"/>
      <c r="G213" s="284"/>
      <c r="H213" s="285"/>
      <c r="I213" s="285"/>
      <c r="J213" s="285"/>
      <c r="K213" s="84"/>
      <c r="L213" s="84"/>
      <c r="M213" s="84"/>
      <c r="N213" s="84"/>
      <c r="O213" s="84"/>
      <c r="P213" s="84"/>
      <c r="Q213" s="84"/>
      <c r="R213" s="84"/>
      <c r="S213" s="84"/>
    </row>
    <row r="214" spans="1:66" x14ac:dyDescent="0.3">
      <c r="A214" s="357"/>
      <c r="C214" s="284"/>
      <c r="D214" s="284"/>
      <c r="E214" s="284"/>
      <c r="F214" s="284"/>
      <c r="G214" s="284"/>
      <c r="H214" s="285"/>
      <c r="I214" s="285"/>
      <c r="J214" s="285"/>
      <c r="K214" s="84"/>
      <c r="L214" s="84"/>
      <c r="M214" s="84"/>
      <c r="N214" s="84"/>
      <c r="O214" s="84"/>
      <c r="P214" s="84"/>
      <c r="Q214" s="84"/>
      <c r="R214" s="84"/>
      <c r="S214" s="84"/>
    </row>
    <row r="215" spans="1:66" x14ac:dyDescent="0.3">
      <c r="A215" s="357"/>
      <c r="C215" s="277"/>
      <c r="D215" s="277"/>
      <c r="E215" s="277"/>
      <c r="F215" s="277"/>
      <c r="G215" s="277"/>
      <c r="H215" s="356"/>
      <c r="I215" s="356"/>
      <c r="J215" s="356"/>
      <c r="K215" s="84"/>
      <c r="L215" s="84"/>
      <c r="M215" s="84"/>
      <c r="N215" s="84"/>
      <c r="O215" s="84"/>
      <c r="P215" s="84"/>
      <c r="Q215" s="84"/>
      <c r="R215" s="84"/>
      <c r="S215" s="84"/>
    </row>
    <row r="216" spans="1:66" x14ac:dyDescent="0.3">
      <c r="A216" s="357"/>
      <c r="C216" s="277"/>
      <c r="D216" s="277"/>
      <c r="E216" s="277"/>
      <c r="F216" s="277"/>
      <c r="G216" s="277"/>
      <c r="H216" s="356"/>
      <c r="I216" s="356"/>
      <c r="J216" s="356"/>
      <c r="K216" s="84"/>
      <c r="L216" s="84"/>
      <c r="M216" s="84"/>
      <c r="N216" s="84"/>
      <c r="O216" s="84"/>
      <c r="P216" s="84"/>
      <c r="Q216" s="84"/>
      <c r="R216" s="84"/>
      <c r="S216" s="84"/>
    </row>
    <row r="217" spans="1:66" x14ac:dyDescent="0.3">
      <c r="C217" s="277"/>
      <c r="D217" s="277"/>
      <c r="E217" s="277"/>
      <c r="F217" s="277"/>
      <c r="G217" s="277"/>
      <c r="H217" s="356"/>
      <c r="I217" s="356"/>
      <c r="J217" s="356"/>
    </row>
    <row r="218" spans="1:66" ht="19.8" x14ac:dyDescent="0.4">
      <c r="B218" s="85" t="s">
        <v>430</v>
      </c>
      <c r="C218" s="277"/>
      <c r="D218" s="277"/>
      <c r="E218" s="277"/>
      <c r="F218" s="277"/>
      <c r="G218" s="277"/>
      <c r="H218" s="356"/>
      <c r="I218" s="356"/>
      <c r="J218" s="356"/>
    </row>
    <row r="219" spans="1:66" x14ac:dyDescent="0.3">
      <c r="C219" s="277"/>
      <c r="D219" s="277"/>
      <c r="E219" s="277"/>
      <c r="F219" s="277"/>
      <c r="G219" s="277"/>
      <c r="H219" s="356"/>
      <c r="I219" s="356"/>
      <c r="J219" s="356"/>
    </row>
    <row r="220" spans="1:66" s="80" customFormat="1" ht="15.6" x14ac:dyDescent="0.3">
      <c r="C220" s="277"/>
      <c r="D220" s="277"/>
      <c r="E220" s="277"/>
      <c r="F220" s="277"/>
      <c r="G220" s="277"/>
      <c r="H220" s="356"/>
      <c r="I220" s="356"/>
      <c r="J220" s="356"/>
      <c r="K220" s="81">
        <v>2018</v>
      </c>
      <c r="L220" s="81">
        <v>2019</v>
      </c>
      <c r="M220" s="81">
        <v>2020</v>
      </c>
      <c r="N220" s="81">
        <v>2021</v>
      </c>
      <c r="O220" s="81">
        <v>2022</v>
      </c>
      <c r="P220" s="81">
        <v>2023</v>
      </c>
      <c r="Q220" s="81">
        <v>2024</v>
      </c>
      <c r="R220" s="81">
        <v>2025</v>
      </c>
      <c r="S220" s="81">
        <v>2026</v>
      </c>
      <c r="T220" s="80">
        <v>2027</v>
      </c>
      <c r="U220" s="80">
        <v>2028</v>
      </c>
      <c r="V220" s="80">
        <v>2029</v>
      </c>
      <c r="W220" s="80">
        <v>2030</v>
      </c>
      <c r="X220" s="80">
        <v>2031</v>
      </c>
      <c r="Y220" s="80">
        <v>2032</v>
      </c>
      <c r="Z220" s="80">
        <v>2033</v>
      </c>
      <c r="AA220" s="80">
        <v>2034</v>
      </c>
      <c r="AB220" s="80">
        <v>2035</v>
      </c>
      <c r="AC220" s="80">
        <v>2036</v>
      </c>
      <c r="AD220" s="80">
        <v>2037</v>
      </c>
      <c r="AE220" s="80">
        <v>2038</v>
      </c>
      <c r="AF220" s="80">
        <v>2039</v>
      </c>
      <c r="AG220" s="80">
        <v>2040</v>
      </c>
      <c r="AH220" s="80">
        <v>2041</v>
      </c>
      <c r="AI220" s="80">
        <v>2042</v>
      </c>
      <c r="AJ220" s="80">
        <v>2043</v>
      </c>
      <c r="AK220" s="80">
        <v>2044</v>
      </c>
      <c r="AL220" s="80">
        <v>2045</v>
      </c>
      <c r="AM220" s="80">
        <v>2046</v>
      </c>
      <c r="AN220" s="80">
        <v>2047</v>
      </c>
      <c r="AO220" s="80">
        <v>2048</v>
      </c>
      <c r="AP220" s="80">
        <v>2049</v>
      </c>
      <c r="AQ220" s="80">
        <v>2050</v>
      </c>
      <c r="AR220" s="80">
        <v>2051</v>
      </c>
      <c r="AS220" s="80">
        <v>2052</v>
      </c>
      <c r="AT220" s="80">
        <v>2053</v>
      </c>
      <c r="AU220" s="80">
        <v>2054</v>
      </c>
      <c r="AV220" s="80">
        <v>2055</v>
      </c>
      <c r="AW220" s="80">
        <v>2056</v>
      </c>
      <c r="AX220" s="80">
        <v>2057</v>
      </c>
      <c r="AY220" s="80">
        <v>2058</v>
      </c>
      <c r="AZ220" s="80">
        <v>2059</v>
      </c>
      <c r="BA220" s="80">
        <v>2060</v>
      </c>
      <c r="BB220" s="80">
        <v>2061</v>
      </c>
      <c r="BC220" s="80">
        <v>2062</v>
      </c>
      <c r="BD220" s="80">
        <v>2063</v>
      </c>
      <c r="BE220" s="80">
        <v>2064</v>
      </c>
      <c r="BF220" s="80">
        <v>2065</v>
      </c>
      <c r="BG220" s="80">
        <v>2066</v>
      </c>
      <c r="BH220" s="80">
        <v>2067</v>
      </c>
      <c r="BI220" s="80">
        <v>2068</v>
      </c>
      <c r="BJ220" s="80">
        <v>2069</v>
      </c>
      <c r="BK220" s="80">
        <v>2070</v>
      </c>
    </row>
    <row r="221" spans="1:66" x14ac:dyDescent="0.3">
      <c r="A221" s="386" t="s">
        <v>672</v>
      </c>
      <c r="B221" t="s">
        <v>431</v>
      </c>
      <c r="C221" s="276"/>
      <c r="D221" s="276"/>
      <c r="E221" s="276"/>
      <c r="F221" s="276"/>
      <c r="G221" s="276"/>
      <c r="H221" s="128"/>
      <c r="I221" s="359"/>
      <c r="J221" s="359"/>
      <c r="K221" s="82">
        <f>Tendencial!O24</f>
        <v>0.173706</v>
      </c>
      <c r="L221" s="82">
        <f>Tendencial!P24</f>
        <v>0.19038099999999999</v>
      </c>
      <c r="M221" s="82">
        <f>Tendencial!Q24</f>
        <v>0.16508</v>
      </c>
      <c r="N221" s="82">
        <f>Tendencial!R24</f>
        <v>0.16789299999999999</v>
      </c>
      <c r="O221" s="82">
        <f>Tendencial!S24</f>
        <v>0.172653</v>
      </c>
      <c r="P221" s="82">
        <f>Tendencial!T24</f>
        <v>0.17179775920311113</v>
      </c>
      <c r="Q221" s="82">
        <f>Tendencial!U24</f>
        <v>0.18226621689268246</v>
      </c>
      <c r="R221" s="82">
        <f>Tendencial!V24</f>
        <v>0.18258087677570864</v>
      </c>
      <c r="S221" s="82">
        <f>Tendencial!W24</f>
        <v>0.19353914044253984</v>
      </c>
      <c r="T221" s="82">
        <f>Tendencial!X24</f>
        <v>0.19835125439036647</v>
      </c>
      <c r="U221" s="82">
        <f>Tendencial!Y24</f>
        <v>0.19934301066231827</v>
      </c>
      <c r="V221" s="82">
        <f>Tendencial!Z24</f>
        <v>0.20033972571562983</v>
      </c>
      <c r="W221" s="82">
        <f>Tendencial!AA24</f>
        <v>0.20134142434420796</v>
      </c>
      <c r="X221" s="82">
        <f>Tendencial!AB24</f>
        <v>0.20234813146592898</v>
      </c>
      <c r="Y221" s="82">
        <f>Tendencial!AC24</f>
        <v>0.20335987212325859</v>
      </c>
      <c r="Z221" s="82">
        <f>Tendencial!AD24</f>
        <v>0.20437667148387487</v>
      </c>
      <c r="AA221" s="82">
        <f>Tendencial!AE24</f>
        <v>0.20539855484129421</v>
      </c>
      <c r="AB221" s="82">
        <f>Tendencial!AF24</f>
        <v>0.20642554761550067</v>
      </c>
      <c r="AC221" s="82">
        <f>Tendencial!AG24</f>
        <v>0.20745767535357815</v>
      </c>
      <c r="AD221" s="82">
        <f>Tendencial!AH24</f>
        <v>0.20849496373034601</v>
      </c>
      <c r="AE221" s="82">
        <f>Tendencial!AI24</f>
        <v>0.20953743854899773</v>
      </c>
      <c r="AF221" s="82">
        <f>Tendencial!AJ24</f>
        <v>0.21058512574174271</v>
      </c>
      <c r="AG221" s="82">
        <f>Tendencial!AK24</f>
        <v>0.21163805137045139</v>
      </c>
      <c r="AH221" s="82">
        <f>Tendencial!AL24</f>
        <v>0.21269624162730361</v>
      </c>
      <c r="AI221" s="82">
        <f>Tendencial!AM24</f>
        <v>0.21375972283544009</v>
      </c>
      <c r="AJ221" s="82">
        <f>Tendencial!AN24</f>
        <v>0.21482852144961728</v>
      </c>
      <c r="AK221" s="82">
        <f>Tendencial!AO24</f>
        <v>0.21590266405686534</v>
      </c>
      <c r="AL221" s="82">
        <f>Tendencial!AP24</f>
        <v>0.21698217737714964</v>
      </c>
      <c r="AM221" s="82">
        <f>Tendencial!AQ24</f>
        <v>0.21806708826403537</v>
      </c>
      <c r="AN221" s="82">
        <f>Tendencial!AR24</f>
        <v>0.21915742370535551</v>
      </c>
      <c r="AO221" s="82">
        <f>Tendencial!AS24</f>
        <v>0.22025321082388227</v>
      </c>
      <c r="AP221" s="82">
        <f>Tendencial!AT24</f>
        <v>0.22135447687800167</v>
      </c>
      <c r="AQ221" s="82">
        <f>Tendencial!AU24</f>
        <v>0.22246124926239166</v>
      </c>
      <c r="AR221" s="82">
        <f>Tendencial!AV24</f>
        <v>0.22357355550870359</v>
      </c>
      <c r="AS221" s="82">
        <f>Tendencial!AW24</f>
        <v>0.22469142328624708</v>
      </c>
      <c r="AT221" s="82">
        <f>Tendencial!AX24</f>
        <v>0.2258148804026783</v>
      </c>
      <c r="AU221" s="82">
        <f>Tendencial!AY24</f>
        <v>0.22694395480469168</v>
      </c>
      <c r="AV221" s="82">
        <f>Tendencial!AZ24</f>
        <v>0.22807867457871511</v>
      </c>
      <c r="AW221" s="82">
        <f>Tendencial!BA24</f>
        <v>0.22921906795160865</v>
      </c>
      <c r="AX221" s="82">
        <f>Tendencial!BB24</f>
        <v>0.23036516329136666</v>
      </c>
      <c r="AY221" s="82">
        <f>Tendencial!BC24</f>
        <v>0.23151698910782348</v>
      </c>
      <c r="AZ221" s="82">
        <f>Tendencial!BD24</f>
        <v>0.23267457405336256</v>
      </c>
      <c r="BA221" s="82">
        <f>Tendencial!BE24</f>
        <v>0.23383794692362936</v>
      </c>
      <c r="BB221" s="82">
        <f>Tendencial!BF24</f>
        <v>0.23500713665824749</v>
      </c>
      <c r="BC221" s="82">
        <f>Tendencial!BG24</f>
        <v>0.23618217234153871</v>
      </c>
      <c r="BD221" s="82">
        <f>Tendencial!BH24</f>
        <v>0.23736308320324637</v>
      </c>
      <c r="BE221" s="82">
        <f>Tendencial!BI24</f>
        <v>0.23854989861926257</v>
      </c>
      <c r="BF221" s="82">
        <f>Tendencial!BJ24</f>
        <v>0.23974264811235885</v>
      </c>
      <c r="BG221" s="82">
        <f>Tendencial!BK24</f>
        <v>0.2409413613529206</v>
      </c>
      <c r="BH221" s="82">
        <f>Tendencial!BL24</f>
        <v>0.24214606815968517</v>
      </c>
      <c r="BI221" s="82">
        <f>Tendencial!BM24</f>
        <v>0.24335679850048358</v>
      </c>
      <c r="BJ221" s="82">
        <f>Tendencial!BN24</f>
        <v>0.24457358249298597</v>
      </c>
      <c r="BK221" s="82">
        <f>Tendencial!BO24</f>
        <v>0.24579645040545087</v>
      </c>
      <c r="BL221" s="82"/>
      <c r="BM221" s="82"/>
      <c r="BN221" s="82"/>
    </row>
    <row r="222" spans="1:66" x14ac:dyDescent="0.3">
      <c r="A222" s="386"/>
      <c r="B222" t="s">
        <v>432</v>
      </c>
      <c r="C222" s="278"/>
      <c r="D222" s="278"/>
      <c r="E222" s="278"/>
      <c r="F222" s="278"/>
      <c r="G222" s="278"/>
      <c r="H222" s="279"/>
      <c r="I222" s="279"/>
      <c r="J222" s="279"/>
      <c r="K222" s="82">
        <f>Tendencial!O25</f>
        <v>0.57383300000000004</v>
      </c>
      <c r="L222" s="82">
        <f>Tendencial!P25</f>
        <v>0.60195399999999999</v>
      </c>
      <c r="M222" s="82">
        <f>Tendencial!Q25</f>
        <v>0.59057899999999997</v>
      </c>
      <c r="N222" s="82">
        <f>Tendencial!R25</f>
        <v>0.62696200000000002</v>
      </c>
      <c r="O222" s="82">
        <f>Tendencial!S25</f>
        <v>0.59155680703088576</v>
      </c>
      <c r="P222" s="82">
        <f>Tendencial!T25</f>
        <v>0.58862651612919203</v>
      </c>
      <c r="Q222" s="82">
        <f>Tendencial!U25</f>
        <v>0.62449434006147664</v>
      </c>
      <c r="R222" s="82">
        <f>Tendencial!V25</f>
        <v>0.62557245162457531</v>
      </c>
      <c r="S222" s="82">
        <f>Tendencial!W25</f>
        <v>0.67638085567470507</v>
      </c>
      <c r="T222" s="82">
        <f>Tendencial!X25</f>
        <v>0.7070622029176018</v>
      </c>
      <c r="U222" s="82">
        <f>Tendencial!Y25</f>
        <v>0.73948933014761298</v>
      </c>
      <c r="V222" s="82">
        <f>Tendencial!Z25</f>
        <v>0.77088754955945371</v>
      </c>
      <c r="W222" s="82">
        <f>Tendencial!AA25</f>
        <v>0.80611349451750147</v>
      </c>
      <c r="X222" s="82">
        <f>Tendencial!AB25</f>
        <v>0.81203187058670045</v>
      </c>
      <c r="Y222" s="82">
        <f>Tendencial!AC25</f>
        <v>0.84368127074164234</v>
      </c>
      <c r="Z222" s="82">
        <f>Tendencial!AD25</f>
        <v>0.87955826947938021</v>
      </c>
      <c r="AA222" s="82">
        <f>Tendencial!AE25</f>
        <v>0.91130059271647901</v>
      </c>
      <c r="AB222" s="82">
        <f>Tendencial!AF25</f>
        <v>0.94333323094324006</v>
      </c>
      <c r="AC222" s="82">
        <f>Tendencial!AG25</f>
        <v>0.95667438800405158</v>
      </c>
      <c r="AD222" s="82">
        <f>Tendencial!AH25</f>
        <v>0.96819781095925761</v>
      </c>
      <c r="AE222" s="82">
        <f>Tendencial!AI25</f>
        <v>0.97825158717554017</v>
      </c>
      <c r="AF222" s="82">
        <f>Tendencial!AJ25</f>
        <v>0.99268457879647198</v>
      </c>
      <c r="AG222" s="82">
        <f>Tendencial!AK25</f>
        <v>1.0060587906793828</v>
      </c>
      <c r="AH222" s="82">
        <f>Tendencial!AL25</f>
        <v>1.0186987198074311</v>
      </c>
      <c r="AI222" s="82">
        <f>Tendencial!AM25</f>
        <v>1.0309143790819608</v>
      </c>
      <c r="AJ222" s="82">
        <f>Tendencial!AN25</f>
        <v>1.0414899066409018</v>
      </c>
      <c r="AK222" s="82">
        <f>Tendencial!AO25</f>
        <v>1.0532868719116846</v>
      </c>
      <c r="AL222" s="82">
        <f>Tendencial!AP25</f>
        <v>1.0641357135910783</v>
      </c>
      <c r="AM222" s="82">
        <f>Tendencial!AQ25</f>
        <v>1.0766235416916974</v>
      </c>
      <c r="AN222" s="82">
        <f>Tendencial!AR25</f>
        <v>1.0875268697346667</v>
      </c>
      <c r="AO222" s="82">
        <f>Tendencial!AS25</f>
        <v>1.0980613717915662</v>
      </c>
      <c r="AP222" s="82">
        <f>Tendencial!AT25</f>
        <v>1.1085863808675078</v>
      </c>
      <c r="AQ222" s="82">
        <f>Tendencial!AU25</f>
        <v>1.1189671270728054</v>
      </c>
      <c r="AR222" s="82">
        <f>Tendencial!AV25</f>
        <v>1.1299608633025007</v>
      </c>
      <c r="AS222" s="82">
        <f>Tendencial!AW25</f>
        <v>1.1402049279180713</v>
      </c>
      <c r="AT222" s="82">
        <f>Tendencial!AX25</f>
        <v>1.1502729070929347</v>
      </c>
      <c r="AU222" s="82">
        <f>Tendencial!AY25</f>
        <v>1.1602870860698995</v>
      </c>
      <c r="AV222" s="82">
        <f>Tendencial!AZ25</f>
        <v>1.1701282311425782</v>
      </c>
      <c r="AW222" s="82">
        <f>Tendencial!BA25</f>
        <v>1.1799173414690918</v>
      </c>
      <c r="AX222" s="82">
        <f>Tendencial!BB25</f>
        <v>1.1893003833558442</v>
      </c>
      <c r="AY222" s="82">
        <f>Tendencial!BC25</f>
        <v>1.1985233574080989</v>
      </c>
      <c r="AZ222" s="82">
        <f>Tendencial!BD25</f>
        <v>1.20757635681995</v>
      </c>
      <c r="BA222" s="82">
        <f>Tendencial!BE25</f>
        <v>1.216423531712354</v>
      </c>
      <c r="BB222" s="82">
        <f>Tendencial!BF25</f>
        <v>1.225033161763458</v>
      </c>
      <c r="BC222" s="82">
        <f>Tendencial!BG25</f>
        <v>1.2334217169071775</v>
      </c>
      <c r="BD222" s="82">
        <f>Tendencial!BH25</f>
        <v>1.2415939672880378</v>
      </c>
      <c r="BE222" s="82">
        <f>Tendencial!BI25</f>
        <v>1.2495475327244707</v>
      </c>
      <c r="BF222" s="82">
        <f>Tendencial!BJ25</f>
        <v>1.2572624115512532</v>
      </c>
      <c r="BG222" s="82">
        <f>Tendencial!BK25</f>
        <v>1.2647336138741643</v>
      </c>
      <c r="BH222" s="82">
        <f>Tendencial!BL25</f>
        <v>1.2719502271003826</v>
      </c>
      <c r="BI222" s="82">
        <f>Tendencial!BM25</f>
        <v>1.2789206836997269</v>
      </c>
      <c r="BJ222" s="82">
        <f>Tendencial!BN25</f>
        <v>1.2856388930936944</v>
      </c>
      <c r="BK222" s="82">
        <f>Tendencial!BO25</f>
        <v>1.292098669706393</v>
      </c>
      <c r="BL222" s="82"/>
      <c r="BM222" s="82"/>
      <c r="BN222" s="82"/>
    </row>
    <row r="223" spans="1:66" x14ac:dyDescent="0.3">
      <c r="A223" s="386"/>
      <c r="B223" t="s">
        <v>433</v>
      </c>
      <c r="C223" s="278"/>
      <c r="D223" s="278"/>
      <c r="E223" s="278"/>
      <c r="F223" s="278"/>
      <c r="G223" s="278"/>
      <c r="H223" s="279"/>
      <c r="I223" s="279"/>
      <c r="J223" s="279"/>
      <c r="K223" s="82">
        <f>Tendencial!O26</f>
        <v>4.5851999999999997E-2</v>
      </c>
      <c r="L223" s="82">
        <f>Tendencial!P26</f>
        <v>4.8097000000000001E-2</v>
      </c>
      <c r="M223" s="82">
        <f>Tendencial!Q26</f>
        <v>3.4789E-2</v>
      </c>
      <c r="N223" s="82">
        <f>Tendencial!R26</f>
        <v>3.4930999999999997E-2</v>
      </c>
      <c r="O223" s="82">
        <f>Tendencial!S26</f>
        <v>3.6397649194333068E-2</v>
      </c>
      <c r="P223" s="82">
        <f>Tendencial!T26</f>
        <v>3.6217352561770395E-2</v>
      </c>
      <c r="Q223" s="82">
        <f>Tendencial!U26</f>
        <v>3.842424876740097E-2</v>
      </c>
      <c r="R223" s="82">
        <f>Tendencial!V26</f>
        <v>3.8490583438897656E-2</v>
      </c>
      <c r="S223" s="82">
        <f>Tendencial!W26</f>
        <v>4.0800737544093205E-2</v>
      </c>
      <c r="T223" s="82">
        <f>Tendencial!X26</f>
        <v>4.1815197966768462E-2</v>
      </c>
      <c r="U223" s="82">
        <f>Tendencial!Y26</f>
        <v>4.2875408962745054E-2</v>
      </c>
      <c r="V223" s="82">
        <f>Tendencial!Z26</f>
        <v>4.3819480372250676E-2</v>
      </c>
      <c r="W223" s="82">
        <f>Tendencial!AA26</f>
        <v>4.4923357919728298E-2</v>
      </c>
      <c r="X223" s="82">
        <f>Tendencial!AB26</f>
        <v>4.4365861889824283E-2</v>
      </c>
      <c r="Y223" s="82">
        <f>Tendencial!AC26</f>
        <v>4.5191221941204292E-2</v>
      </c>
      <c r="Z223" s="82">
        <f>Tendencial!AD26</f>
        <v>4.6189166018104653E-2</v>
      </c>
      <c r="AA223" s="82">
        <f>Tendencial!AE26</f>
        <v>4.6917729347426225E-2</v>
      </c>
      <c r="AB223" s="82">
        <f>Tendencial!AF26</f>
        <v>4.761461694177526E-2</v>
      </c>
      <c r="AC223" s="82">
        <f>Tendencial!AG26</f>
        <v>4.8288010035725137E-2</v>
      </c>
      <c r="AD223" s="82">
        <f>Tendencial!AH26</f>
        <v>4.8869653247129406E-2</v>
      </c>
      <c r="AE223" s="82">
        <f>Tendencial!AI26</f>
        <v>4.937711623863026E-2</v>
      </c>
      <c r="AF223" s="82">
        <f>Tendencial!AJ26</f>
        <v>5.010561953397942E-2</v>
      </c>
      <c r="AG223" s="82">
        <f>Tendencial!AK26</f>
        <v>5.0780681065593421E-2</v>
      </c>
      <c r="AH223" s="82">
        <f>Tendencial!AL26</f>
        <v>5.141867977470433E-2</v>
      </c>
      <c r="AI223" s="82">
        <f>Tendencial!AM26</f>
        <v>5.2035263520478228E-2</v>
      </c>
      <c r="AJ223" s="82">
        <f>Tendencial!AN26</f>
        <v>5.2569061840264608E-2</v>
      </c>
      <c r="AK223" s="82">
        <f>Tendencial!AO26</f>
        <v>5.3164512062962792E-2</v>
      </c>
      <c r="AL223" s="82">
        <f>Tendencial!AP26</f>
        <v>5.3712105875925134E-2</v>
      </c>
      <c r="AM223" s="82">
        <f>Tendencial!AQ26</f>
        <v>5.4342427306297278E-2</v>
      </c>
      <c r="AN223" s="82">
        <f>Tendencial!AR26</f>
        <v>5.489277131107425E-2</v>
      </c>
      <c r="AO223" s="82">
        <f>Tendencial!AS26</f>
        <v>5.5424498874207022E-2</v>
      </c>
      <c r="AP223" s="82">
        <f>Tendencial!AT26</f>
        <v>5.5955747280412936E-2</v>
      </c>
      <c r="AQ223" s="82">
        <f>Tendencial!AU26</f>
        <v>5.6479714037781167E-2</v>
      </c>
      <c r="AR223" s="82">
        <f>Tendencial!AV26</f>
        <v>5.7034621383526253E-2</v>
      </c>
      <c r="AS223" s="82">
        <f>Tendencial!AW26</f>
        <v>5.7551689156183292E-2</v>
      </c>
      <c r="AT223" s="82">
        <f>Tendencial!AX26</f>
        <v>5.8059869040092985E-2</v>
      </c>
      <c r="AU223" s="82">
        <f>Tendencial!AY26</f>
        <v>5.8565333366307572E-2</v>
      </c>
      <c r="AV223" s="82">
        <f>Tendencial!AZ26</f>
        <v>5.9062063829661969E-2</v>
      </c>
      <c r="AW223" s="82">
        <f>Tendencial!BA26</f>
        <v>5.9556167846258161E-2</v>
      </c>
      <c r="AX223" s="82">
        <f>Tendencial!BB26</f>
        <v>6.0029775613409143E-2</v>
      </c>
      <c r="AY223" s="82">
        <f>Tendencial!BC26</f>
        <v>6.0495303978314652E-2</v>
      </c>
      <c r="AZ223" s="82">
        <f>Tendencial!BD26</f>
        <v>6.0952252896289687E-2</v>
      </c>
      <c r="BA223" s="82">
        <f>Tendencial!BE26</f>
        <v>6.1398812849549782E-2</v>
      </c>
      <c r="BB223" s="82">
        <f>Tendencial!BF26</f>
        <v>6.1833382759149819E-2</v>
      </c>
      <c r="BC223" s="82">
        <f>Tendencial!BG26</f>
        <v>6.225679394277131E-2</v>
      </c>
      <c r="BD223" s="82">
        <f>Tendencial!BH26</f>
        <v>6.2669287172812463E-2</v>
      </c>
      <c r="BE223" s="82">
        <f>Tendencial!BI26</f>
        <v>6.307074230993133E-2</v>
      </c>
      <c r="BF223" s="82">
        <f>Tendencial!BJ26</f>
        <v>6.3460149772787439E-2</v>
      </c>
      <c r="BG223" s="82">
        <f>Tendencial!BK26</f>
        <v>6.3837257697146474E-2</v>
      </c>
      <c r="BH223" s="82">
        <f>Tendencial!BL26</f>
        <v>6.4201515271365237E-2</v>
      </c>
      <c r="BI223" s="82">
        <f>Tendencial!BM26</f>
        <v>6.4553348123214602E-2</v>
      </c>
      <c r="BJ223" s="82">
        <f>Tendencial!BN26</f>
        <v>6.4892448831570387E-2</v>
      </c>
      <c r="BK223" s="82">
        <f>Tendencial!BO26</f>
        <v>6.5218505180328012E-2</v>
      </c>
      <c r="BL223" s="82"/>
      <c r="BM223" s="82"/>
      <c r="BN223" s="82"/>
    </row>
    <row r="224" spans="1:66" x14ac:dyDescent="0.3">
      <c r="A224" s="386"/>
      <c r="B224" t="s">
        <v>434</v>
      </c>
      <c r="C224" s="278"/>
      <c r="D224" s="278"/>
      <c r="E224" s="278"/>
      <c r="F224" s="278"/>
      <c r="G224" s="278"/>
      <c r="H224" s="279"/>
      <c r="I224" s="279"/>
      <c r="J224" s="279"/>
      <c r="K224" s="82">
        <f>Tendencial!O27</f>
        <v>0.132771</v>
      </c>
      <c r="L224" s="82">
        <f>Tendencial!P27</f>
        <v>0.14411599999999999</v>
      </c>
      <c r="M224" s="82">
        <f>Tendencial!Q27</f>
        <v>0.15798599999999999</v>
      </c>
      <c r="N224" s="82">
        <f>Tendencial!R27</f>
        <v>0.15176400000000001</v>
      </c>
      <c r="O224" s="82">
        <f>Tendencial!S27</f>
        <v>0.14103099999999999</v>
      </c>
      <c r="P224" s="82">
        <f>Tendencial!T27</f>
        <v>0.14033239954228405</v>
      </c>
      <c r="Q224" s="82">
        <f>Tendencial!U27</f>
        <v>0.14888352264132046</v>
      </c>
      <c r="R224" s="82">
        <f>Tendencial!V27</f>
        <v>0.14914055146771252</v>
      </c>
      <c r="S224" s="82">
        <f>Tendencial!W27</f>
        <v>0.15809177086845777</v>
      </c>
      <c r="T224" s="82">
        <f>Tendencial!X27</f>
        <v>0.15809177086845777</v>
      </c>
      <c r="U224" s="82">
        <f>Tendencial!Y27</f>
        <v>0.15809177086845777</v>
      </c>
      <c r="V224" s="82">
        <f>Tendencial!Z27</f>
        <v>0.15809177086845777</v>
      </c>
      <c r="W224" s="82">
        <f>Tendencial!AA27</f>
        <v>0.15809177086845777</v>
      </c>
      <c r="X224" s="82">
        <f>Tendencial!AB27</f>
        <v>0.15809177086845777</v>
      </c>
      <c r="Y224" s="82">
        <f>Tendencial!AC27</f>
        <v>0.15809177086845777</v>
      </c>
      <c r="Z224" s="82">
        <f>Tendencial!AD27</f>
        <v>0.15809177086845777</v>
      </c>
      <c r="AA224" s="82">
        <f>Tendencial!AE27</f>
        <v>0.15809177086845777</v>
      </c>
      <c r="AB224" s="82">
        <f>Tendencial!AF27</f>
        <v>0.15809177086845777</v>
      </c>
      <c r="AC224" s="82">
        <f>Tendencial!AG27</f>
        <v>0.15809177086845777</v>
      </c>
      <c r="AD224" s="82">
        <f>Tendencial!AH27</f>
        <v>0.15809177086845777</v>
      </c>
      <c r="AE224" s="82">
        <f>Tendencial!AI27</f>
        <v>0.15809177086845777</v>
      </c>
      <c r="AF224" s="82">
        <f>Tendencial!AJ27</f>
        <v>0.15809177086845777</v>
      </c>
      <c r="AG224" s="82">
        <f>Tendencial!AK27</f>
        <v>0.15809177086845777</v>
      </c>
      <c r="AH224" s="82">
        <f>Tendencial!AL27</f>
        <v>0.15809177086845777</v>
      </c>
      <c r="AI224" s="82">
        <f>Tendencial!AM27</f>
        <v>0.15809177086845777</v>
      </c>
      <c r="AJ224" s="82">
        <f>Tendencial!AN27</f>
        <v>0.15809177086845777</v>
      </c>
      <c r="AK224" s="82">
        <f>Tendencial!AO27</f>
        <v>0.15809177086845777</v>
      </c>
      <c r="AL224" s="82">
        <f>Tendencial!AP27</f>
        <v>0.15809177086845777</v>
      </c>
      <c r="AM224" s="82">
        <f>Tendencial!AQ27</f>
        <v>0.15809177086845777</v>
      </c>
      <c r="AN224" s="82">
        <f>Tendencial!AR27</f>
        <v>0.15809177086845777</v>
      </c>
      <c r="AO224" s="82">
        <f>Tendencial!AS27</f>
        <v>0.15809177086845777</v>
      </c>
      <c r="AP224" s="82">
        <f>Tendencial!AT27</f>
        <v>0.15809177086845777</v>
      </c>
      <c r="AQ224" s="82">
        <f>Tendencial!AU27</f>
        <v>0.15809177086845777</v>
      </c>
      <c r="AR224" s="82">
        <f>Tendencial!AV27</f>
        <v>0.15809177086845777</v>
      </c>
      <c r="AS224" s="82">
        <f>Tendencial!AW27</f>
        <v>0.15809177086845777</v>
      </c>
      <c r="AT224" s="82">
        <f>Tendencial!AX27</f>
        <v>0.15809177086845777</v>
      </c>
      <c r="AU224" s="82">
        <f>Tendencial!AY27</f>
        <v>0.15809177086845777</v>
      </c>
      <c r="AV224" s="82">
        <f>Tendencial!AZ27</f>
        <v>0.15809177086845777</v>
      </c>
      <c r="AW224" s="82">
        <f>Tendencial!BA27</f>
        <v>0.15809177086845777</v>
      </c>
      <c r="AX224" s="82">
        <f>Tendencial!BB27</f>
        <v>0.15809177086845777</v>
      </c>
      <c r="AY224" s="82">
        <f>Tendencial!BC27</f>
        <v>0.15809177086845777</v>
      </c>
      <c r="AZ224" s="82">
        <f>Tendencial!BD27</f>
        <v>0.15809177086845777</v>
      </c>
      <c r="BA224" s="82">
        <f>Tendencial!BE27</f>
        <v>0.15809177086845777</v>
      </c>
      <c r="BB224" s="82">
        <f>Tendencial!BF27</f>
        <v>0.15809177086845777</v>
      </c>
      <c r="BC224" s="82">
        <f>Tendencial!BG27</f>
        <v>0.15809177086845777</v>
      </c>
      <c r="BD224" s="82">
        <f>Tendencial!BH27</f>
        <v>0.15809177086845777</v>
      </c>
      <c r="BE224" s="82">
        <f>Tendencial!BI27</f>
        <v>0.15809177086845777</v>
      </c>
      <c r="BF224" s="82">
        <f>Tendencial!BJ27</f>
        <v>0.15809177086845777</v>
      </c>
      <c r="BG224" s="82">
        <f>Tendencial!BK27</f>
        <v>0.15809177086845777</v>
      </c>
      <c r="BH224" s="82">
        <f>Tendencial!BL27</f>
        <v>0.15809177086845777</v>
      </c>
      <c r="BI224" s="82">
        <f>Tendencial!BM27</f>
        <v>0.15809177086845777</v>
      </c>
      <c r="BJ224" s="82">
        <f>Tendencial!BN27</f>
        <v>0.15809177086845777</v>
      </c>
      <c r="BK224" s="82">
        <f>Tendencial!BO27</f>
        <v>0.15809177086845777</v>
      </c>
      <c r="BL224" s="82"/>
      <c r="BM224" s="82"/>
      <c r="BN224" s="82"/>
    </row>
    <row r="225" spans="1:66" x14ac:dyDescent="0.3">
      <c r="A225" s="386"/>
      <c r="B225" t="s">
        <v>435</v>
      </c>
      <c r="C225" s="278"/>
      <c r="D225" s="278"/>
      <c r="E225" s="278"/>
      <c r="F225" s="278"/>
      <c r="G225" s="278"/>
      <c r="H225" s="279"/>
      <c r="I225" s="279"/>
      <c r="J225" s="279"/>
      <c r="K225" s="82">
        <f>Tendencial!O28</f>
        <v>0.46154699999999999</v>
      </c>
      <c r="L225" s="82">
        <f>Tendencial!P28</f>
        <v>0.40525899999999998</v>
      </c>
      <c r="M225" s="82">
        <f>Tendencial!Q28</f>
        <v>0.44468099999999999</v>
      </c>
      <c r="N225" s="82">
        <f>Tendencial!R28</f>
        <v>0.45371800000000001</v>
      </c>
      <c r="O225" s="82">
        <f>Tendencial!S28</f>
        <v>0.43321599999999999</v>
      </c>
      <c r="P225" s="82">
        <f>Tendencial!T28</f>
        <v>0.43107005410236138</v>
      </c>
      <c r="Q225" s="82">
        <f>Tendencial!U28</f>
        <v>0.45733721057485438</v>
      </c>
      <c r="R225" s="82">
        <f>Tendencial!V28</f>
        <v>0.45812674620924865</v>
      </c>
      <c r="S225" s="82">
        <f>Tendencial!W28</f>
        <v>0.48562290991732171</v>
      </c>
      <c r="T225" s="82">
        <f>Tendencial!X28</f>
        <v>0.4976973294525841</v>
      </c>
      <c r="U225" s="82">
        <f>Tendencial!Y28</f>
        <v>0.51031628636325477</v>
      </c>
      <c r="V225" s="82">
        <f>Tendencial!Z28</f>
        <v>0.5215529142442682</v>
      </c>
      <c r="W225" s="82">
        <f>Tendencial!AA28</f>
        <v>0.5346916038627868</v>
      </c>
      <c r="X225" s="82">
        <f>Tendencial!AB28</f>
        <v>0.52805611488377602</v>
      </c>
      <c r="Y225" s="82">
        <f>Tendencial!AC28</f>
        <v>0.53787980371899646</v>
      </c>
      <c r="Z225" s="82">
        <f>Tendencial!AD28</f>
        <v>0.54975764063396348</v>
      </c>
      <c r="AA225" s="82">
        <f>Tendencial!AE28</f>
        <v>0.55842922515279314</v>
      </c>
      <c r="AB225" s="82">
        <f>Tendencial!AF28</f>
        <v>0.56672379534499429</v>
      </c>
      <c r="AC225" s="82">
        <f>Tendencial!AG28</f>
        <v>0.57473872677726956</v>
      </c>
      <c r="AD225" s="82">
        <f>Tendencial!AH28</f>
        <v>0.58166162292713808</v>
      </c>
      <c r="AE225" s="82">
        <f>Tendencial!AI28</f>
        <v>0.58770160331576882</v>
      </c>
      <c r="AF225" s="82">
        <f>Tendencial!AJ28</f>
        <v>0.59637247329181986</v>
      </c>
      <c r="AG225" s="82">
        <f>Tendencial!AK28</f>
        <v>0.60440726298162284</v>
      </c>
      <c r="AH225" s="82">
        <f>Tendencial!AL28</f>
        <v>0.6120009195744015</v>
      </c>
      <c r="AI225" s="82">
        <f>Tendencial!AM28</f>
        <v>0.61933968869608347</v>
      </c>
      <c r="AJ225" s="82">
        <f>Tendencial!AN28</f>
        <v>0.62569312025068458</v>
      </c>
      <c r="AK225" s="82">
        <f>Tendencial!AO28</f>
        <v>0.63278035168970237</v>
      </c>
      <c r="AL225" s="82">
        <f>Tendencial!AP28</f>
        <v>0.63929798144127514</v>
      </c>
      <c r="AM225" s="82">
        <f>Tendencial!AQ28</f>
        <v>0.64680026070448138</v>
      </c>
      <c r="AN225" s="82">
        <f>Tendencial!AR28</f>
        <v>0.65335062408373445</v>
      </c>
      <c r="AO225" s="82">
        <f>Tendencial!AS28</f>
        <v>0.65967940885662557</v>
      </c>
      <c r="AP225" s="82">
        <f>Tendencial!AT28</f>
        <v>0.66600249055660343</v>
      </c>
      <c r="AQ225" s="82">
        <f>Tendencial!AU28</f>
        <v>0.67223890383560658</v>
      </c>
      <c r="AR225" s="82">
        <f>Tendencial!AV28</f>
        <v>0.67884358150066115</v>
      </c>
      <c r="AS225" s="82">
        <f>Tendencial!AW28</f>
        <v>0.68499788094465563</v>
      </c>
      <c r="AT225" s="82">
        <f>Tendencial!AX28</f>
        <v>0.69104639400692502</v>
      </c>
      <c r="AU225" s="82">
        <f>Tendencial!AY28</f>
        <v>0.69706258566744228</v>
      </c>
      <c r="AV225" s="82">
        <f>Tendencial!AZ28</f>
        <v>0.70297482420965129</v>
      </c>
      <c r="AW225" s="82">
        <f>Tendencial!BA28</f>
        <v>0.70885580197584896</v>
      </c>
      <c r="AX225" s="82">
        <f>Tendencial!BB28</f>
        <v>0.71449282708586692</v>
      </c>
      <c r="AY225" s="82">
        <f>Tendencial!BC28</f>
        <v>0.72003368866882611</v>
      </c>
      <c r="AZ225" s="82">
        <f>Tendencial!BD28</f>
        <v>0.72547243503930037</v>
      </c>
      <c r="BA225" s="82">
        <f>Tendencial!BE28</f>
        <v>0.73078752876083786</v>
      </c>
      <c r="BB225" s="82">
        <f>Tendencial!BF28</f>
        <v>0.73595991330007349</v>
      </c>
      <c r="BC225" s="82">
        <f>Tendencial!BG28</f>
        <v>0.74099948325538612</v>
      </c>
      <c r="BD225" s="82">
        <f>Tendencial!BH28</f>
        <v>0.74590910437381075</v>
      </c>
      <c r="BE225" s="82">
        <f>Tendencial!BI28</f>
        <v>0.75068734671999948</v>
      </c>
      <c r="BF225" s="82">
        <f>Tendencial!BJ28</f>
        <v>0.75532219394675215</v>
      </c>
      <c r="BG225" s="82">
        <f>Tendencial!BK28</f>
        <v>0.75981064828859357</v>
      </c>
      <c r="BH225" s="82">
        <f>Tendencial!BL28</f>
        <v>0.76414615381616835</v>
      </c>
      <c r="BI225" s="82">
        <f>Tendencial!BM28</f>
        <v>0.76833377648193402</v>
      </c>
      <c r="BJ225" s="82">
        <f>Tendencial!BN28</f>
        <v>0.77236985726524821</v>
      </c>
      <c r="BK225" s="82">
        <f>Tendencial!BO28</f>
        <v>0.77625068007413922</v>
      </c>
      <c r="BL225" s="82"/>
      <c r="BM225" s="82"/>
      <c r="BN225" s="82"/>
    </row>
    <row r="226" spans="1:66" x14ac:dyDescent="0.3">
      <c r="A226" s="386"/>
      <c r="B226" t="s">
        <v>436</v>
      </c>
      <c r="C226" s="278"/>
      <c r="D226" s="278"/>
      <c r="E226" s="278"/>
      <c r="F226" s="278"/>
      <c r="G226" s="278"/>
      <c r="H226" s="279"/>
      <c r="I226" s="279"/>
      <c r="J226" s="279"/>
      <c r="K226" s="82">
        <f>Tendencial!O29</f>
        <v>0.26776</v>
      </c>
      <c r="L226" s="82">
        <f>Tendencial!P29</f>
        <v>0.24657399999999999</v>
      </c>
      <c r="M226" s="82">
        <f>Tendencial!Q29</f>
        <v>0.25685400000000003</v>
      </c>
      <c r="N226" s="82">
        <f>Tendencial!R29</f>
        <v>0.225575</v>
      </c>
      <c r="O226" s="82">
        <f>Tendencial!S29</f>
        <v>0.19608229763042201</v>
      </c>
      <c r="P226" s="82">
        <f>Tendencial!T29</f>
        <v>0.19511099924301351</v>
      </c>
      <c r="Q226" s="82">
        <f>Tendencial!U29</f>
        <v>0.20700004395360647</v>
      </c>
      <c r="R226" s="82">
        <f>Tendencial!V29</f>
        <v>0.20735740370313815</v>
      </c>
      <c r="S226" s="82">
        <f>Tendencial!W29</f>
        <v>0.21980272187213742</v>
      </c>
      <c r="T226" s="82">
        <f>Tendencial!X29</f>
        <v>0.22526784764087152</v>
      </c>
      <c r="U226" s="82">
        <f>Tendencial!Y29</f>
        <v>0.23097944200660037</v>
      </c>
      <c r="V226" s="82">
        <f>Tendencial!Z29</f>
        <v>0.23606536637810827</v>
      </c>
      <c r="W226" s="82">
        <f>Tendencial!AA29</f>
        <v>0.2420122022480948</v>
      </c>
      <c r="X226" s="82">
        <f>Tendencial!AB29</f>
        <v>0.23900884612803971</v>
      </c>
      <c r="Y226" s="82">
        <f>Tendencial!AC29</f>
        <v>0.24345524579475644</v>
      </c>
      <c r="Z226" s="82">
        <f>Tendencial!AD29</f>
        <v>0.248831394305352</v>
      </c>
      <c r="AA226" s="82">
        <f>Tendencial!AE29</f>
        <v>0.25275632832567563</v>
      </c>
      <c r="AB226" s="82">
        <f>Tendencial!AF29</f>
        <v>0.25651061805907333</v>
      </c>
      <c r="AC226" s="82">
        <f>Tendencial!AG29</f>
        <v>0.26013833765066463</v>
      </c>
      <c r="AD226" s="82">
        <f>Tendencial!AH29</f>
        <v>0.26327178005196794</v>
      </c>
      <c r="AE226" s="82">
        <f>Tendencial!AI29</f>
        <v>0.26600559697527043</v>
      </c>
      <c r="AF226" s="82">
        <f>Tendencial!AJ29</f>
        <v>0.26993020757912328</v>
      </c>
      <c r="AG226" s="82">
        <f>Tendencial!AK29</f>
        <v>0.2735669154185239</v>
      </c>
      <c r="AH226" s="82">
        <f>Tendencial!AL29</f>
        <v>0.27700395752252843</v>
      </c>
      <c r="AI226" s="82">
        <f>Tendencial!AM29</f>
        <v>0.28032563241717356</v>
      </c>
      <c r="AJ226" s="82">
        <f>Tendencial!AN29</f>
        <v>0.28320132365910322</v>
      </c>
      <c r="AK226" s="82">
        <f>Tendencial!AO29</f>
        <v>0.28640914752618374</v>
      </c>
      <c r="AL226" s="82">
        <f>Tendencial!AP29</f>
        <v>0.28935915818320657</v>
      </c>
      <c r="AM226" s="82">
        <f>Tendencial!AQ29</f>
        <v>0.2927548410651743</v>
      </c>
      <c r="AN226" s="82">
        <f>Tendencial!AR29</f>
        <v>0.29571966762217616</v>
      </c>
      <c r="AO226" s="82">
        <f>Tendencial!AS29</f>
        <v>0.29858420323368845</v>
      </c>
      <c r="AP226" s="82">
        <f>Tendencial!AT29</f>
        <v>0.30144615751939474</v>
      </c>
      <c r="AQ226" s="82">
        <f>Tendencial!AU29</f>
        <v>0.30426888393005319</v>
      </c>
      <c r="AR226" s="82">
        <f>Tendencial!AV29</f>
        <v>0.3072582942280852</v>
      </c>
      <c r="AS226" s="82">
        <f>Tendencial!AW29</f>
        <v>0.31004385426114972</v>
      </c>
      <c r="AT226" s="82">
        <f>Tendencial!AX29</f>
        <v>0.31278153324460695</v>
      </c>
      <c r="AU226" s="82">
        <f>Tendencial!AY29</f>
        <v>0.31550458290985295</v>
      </c>
      <c r="AV226" s="82">
        <f>Tendencial!AZ29</f>
        <v>0.31818058129748283</v>
      </c>
      <c r="AW226" s="82">
        <f>Tendencial!BA29</f>
        <v>0.32084243042749988</v>
      </c>
      <c r="AX226" s="82">
        <f>Tendencial!BB29</f>
        <v>0.32339386166589529</v>
      </c>
      <c r="AY226" s="82">
        <f>Tendencial!BC29</f>
        <v>0.32590176735275533</v>
      </c>
      <c r="AZ226" s="82">
        <f>Tendencial!BD29</f>
        <v>0.32836345363523728</v>
      </c>
      <c r="BA226" s="82">
        <f>Tendencial!BE29</f>
        <v>0.33076917223528923</v>
      </c>
      <c r="BB226" s="82">
        <f>Tendencial!BF29</f>
        <v>0.33311029778162499</v>
      </c>
      <c r="BC226" s="82">
        <f>Tendencial!BG29</f>
        <v>0.33539130876900064</v>
      </c>
      <c r="BD226" s="82">
        <f>Tendencial!BH29</f>
        <v>0.33761350229231363</v>
      </c>
      <c r="BE226" s="82">
        <f>Tendencial!BI29</f>
        <v>0.33977623113398997</v>
      </c>
      <c r="BF226" s="82">
        <f>Tendencial!BJ29</f>
        <v>0.34187405645297092</v>
      </c>
      <c r="BG226" s="82">
        <f>Tendencial!BK29</f>
        <v>0.34390562140015085</v>
      </c>
      <c r="BH226" s="82">
        <f>Tendencial!BL29</f>
        <v>0.34586795862969971</v>
      </c>
      <c r="BI226" s="82">
        <f>Tendencial!BM29</f>
        <v>0.34776336109385747</v>
      </c>
      <c r="BJ226" s="82">
        <f>Tendencial!BN29</f>
        <v>0.34959017264609521</v>
      </c>
      <c r="BK226" s="82">
        <f>Tendencial!BO29</f>
        <v>0.35134671130824963</v>
      </c>
      <c r="BL226" s="82"/>
      <c r="BM226" s="82"/>
      <c r="BN226" s="82"/>
    </row>
    <row r="227" spans="1:66" x14ac:dyDescent="0.3">
      <c r="A227" s="386"/>
      <c r="B227" t="s">
        <v>437</v>
      </c>
      <c r="C227" s="278"/>
      <c r="D227" s="278"/>
      <c r="E227" s="278"/>
      <c r="F227" s="278"/>
      <c r="G227" s="278"/>
      <c r="H227" s="279"/>
      <c r="I227" s="279"/>
      <c r="J227" s="279"/>
      <c r="K227" s="82">
        <f>Tendencial!O30</f>
        <v>2.3358380584547072E-2</v>
      </c>
      <c r="L227" s="82">
        <f>Tendencial!P30</f>
        <v>2.7960008202566927E-2</v>
      </c>
      <c r="M227" s="82">
        <f>Tendencial!Q30</f>
        <v>2.0921872758601575E-2</v>
      </c>
      <c r="N227" s="82">
        <f>Tendencial!R30</f>
        <v>1.8807754924945446E-2</v>
      </c>
      <c r="O227" s="82">
        <f>Tendencial!S30</f>
        <v>2.2163448591049351E-2</v>
      </c>
      <c r="P227" s="82">
        <f>Tendencial!T30</f>
        <v>2.205366141425651E-2</v>
      </c>
      <c r="Q227" s="82">
        <f>Tendencial!U30</f>
        <v>2.3397496295957894E-2</v>
      </c>
      <c r="R227" s="82">
        <f>Tendencial!V30</f>
        <v>2.3437889154124949E-2</v>
      </c>
      <c r="S227" s="82">
        <f>Tendencial!W30</f>
        <v>2.4844600380845464E-2</v>
      </c>
      <c r="T227" s="82">
        <f>Tendencial!X30</f>
        <v>2.5462330973982723E-2</v>
      </c>
      <c r="U227" s="82">
        <f>Tendencial!Y30</f>
        <v>2.6107920247606772E-2</v>
      </c>
      <c r="V227" s="82">
        <f>Tendencial!Z30</f>
        <v>2.6682789191453705E-2</v>
      </c>
      <c r="W227" s="82">
        <f>Tendencial!AA30</f>
        <v>2.7354968132014049E-2</v>
      </c>
      <c r="X227" s="82">
        <f>Tendencial!AB30</f>
        <v>2.7015494707988204E-2</v>
      </c>
      <c r="Y227" s="82">
        <f>Tendencial!AC30</f>
        <v>2.7518077305292724E-2</v>
      </c>
      <c r="Z227" s="82">
        <f>Tendencial!AD30</f>
        <v>2.812575067801612E-2</v>
      </c>
      <c r="AA227" s="82">
        <f>Tendencial!AE30</f>
        <v>2.8569391304599675E-2</v>
      </c>
      <c r="AB227" s="82">
        <f>Tendencial!AF30</f>
        <v>2.8993743775514186E-2</v>
      </c>
      <c r="AC227" s="82">
        <f>Tendencial!AG30</f>
        <v>2.9403789851282437E-2</v>
      </c>
      <c r="AD227" s="82">
        <f>Tendencial!AH30</f>
        <v>2.9757967104474342E-2</v>
      </c>
      <c r="AE227" s="82">
        <f>Tendencial!AI30</f>
        <v>3.0066974146768174E-2</v>
      </c>
      <c r="AF227" s="82">
        <f>Tendencial!AJ30</f>
        <v>3.0510578217148494E-2</v>
      </c>
      <c r="AG227" s="82">
        <f>Tendencial!AK30</f>
        <v>3.0921640246782303E-2</v>
      </c>
      <c r="AH227" s="82">
        <f>Tendencial!AL30</f>
        <v>3.1310133786984259E-2</v>
      </c>
      <c r="AI227" s="82">
        <f>Tendencial!AM30</f>
        <v>3.1685587214720028E-2</v>
      </c>
      <c r="AJ227" s="82">
        <f>Tendencial!AN30</f>
        <v>3.2010630504065649E-2</v>
      </c>
      <c r="AK227" s="82">
        <f>Tendencial!AO30</f>
        <v>3.237321519542409E-2</v>
      </c>
      <c r="AL227" s="82">
        <f>Tendencial!AP30</f>
        <v>3.2706658909263095E-2</v>
      </c>
      <c r="AM227" s="82">
        <f>Tendencial!AQ30</f>
        <v>3.309047756038809E-2</v>
      </c>
      <c r="AN227" s="82">
        <f>Tendencial!AR30</f>
        <v>3.3425595935537594E-2</v>
      </c>
      <c r="AO227" s="82">
        <f>Tendencial!AS30</f>
        <v>3.3749378288815836E-2</v>
      </c>
      <c r="AP227" s="82">
        <f>Tendencial!AT30</f>
        <v>3.4072868871330021E-2</v>
      </c>
      <c r="AQ227" s="82">
        <f>Tendencial!AU30</f>
        <v>3.4391925473814054E-2</v>
      </c>
      <c r="AR227" s="82">
        <f>Tendencial!AV30</f>
        <v>3.4729822582623263E-2</v>
      </c>
      <c r="AS227" s="82">
        <f>Tendencial!AW30</f>
        <v>3.5044678218936087E-2</v>
      </c>
      <c r="AT227" s="82">
        <f>Tendencial!AX30</f>
        <v>3.535412179513802E-2</v>
      </c>
      <c r="AU227" s="82">
        <f>Tendencial!AY30</f>
        <v>3.5661911799620249E-2</v>
      </c>
      <c r="AV227" s="82">
        <f>Tendencial!AZ30</f>
        <v>3.5964383534247475E-2</v>
      </c>
      <c r="AW227" s="82">
        <f>Tendencial!BA30</f>
        <v>3.6265255959056872E-2</v>
      </c>
      <c r="AX227" s="82">
        <f>Tendencial!BB30</f>
        <v>3.6553647699510451E-2</v>
      </c>
      <c r="AY227" s="82">
        <f>Tendencial!BC30</f>
        <v>3.6837119687719647E-2</v>
      </c>
      <c r="AZ227" s="82">
        <f>Tendencial!BD30</f>
        <v>3.7115367433836505E-2</v>
      </c>
      <c r="BA227" s="82">
        <f>Tendencial!BE30</f>
        <v>3.7387289076744212E-2</v>
      </c>
      <c r="BB227" s="82">
        <f>Tendencial!BF30</f>
        <v>3.7651909679003795E-2</v>
      </c>
      <c r="BC227" s="82">
        <f>Tendencial!BG30</f>
        <v>3.7909735450964127E-2</v>
      </c>
      <c r="BD227" s="82">
        <f>Tendencial!BH30</f>
        <v>3.8160913005024305E-2</v>
      </c>
      <c r="BE227" s="82">
        <f>Tendencial!BI30</f>
        <v>3.8405369185302338E-2</v>
      </c>
      <c r="BF227" s="82">
        <f>Tendencial!BJ30</f>
        <v>3.8642489232201579E-2</v>
      </c>
      <c r="BG227" s="82">
        <f>Tendencial!BK30</f>
        <v>3.8872119779223557E-2</v>
      </c>
      <c r="BH227" s="82">
        <f>Tendencial!BL30</f>
        <v>3.9093925423236274E-2</v>
      </c>
      <c r="BI227" s="82">
        <f>Tendencial!BM30</f>
        <v>3.9308165339747694E-2</v>
      </c>
      <c r="BJ227" s="82">
        <f>Tendencial!BN30</f>
        <v>3.9514652332264838E-2</v>
      </c>
      <c r="BK227" s="82">
        <f>Tendencial!BO30</f>
        <v>3.971319628450997E-2</v>
      </c>
      <c r="BL227" s="82"/>
      <c r="BM227" s="82"/>
      <c r="BN227" s="82"/>
    </row>
    <row r="228" spans="1:66" x14ac:dyDescent="0.3">
      <c r="A228" s="386"/>
      <c r="B228" t="s">
        <v>438</v>
      </c>
      <c r="C228" s="278"/>
      <c r="D228" s="278"/>
      <c r="E228" s="278"/>
      <c r="F228" s="278"/>
      <c r="G228" s="278"/>
      <c r="H228" s="279"/>
      <c r="I228" s="279"/>
      <c r="J228" s="279"/>
      <c r="K228" s="82">
        <f>Tendencial!O31</f>
        <v>6.376215061464699E-3</v>
      </c>
      <c r="L228" s="82">
        <f>Tendencial!P31</f>
        <v>5.2425295496718273E-3</v>
      </c>
      <c r="M228" s="82">
        <f>Tendencial!Q31</f>
        <v>7.438902636199618E-3</v>
      </c>
      <c r="N228" s="82">
        <f>Tendencial!R31</f>
        <v>4.3327007360931232E-3</v>
      </c>
      <c r="O228" s="82">
        <f>Tendencial!S31</f>
        <v>3.9575663504758931E-3</v>
      </c>
      <c r="P228" s="82">
        <f>Tendencial!T31</f>
        <v>3.937962450171111E-3</v>
      </c>
      <c r="Q228" s="82">
        <f>Tendencial!U31</f>
        <v>4.1779213034411275E-3</v>
      </c>
      <c r="R228" s="82">
        <f>Tendencial!V31</f>
        <v>4.1851339633132935E-3</v>
      </c>
      <c r="S228" s="82">
        <f>Tendencial!W31</f>
        <v>4.4363201897182425E-3</v>
      </c>
      <c r="T228" s="82">
        <f>Tendencial!X31</f>
        <v>4.5466238637614067E-3</v>
      </c>
      <c r="U228" s="82">
        <f>Tendencial!Y31</f>
        <v>4.661902060429525E-3</v>
      </c>
      <c r="V228" s="82">
        <f>Tendencial!Z31</f>
        <v>4.7645522404660837E-3</v>
      </c>
      <c r="W228" s="82">
        <f>Tendencial!AA31</f>
        <v>4.8845783612086139E-3</v>
      </c>
      <c r="X228" s="82">
        <f>Tendencial!AB31</f>
        <v>4.8239610527475068E-3</v>
      </c>
      <c r="Y228" s="82">
        <f>Tendencial!AC31</f>
        <v>4.913703583890895E-3</v>
      </c>
      <c r="Z228" s="82">
        <f>Tendencial!AD31</f>
        <v>5.0222114129902674E-3</v>
      </c>
      <c r="AA228" s="82">
        <f>Tendencial!AE31</f>
        <v>5.1014291036965854E-3</v>
      </c>
      <c r="AB228" s="82">
        <f>Tendencial!AF31</f>
        <v>5.1772026482663049E-3</v>
      </c>
      <c r="AC228" s="82">
        <f>Tendencial!AG31</f>
        <v>5.2504216035628411E-3</v>
      </c>
      <c r="AD228" s="82">
        <f>Tendencial!AH31</f>
        <v>5.3136644682090194E-3</v>
      </c>
      <c r="AE228" s="82">
        <f>Tendencial!AI31</f>
        <v>5.368841615737226E-3</v>
      </c>
      <c r="AF228" s="82">
        <f>Tendencial!AJ31</f>
        <v>5.4480527788673301E-3</v>
      </c>
      <c r="AG228" s="82">
        <f>Tendencial!AK31</f>
        <v>5.5214531456809169E-3</v>
      </c>
      <c r="AH228" s="82">
        <f>Tendencial!AL31</f>
        <v>5.5908236209372556E-3</v>
      </c>
      <c r="AI228" s="82">
        <f>Tendencial!AM31</f>
        <v>5.6578656178392171E-3</v>
      </c>
      <c r="AJ228" s="82">
        <f>Tendencial!AN31</f>
        <v>5.7159062417555563E-3</v>
      </c>
      <c r="AK228" s="82">
        <f>Tendencial!AO31</f>
        <v>5.7806503616890112E-3</v>
      </c>
      <c r="AL228" s="82">
        <f>Tendencial!AP31</f>
        <v>5.8401909885118551E-3</v>
      </c>
      <c r="AM228" s="82">
        <f>Tendencial!AQ31</f>
        <v>5.9087267027143264E-3</v>
      </c>
      <c r="AN228" s="82">
        <f>Tendencial!AR31</f>
        <v>5.968566361667647E-3</v>
      </c>
      <c r="AO228" s="82">
        <f>Tendencial!AS31</f>
        <v>6.0263818293710509E-3</v>
      </c>
      <c r="AP228" s="82">
        <f>Tendencial!AT31</f>
        <v>6.0841451976841841E-3</v>
      </c>
      <c r="AQ228" s="82">
        <f>Tendencial!AU31</f>
        <v>6.1411168223255725E-3</v>
      </c>
      <c r="AR228" s="82">
        <f>Tendencial!AV31</f>
        <v>6.2014526596052659E-3</v>
      </c>
      <c r="AS228" s="82">
        <f>Tendencial!AW31</f>
        <v>6.2576741481705665E-3</v>
      </c>
      <c r="AT228" s="82">
        <f>Tendencial!AX31</f>
        <v>6.3129292443942775E-3</v>
      </c>
      <c r="AU228" s="82">
        <f>Tendencial!AY31</f>
        <v>6.3678890743028606E-3</v>
      </c>
      <c r="AV228" s="82">
        <f>Tendencial!AZ31</f>
        <v>6.421899259315955E-3</v>
      </c>
      <c r="AW228" s="82">
        <f>Tendencial!BA31</f>
        <v>6.4756238671683907E-3</v>
      </c>
      <c r="AX228" s="82">
        <f>Tendencial!BB31</f>
        <v>6.5271198896887841E-3</v>
      </c>
      <c r="AY228" s="82">
        <f>Tendencial!BC31</f>
        <v>6.577737427714535E-3</v>
      </c>
      <c r="AZ228" s="82">
        <f>Tendencial!BD31</f>
        <v>6.6274221107007628E-3</v>
      </c>
      <c r="BA228" s="82">
        <f>Tendencial!BE31</f>
        <v>6.6759771872953082E-3</v>
      </c>
      <c r="BB228" s="82">
        <f>Tendencial!BF31</f>
        <v>6.7232285699870848E-3</v>
      </c>
      <c r="BC228" s="82">
        <f>Tendencial!BG31</f>
        <v>6.7692666490885367E-3</v>
      </c>
      <c r="BD228" s="82">
        <f>Tendencial!BH31</f>
        <v>6.814117604112966E-3</v>
      </c>
      <c r="BE228" s="82">
        <f>Tendencial!BI31</f>
        <v>6.8577683721448386E-3</v>
      </c>
      <c r="BF228" s="82">
        <f>Tendencial!BJ31</f>
        <v>6.9001091800194158E-3</v>
      </c>
      <c r="BG228" s="82">
        <f>Tendencial!BK31</f>
        <v>6.9411126421928329E-3</v>
      </c>
      <c r="BH228" s="82">
        <f>Tendencial!BL31</f>
        <v>6.9807188681591682E-3</v>
      </c>
      <c r="BI228" s="82">
        <f>Tendencial!BM31</f>
        <v>7.0189741370100976E-3</v>
      </c>
      <c r="BJ228" s="82">
        <f>Tendencial!BN31</f>
        <v>7.0558450224248708E-3</v>
      </c>
      <c r="BK228" s="82">
        <f>Tendencial!BO31</f>
        <v>7.0912975767179406E-3</v>
      </c>
      <c r="BL228" s="82"/>
      <c r="BM228" s="82"/>
      <c r="BN228" s="82"/>
    </row>
    <row r="229" spans="1:66" x14ac:dyDescent="0.3">
      <c r="A229" s="386"/>
      <c r="B229" t="s">
        <v>439</v>
      </c>
      <c r="C229" s="278"/>
      <c r="D229" s="278"/>
      <c r="E229" s="278"/>
      <c r="F229" s="278"/>
      <c r="G229" s="278"/>
      <c r="H229" s="279"/>
      <c r="I229" s="279"/>
      <c r="J229" s="279"/>
      <c r="K229" s="82">
        <f>Tendencial!O32</f>
        <v>4.5637999999999998E-2</v>
      </c>
      <c r="L229" s="82">
        <f>Tendencial!P32</f>
        <v>4.7366999999999999E-2</v>
      </c>
      <c r="M229" s="82">
        <f>Tendencial!Q32</f>
        <v>4.1949E-2</v>
      </c>
      <c r="N229" s="82">
        <f>Tendencial!R32</f>
        <v>5.9409999999999998E-2</v>
      </c>
      <c r="O229" s="82">
        <f>Tendencial!S32</f>
        <v>5.0866617530966163E-2</v>
      </c>
      <c r="P229" s="82">
        <f>Tendencial!T32</f>
        <v>5.0614648515008E-2</v>
      </c>
      <c r="Q229" s="82">
        <f>Tendencial!U32</f>
        <v>5.3698840700689837E-2</v>
      </c>
      <c r="R229" s="82">
        <f>Tendencial!V32</f>
        <v>5.3791545049425342E-2</v>
      </c>
      <c r="S229" s="82">
        <f>Tendencial!W32</f>
        <v>5.70200427108861E-2</v>
      </c>
      <c r="T229" s="82">
        <f>Tendencial!X32</f>
        <v>5.8437776313543015E-2</v>
      </c>
      <c r="U229" s="82">
        <f>Tendencial!Y32</f>
        <v>5.9919447477153838E-2</v>
      </c>
      <c r="V229" s="82">
        <f>Tendencial!Z32</f>
        <v>6.1238810688026245E-2</v>
      </c>
      <c r="W229" s="82">
        <f>Tendencial!AA32</f>
        <v>6.2781506940434426E-2</v>
      </c>
      <c r="X229" s="82">
        <f>Tendencial!AB32</f>
        <v>6.2002392410901157E-2</v>
      </c>
      <c r="Y229" s="82">
        <f>Tendencial!AC32</f>
        <v>6.3155853554359348E-2</v>
      </c>
      <c r="Z229" s="82">
        <f>Tendencial!AD32</f>
        <v>6.4550505154135934E-2</v>
      </c>
      <c r="AA229" s="82">
        <f>Tendencial!AE32</f>
        <v>6.5568690477639122E-2</v>
      </c>
      <c r="AB229" s="82">
        <f>Tendencial!AF32</f>
        <v>6.6542608175855375E-2</v>
      </c>
      <c r="AC229" s="82">
        <f>Tendencial!AG32</f>
        <v>6.7483691727022607E-2</v>
      </c>
      <c r="AD229" s="82">
        <f>Tendencial!AH32</f>
        <v>6.8296552541632319E-2</v>
      </c>
      <c r="AE229" s="82">
        <f>Tendencial!AI32</f>
        <v>6.9005744659012602E-2</v>
      </c>
      <c r="AF229" s="82">
        <f>Tendencial!AJ32</f>
        <v>7.0023846083550306E-2</v>
      </c>
      <c r="AG229" s="82">
        <f>Tendencial!AK32</f>
        <v>7.0967261317735925E-2</v>
      </c>
      <c r="AH229" s="82">
        <f>Tendencial!AL32</f>
        <v>7.1858880338193085E-2</v>
      </c>
      <c r="AI229" s="82">
        <f>Tendencial!AM32</f>
        <v>7.2720571416224969E-2</v>
      </c>
      <c r="AJ229" s="82">
        <f>Tendencial!AN32</f>
        <v>7.3466567808087371E-2</v>
      </c>
      <c r="AK229" s="82">
        <f>Tendencial!AO32</f>
        <v>7.4298724263439794E-2</v>
      </c>
      <c r="AL229" s="82">
        <f>Tendencial!AP32</f>
        <v>7.5064000199189393E-2</v>
      </c>
      <c r="AM229" s="82">
        <f>Tendencial!AQ32</f>
        <v>7.5944890032187268E-2</v>
      </c>
      <c r="AN229" s="82">
        <f>Tendencial!AR32</f>
        <v>7.6714009429211652E-2</v>
      </c>
      <c r="AO229" s="82">
        <f>Tendencial!AS32</f>
        <v>7.7457111887289043E-2</v>
      </c>
      <c r="AP229" s="82">
        <f>Tendencial!AT32</f>
        <v>7.8199544711676477E-2</v>
      </c>
      <c r="AQ229" s="82">
        <f>Tendencial!AU32</f>
        <v>7.8931801251204317E-2</v>
      </c>
      <c r="AR229" s="82">
        <f>Tendencial!AV32</f>
        <v>7.9707298030417567E-2</v>
      </c>
      <c r="AS229" s="82">
        <f>Tendencial!AW32</f>
        <v>8.0429913067693898E-2</v>
      </c>
      <c r="AT229" s="82">
        <f>Tendencial!AX32</f>
        <v>8.114010705999683E-2</v>
      </c>
      <c r="AU229" s="82">
        <f>Tendencial!AY32</f>
        <v>8.184650599306606E-2</v>
      </c>
      <c r="AV229" s="82">
        <f>Tendencial!AZ32</f>
        <v>8.2540699136159523E-2</v>
      </c>
      <c r="AW229" s="82">
        <f>Tendencial!BA32</f>
        <v>8.3231221754763857E-2</v>
      </c>
      <c r="AX229" s="82">
        <f>Tendencial!BB32</f>
        <v>8.3893100356393843E-2</v>
      </c>
      <c r="AY229" s="82">
        <f>Tendencial!BC32</f>
        <v>8.454368779298993E-2</v>
      </c>
      <c r="AZ229" s="82">
        <f>Tendencial!BD32</f>
        <v>8.518228523970206E-2</v>
      </c>
      <c r="BA229" s="82">
        <f>Tendencial!BE32</f>
        <v>8.5806363850544437E-2</v>
      </c>
      <c r="BB229" s="82">
        <f>Tendencial!BF32</f>
        <v>8.641368607797921E-2</v>
      </c>
      <c r="BC229" s="82">
        <f>Tendencial!BG32</f>
        <v>8.700541370908571E-2</v>
      </c>
      <c r="BD229" s="82">
        <f>Tendencial!BH32</f>
        <v>8.7581883229262386E-2</v>
      </c>
      <c r="BE229" s="82">
        <f>Tendencial!BI32</f>
        <v>8.8142926740799016E-2</v>
      </c>
      <c r="BF229" s="82">
        <f>Tendencial!BJ32</f>
        <v>8.8687133328731335E-2</v>
      </c>
      <c r="BG229" s="82">
        <f>Tendencial!BK32</f>
        <v>8.9214151006544826E-2</v>
      </c>
      <c r="BH229" s="82">
        <f>Tendencial!BL32</f>
        <v>8.9723210001306175E-2</v>
      </c>
      <c r="BI229" s="82">
        <f>Tendencial!BM32</f>
        <v>9.0214905138382151E-2</v>
      </c>
      <c r="BJ229" s="82">
        <f>Tendencial!BN32</f>
        <v>9.0688806789126636E-2</v>
      </c>
      <c r="BK229" s="82">
        <f>Tendencial!BO32</f>
        <v>9.1144478623789507E-2</v>
      </c>
      <c r="BL229" s="82"/>
      <c r="BM229" s="82"/>
      <c r="BN229" s="82"/>
    </row>
    <row r="230" spans="1:66" x14ac:dyDescent="0.3">
      <c r="A230" s="386"/>
      <c r="B230" t="s">
        <v>440</v>
      </c>
      <c r="C230" s="278"/>
      <c r="D230" s="278"/>
      <c r="E230" s="278"/>
      <c r="F230" s="278"/>
      <c r="G230" s="278"/>
      <c r="H230" s="279"/>
      <c r="I230" s="279"/>
      <c r="J230" s="279"/>
      <c r="K230" s="82">
        <f>Tendencial!O33</f>
        <v>1.5675000000000001E-2</v>
      </c>
      <c r="L230" s="82">
        <f>Tendencial!P33</f>
        <v>1.5810000000000001E-2</v>
      </c>
      <c r="M230" s="82">
        <f>Tendencial!Q33</f>
        <v>2.3879000000000001E-2</v>
      </c>
      <c r="N230" s="82">
        <f>Tendencial!R33</f>
        <v>1.9668999999999999E-2</v>
      </c>
      <c r="O230" s="82">
        <f>Tendencial!S33</f>
        <v>1.3838983196032719E-2</v>
      </c>
      <c r="P230" s="82">
        <f>Tendencial!T33</f>
        <v>1.3770431459215481E-2</v>
      </c>
      <c r="Q230" s="82">
        <f>Tendencial!U33</f>
        <v>1.4609529592780245E-2</v>
      </c>
      <c r="R230" s="82">
        <f>Tendencial!V33</f>
        <v>1.4634751122864663E-2</v>
      </c>
      <c r="S230" s="82">
        <f>Tendencial!W33</f>
        <v>1.5513109603417985E-2</v>
      </c>
      <c r="T230" s="82">
        <f>Tendencial!X33</f>
        <v>1.5898824094688728E-2</v>
      </c>
      <c r="U230" s="82">
        <f>Tendencial!Y33</f>
        <v>1.6301933704302021E-2</v>
      </c>
      <c r="V230" s="82">
        <f>Tendencial!Z33</f>
        <v>1.6660885138287417E-2</v>
      </c>
      <c r="W230" s="82">
        <f>Tendencial!AA33</f>
        <v>1.7080597486973909E-2</v>
      </c>
      <c r="X230" s="82">
        <f>Tendencial!AB33</f>
        <v>1.6868628352689877E-2</v>
      </c>
      <c r="Y230" s="82">
        <f>Tendencial!AC33</f>
        <v>1.7182443781283627E-2</v>
      </c>
      <c r="Z230" s="82">
        <f>Tendencial!AD33</f>
        <v>1.7561878486999586E-2</v>
      </c>
      <c r="AA230" s="82">
        <f>Tendencial!AE33</f>
        <v>1.7838890214265112E-2</v>
      </c>
      <c r="AB230" s="82">
        <f>Tendencial!AF33</f>
        <v>1.8103858307567729E-2</v>
      </c>
      <c r="AC230" s="82">
        <f>Tendencial!AG33</f>
        <v>1.8359893406475921E-2</v>
      </c>
      <c r="AD230" s="82">
        <f>Tendencial!AH33</f>
        <v>1.8581043695213895E-2</v>
      </c>
      <c r="AE230" s="82">
        <f>Tendencial!AI33</f>
        <v>1.8773989447685244E-2</v>
      </c>
      <c r="AF230" s="82">
        <f>Tendencial!AJ33</f>
        <v>1.9050978349049816E-2</v>
      </c>
      <c r="AG230" s="82">
        <f>Tendencial!AK33</f>
        <v>1.9307647815322623E-2</v>
      </c>
      <c r="AH230" s="82">
        <f>Tendencial!AL33</f>
        <v>1.9550225388597631E-2</v>
      </c>
      <c r="AI230" s="82">
        <f>Tendencial!AM33</f>
        <v>1.9784660641576562E-2</v>
      </c>
      <c r="AJ230" s="82">
        <f>Tendencial!AN33</f>
        <v>1.9987619517798282E-2</v>
      </c>
      <c r="AK230" s="82">
        <f>Tendencial!AO33</f>
        <v>2.0214019458684493E-2</v>
      </c>
      <c r="AL230" s="82">
        <f>Tendencial!AP33</f>
        <v>2.0422223607677096E-2</v>
      </c>
      <c r="AM230" s="82">
        <f>Tendencial!AQ33</f>
        <v>2.066188215365752E-2</v>
      </c>
      <c r="AN230" s="82">
        <f>Tendencial!AR33</f>
        <v>2.0871131970685037E-2</v>
      </c>
      <c r="AO230" s="82">
        <f>Tendencial!AS33</f>
        <v>2.1073303511263748E-2</v>
      </c>
      <c r="AP230" s="82">
        <f>Tendencial!AT33</f>
        <v>2.1275292868520024E-2</v>
      </c>
      <c r="AQ230" s="82">
        <f>Tendencial!AU33</f>
        <v>2.1474513623458993E-2</v>
      </c>
      <c r="AR230" s="82">
        <f>Tendencial!AV33</f>
        <v>2.1685498497567759E-2</v>
      </c>
      <c r="AS230" s="82">
        <f>Tendencial!AW33</f>
        <v>2.1882096145366531E-2</v>
      </c>
      <c r="AT230" s="82">
        <f>Tendencial!AX33</f>
        <v>2.2075314472089762E-2</v>
      </c>
      <c r="AU230" s="82">
        <f>Tendencial!AY33</f>
        <v>2.2267500299238366E-2</v>
      </c>
      <c r="AV230" s="82">
        <f>Tendencial!AZ33</f>
        <v>2.2456365368479961E-2</v>
      </c>
      <c r="AW230" s="82">
        <f>Tendencial!BA33</f>
        <v>2.2644231819586687E-2</v>
      </c>
      <c r="AX230" s="82">
        <f>Tendencial!BB33</f>
        <v>2.2824305260487194E-2</v>
      </c>
      <c r="AY230" s="82">
        <f>Tendencial!BC33</f>
        <v>2.3001306780140472E-2</v>
      </c>
      <c r="AZ230" s="82">
        <f>Tendencial!BD33</f>
        <v>2.3175046253355858E-2</v>
      </c>
      <c r="BA230" s="82">
        <f>Tendencial!BE33</f>
        <v>2.3344835671793074E-2</v>
      </c>
      <c r="BB230" s="82">
        <f>Tendencial!BF33</f>
        <v>2.3510066278977254E-2</v>
      </c>
      <c r="BC230" s="82">
        <f>Tendencial!BG33</f>
        <v>2.367105415552568E-2</v>
      </c>
      <c r="BD230" s="82">
        <f>Tendencial!BH33</f>
        <v>2.3827890847053154E-2</v>
      </c>
      <c r="BE230" s="82">
        <f>Tendencial!BI33</f>
        <v>2.3980530674611412E-2</v>
      </c>
      <c r="BF230" s="82">
        <f>Tendencial!BJ33</f>
        <v>2.4128589778816264E-2</v>
      </c>
      <c r="BG230" s="82">
        <f>Tendencial!BK33</f>
        <v>2.4271972396754899E-2</v>
      </c>
      <c r="BH230" s="82">
        <f>Tendencial!BL33</f>
        <v>2.4410469100806489E-2</v>
      </c>
      <c r="BI230" s="82">
        <f>Tendencial!BM33</f>
        <v>2.4544241721630413E-2</v>
      </c>
      <c r="BJ230" s="82">
        <f>Tendencial!BN33</f>
        <v>2.4673173372673114E-2</v>
      </c>
      <c r="BK230" s="82">
        <f>Tendencial!BO33</f>
        <v>2.4797145344250857E-2</v>
      </c>
      <c r="BL230" s="82"/>
      <c r="BM230" s="82"/>
      <c r="BN230" s="82"/>
    </row>
    <row r="231" spans="1:66" x14ac:dyDescent="0.3">
      <c r="A231" s="386"/>
      <c r="B231" t="s">
        <v>441</v>
      </c>
      <c r="C231" s="278"/>
      <c r="D231" s="278"/>
      <c r="E231" s="278"/>
      <c r="F231" s="278"/>
      <c r="G231" s="278"/>
      <c r="H231" s="279"/>
      <c r="I231" s="279"/>
      <c r="J231" s="279"/>
      <c r="K231" s="82">
        <f>Tendencial!O34</f>
        <v>3.9402E-2</v>
      </c>
      <c r="L231" s="82">
        <f>Tendencial!P34</f>
        <v>3.5994999999999999E-2</v>
      </c>
      <c r="M231" s="82">
        <f>Tendencial!Q34</f>
        <v>3.6186000000000003E-2</v>
      </c>
      <c r="N231" s="82">
        <f>Tendencial!R34</f>
        <v>3.9580999999999998E-2</v>
      </c>
      <c r="O231" s="82">
        <f>Tendencial!S34</f>
        <v>3.7412769150859976E-2</v>
      </c>
      <c r="P231" s="82">
        <f>Tendencial!T34</f>
        <v>3.7227444097125605E-2</v>
      </c>
      <c r="Q231" s="82">
        <f>Tendencial!U34</f>
        <v>3.9495890002528213E-2</v>
      </c>
      <c r="R231" s="82">
        <f>Tendencial!V34</f>
        <v>3.9564074728914059E-2</v>
      </c>
      <c r="S231" s="82">
        <f>Tendencial!W34</f>
        <v>4.1938658366970805E-2</v>
      </c>
      <c r="T231" s="82">
        <f>Tendencial!X34</f>
        <v>4.2981411798754039E-2</v>
      </c>
      <c r="U231" s="82">
        <f>Tendencial!Y34</f>
        <v>4.4071191774155617E-2</v>
      </c>
      <c r="V231" s="82">
        <f>Tendencial!Z34</f>
        <v>4.5041593063458119E-2</v>
      </c>
      <c r="W231" s="82">
        <f>Tendencial!AA34</f>
        <v>4.6176257437909742E-2</v>
      </c>
      <c r="X231" s="82">
        <f>Tendencial!AB34</f>
        <v>4.5603213004244303E-2</v>
      </c>
      <c r="Y231" s="82">
        <f>Tendencial!AC34</f>
        <v>4.6451592109822082E-2</v>
      </c>
      <c r="Z231" s="82">
        <f>Tendencial!AD34</f>
        <v>4.7477368559702103E-2</v>
      </c>
      <c r="AA231" s="82">
        <f>Tendencial!AE34</f>
        <v>4.8226251310512662E-2</v>
      </c>
      <c r="AB231" s="82">
        <f>Tendencial!AF34</f>
        <v>4.8942574899222283E-2</v>
      </c>
      <c r="AC231" s="82">
        <f>Tendencial!AG34</f>
        <v>4.9634748732681082E-2</v>
      </c>
      <c r="AD231" s="82">
        <f>Tendencial!AH34</f>
        <v>5.0232613805786433E-2</v>
      </c>
      <c r="AE231" s="82">
        <f>Tendencial!AI34</f>
        <v>5.0754229794013013E-2</v>
      </c>
      <c r="AF231" s="82">
        <f>Tendencial!AJ34</f>
        <v>5.1503050836520951E-2</v>
      </c>
      <c r="AG231" s="82">
        <f>Tendencial!AK34</f>
        <v>5.2196939639889958E-2</v>
      </c>
      <c r="AH231" s="82">
        <f>Tendencial!AL34</f>
        <v>5.2852731949307279E-2</v>
      </c>
      <c r="AI231" s="82">
        <f>Tendencial!AM34</f>
        <v>5.3486512038225846E-2</v>
      </c>
      <c r="AJ231" s="82">
        <f>Tendencial!AN34</f>
        <v>5.4035197839461438E-2</v>
      </c>
      <c r="AK231" s="82">
        <f>Tendencial!AO34</f>
        <v>5.4647254997430415E-2</v>
      </c>
      <c r="AL231" s="82">
        <f>Tendencial!AP34</f>
        <v>5.52101210441747E-2</v>
      </c>
      <c r="AM231" s="82">
        <f>Tendencial!AQ34</f>
        <v>5.585802195775965E-2</v>
      </c>
      <c r="AN231" s="82">
        <f>Tendencial!AR34</f>
        <v>5.6423714898376442E-2</v>
      </c>
      <c r="AO231" s="82">
        <f>Tendencial!AS34</f>
        <v>5.6970272190151564E-2</v>
      </c>
      <c r="AP231" s="82">
        <f>Tendencial!AT34</f>
        <v>5.7516336961451101E-2</v>
      </c>
      <c r="AQ231" s="82">
        <f>Tendencial!AU34</f>
        <v>5.8054917000823381E-2</v>
      </c>
      <c r="AR231" s="82">
        <f>Tendencial!AV34</f>
        <v>5.8625300552674023E-2</v>
      </c>
      <c r="AS231" s="82">
        <f>Tendencial!AW34</f>
        <v>5.9156789196637846E-2</v>
      </c>
      <c r="AT231" s="82">
        <f>Tendencial!AX34</f>
        <v>5.9679142071196137E-2</v>
      </c>
      <c r="AU231" s="82">
        <f>Tendencial!AY34</f>
        <v>6.0198703651937059E-2</v>
      </c>
      <c r="AV231" s="82">
        <f>Tendencial!AZ34</f>
        <v>6.0709287784897245E-2</v>
      </c>
      <c r="AW231" s="82">
        <f>Tendencial!BA34</f>
        <v>6.1217172220255342E-2</v>
      </c>
      <c r="AX231" s="82">
        <f>Tendencial!BB34</f>
        <v>6.1703988771672429E-2</v>
      </c>
      <c r="AY231" s="82">
        <f>Tendencial!BC34</f>
        <v>6.2182500588641609E-2</v>
      </c>
      <c r="AZ231" s="82">
        <f>Tendencial!BD34</f>
        <v>6.2652193680375598E-2</v>
      </c>
      <c r="BA231" s="82">
        <f>Tendencial!BE34</f>
        <v>6.3111208062159904E-2</v>
      </c>
      <c r="BB231" s="82">
        <f>Tendencial!BF34</f>
        <v>6.3557898001418603E-2</v>
      </c>
      <c r="BC231" s="82">
        <f>Tendencial!BG34</f>
        <v>6.3993118001044014E-2</v>
      </c>
      <c r="BD231" s="82">
        <f>Tendencial!BH34</f>
        <v>6.4417115548507195E-2</v>
      </c>
      <c r="BE231" s="82">
        <f>Tendencial!BI34</f>
        <v>6.4829767153814527E-2</v>
      </c>
      <c r="BF231" s="82">
        <f>Tendencial!BJ34</f>
        <v>6.5230035078692655E-2</v>
      </c>
      <c r="BG231" s="82">
        <f>Tendencial!BK34</f>
        <v>6.5617660434486275E-2</v>
      </c>
      <c r="BH231" s="82">
        <f>Tendencial!BL34</f>
        <v>6.5992077047574038E-2</v>
      </c>
      <c r="BI231" s="82">
        <f>Tendencial!BM34</f>
        <v>6.6353722416362823E-2</v>
      </c>
      <c r="BJ231" s="82">
        <f>Tendencial!BN34</f>
        <v>6.6702280545841777E-2</v>
      </c>
      <c r="BK231" s="82">
        <f>Tendencial!BO34</f>
        <v>6.7037430512289067E-2</v>
      </c>
      <c r="BL231" s="82"/>
      <c r="BM231" s="82"/>
      <c r="BN231" s="82"/>
    </row>
    <row r="232" spans="1:66" x14ac:dyDescent="0.3">
      <c r="A232" s="386"/>
      <c r="B232" t="s">
        <v>442</v>
      </c>
      <c r="C232" s="278"/>
      <c r="D232" s="278"/>
      <c r="E232" s="278"/>
      <c r="F232" s="278"/>
      <c r="G232" s="278"/>
      <c r="H232" s="279"/>
      <c r="I232" s="279"/>
      <c r="J232" s="279"/>
      <c r="K232" s="82">
        <f>Tendencial!O35</f>
        <v>0.16350400000000001</v>
      </c>
      <c r="L232" s="82">
        <f>Tendencial!P35</f>
        <v>0.195711</v>
      </c>
      <c r="M232" s="82">
        <f>Tendencial!Q35</f>
        <v>0.186835</v>
      </c>
      <c r="N232" s="82">
        <f>Tendencial!R35</f>
        <v>0.17084299999999999</v>
      </c>
      <c r="O232" s="82">
        <f>Tendencial!S35</f>
        <v>0.17689230288687302</v>
      </c>
      <c r="P232" s="82">
        <f>Tendencial!T35</f>
        <v>0.17601606260095576</v>
      </c>
      <c r="Q232" s="82">
        <f>Tendencial!U35</f>
        <v>0.18674156165618253</v>
      </c>
      <c r="R232" s="82">
        <f>Tendencial!V35</f>
        <v>0.18706394766357665</v>
      </c>
      <c r="S232" s="82">
        <f>Tendencial!W35</f>
        <v>0.19829127933848134</v>
      </c>
      <c r="T232" s="82">
        <f>Tendencial!X35</f>
        <v>0.20322154940610307</v>
      </c>
      <c r="U232" s="82">
        <f>Tendencial!Y35</f>
        <v>0.20837416691782645</v>
      </c>
      <c r="V232" s="82">
        <f>Tendencial!Z35</f>
        <v>0.21296234690784369</v>
      </c>
      <c r="W232" s="82">
        <f>Tendencial!AA35</f>
        <v>0.21832718353330444</v>
      </c>
      <c r="X232" s="82">
        <f>Tendencial!AB35</f>
        <v>0.21561775699717076</v>
      </c>
      <c r="Y232" s="82">
        <f>Tendencial!AC35</f>
        <v>0.21962900067447311</v>
      </c>
      <c r="Z232" s="82">
        <f>Tendencial!AD35</f>
        <v>0.22447900142514535</v>
      </c>
      <c r="AA232" s="82">
        <f>Tendencial!AE35</f>
        <v>0.22801981375713204</v>
      </c>
      <c r="AB232" s="82">
        <f>Tendencial!AF35</f>
        <v>0.23140668225403724</v>
      </c>
      <c r="AC232" s="82">
        <f>Tendencial!AG35</f>
        <v>0.23467936765470471</v>
      </c>
      <c r="AD232" s="82">
        <f>Tendencial!AH35</f>
        <v>0.2375061493123464</v>
      </c>
      <c r="AE232" s="82">
        <f>Tendencial!AI35</f>
        <v>0.23997241565600971</v>
      </c>
      <c r="AF232" s="82">
        <f>Tendencial!AJ35</f>
        <v>0.24351293622333944</v>
      </c>
      <c r="AG232" s="82">
        <f>Tendencial!AK35</f>
        <v>0.24679373021857726</v>
      </c>
      <c r="AH232" s="82">
        <f>Tendencial!AL35</f>
        <v>0.24989439917362208</v>
      </c>
      <c r="AI232" s="82">
        <f>Tendencial!AM35</f>
        <v>0.25289099156699951</v>
      </c>
      <c r="AJ232" s="82">
        <f>Tendencial!AN35</f>
        <v>0.25548524740918332</v>
      </c>
      <c r="AK232" s="82">
        <f>Tendencial!AO35</f>
        <v>0.25837913103845855</v>
      </c>
      <c r="AL232" s="82">
        <f>Tendencial!AP35</f>
        <v>0.26104043287430884</v>
      </c>
      <c r="AM232" s="82">
        <f>Tendencial!AQ35</f>
        <v>0.26410379031209735</v>
      </c>
      <c r="AN232" s="82">
        <f>Tendencial!AR35</f>
        <v>0.2667784580595996</v>
      </c>
      <c r="AO232" s="82">
        <f>Tendencial!AS35</f>
        <v>0.26936265003993293</v>
      </c>
      <c r="AP232" s="82">
        <f>Tendencial!AT35</f>
        <v>0.27194451332118508</v>
      </c>
      <c r="AQ232" s="82">
        <f>Tendencial!AU35</f>
        <v>0.27449098784354148</v>
      </c>
      <c r="AR232" s="82">
        <f>Tendencial!AV35</f>
        <v>0.27718783339402209</v>
      </c>
      <c r="AS232" s="82">
        <f>Tendencial!AW35</f>
        <v>0.27970077890227568</v>
      </c>
      <c r="AT232" s="82">
        <f>Tendencial!AX35</f>
        <v>0.28217052933768472</v>
      </c>
      <c r="AU232" s="82">
        <f>Tendencial!AY35</f>
        <v>0.28462708218300364</v>
      </c>
      <c r="AV232" s="82">
        <f>Tendencial!AZ35</f>
        <v>0.28704118852013771</v>
      </c>
      <c r="AW232" s="82">
        <f>Tendencial!BA35</f>
        <v>0.28944253034566864</v>
      </c>
      <c r="AX232" s="82">
        <f>Tendencial!BB35</f>
        <v>0.29174426055217578</v>
      </c>
      <c r="AY232" s="82">
        <f>Tendencial!BC35</f>
        <v>0.29400672492419122</v>
      </c>
      <c r="AZ232" s="82">
        <f>Tendencial!BD35</f>
        <v>0.29622749324828546</v>
      </c>
      <c r="BA232" s="82">
        <f>Tendencial!BE35</f>
        <v>0.29839777128155831</v>
      </c>
      <c r="BB232" s="82">
        <f>Tendencial!BF35</f>
        <v>0.30050977779231008</v>
      </c>
      <c r="BC232" s="82">
        <f>Tendencial!BG35</f>
        <v>0.30256755297825599</v>
      </c>
      <c r="BD232" s="82">
        <f>Tendencial!BH35</f>
        <v>0.30457226699145074</v>
      </c>
      <c r="BE232" s="82">
        <f>Tendencial!BI35</f>
        <v>0.30652333595559078</v>
      </c>
      <c r="BF232" s="82">
        <f>Tendencial!BJ35</f>
        <v>0.30841585331291166</v>
      </c>
      <c r="BG232" s="82">
        <f>Tendencial!BK35</f>
        <v>0.31024859500511809</v>
      </c>
      <c r="BH232" s="82">
        <f>Tendencial!BL35</f>
        <v>0.31201888409174339</v>
      </c>
      <c r="BI232" s="82">
        <f>Tendencial!BM35</f>
        <v>0.31372878912057095</v>
      </c>
      <c r="BJ232" s="82">
        <f>Tendencial!BN35</f>
        <v>0.31537681602723622</v>
      </c>
      <c r="BK232" s="82">
        <f>Tendencial!BO35</f>
        <v>0.31696144744380589</v>
      </c>
      <c r="BL232" s="82"/>
      <c r="BM232" s="82"/>
      <c r="BN232" s="82"/>
    </row>
    <row r="233" spans="1:66" x14ac:dyDescent="0.3">
      <c r="A233" s="386"/>
      <c r="B233" t="s">
        <v>443</v>
      </c>
      <c r="C233" s="278"/>
      <c r="D233" s="278"/>
      <c r="E233" s="278"/>
      <c r="F233" s="278"/>
      <c r="G233" s="278"/>
      <c r="H233" s="279"/>
      <c r="I233" s="279"/>
      <c r="J233" s="279"/>
      <c r="K233" s="82">
        <f>Tendencial!O36</f>
        <v>2.2915999999999999E-2</v>
      </c>
      <c r="L233" s="82">
        <f>Tendencial!P36</f>
        <v>1.8966E-2</v>
      </c>
      <c r="M233" s="82">
        <f>Tendencial!Q36</f>
        <v>1.7247999999999999E-2</v>
      </c>
      <c r="N233" s="82">
        <f>Tendencial!R36</f>
        <v>1.3710999999999999E-2</v>
      </c>
      <c r="O233" s="82">
        <f>Tendencial!S36</f>
        <v>1.5923912236602625E-2</v>
      </c>
      <c r="P233" s="82">
        <f>Tendencial!T36</f>
        <v>1.5845032753530681E-2</v>
      </c>
      <c r="Q233" s="82">
        <f>Tendencial!U36</f>
        <v>1.6810546248814989E-2</v>
      </c>
      <c r="R233" s="82">
        <f>Tendencial!V36</f>
        <v>1.6839567559546274E-2</v>
      </c>
      <c r="S233" s="82">
        <f>Tendencial!W36</f>
        <v>1.7850256217699742E-2</v>
      </c>
      <c r="T233" s="82">
        <f>Tendencial!X36</f>
        <v>1.8294081000227256E-2</v>
      </c>
      <c r="U233" s="82">
        <f>Tendencial!Y36</f>
        <v>1.8757921584053774E-2</v>
      </c>
      <c r="V233" s="82">
        <f>Tendencial!Z36</f>
        <v>1.9170951287971957E-2</v>
      </c>
      <c r="W233" s="82">
        <f>Tendencial!AA36</f>
        <v>1.9653895916954385E-2</v>
      </c>
      <c r="X233" s="82">
        <f>Tendencial!AB36</f>
        <v>1.9409992311942768E-2</v>
      </c>
      <c r="Y233" s="82">
        <f>Tendencial!AC36</f>
        <v>1.9771085990042708E-2</v>
      </c>
      <c r="Z233" s="82">
        <f>Tendencial!AD36</f>
        <v>2.0207684898196177E-2</v>
      </c>
      <c r="AA233" s="82">
        <f>Tendencial!AE36</f>
        <v>2.0526430168061847E-2</v>
      </c>
      <c r="AB233" s="82">
        <f>Tendencial!AF36</f>
        <v>2.0831317355471713E-2</v>
      </c>
      <c r="AC233" s="82">
        <f>Tendencial!AG36</f>
        <v>2.1125925737225708E-2</v>
      </c>
      <c r="AD233" s="82">
        <f>Tendencial!AH36</f>
        <v>2.138039369481181E-2</v>
      </c>
      <c r="AE233" s="82">
        <f>Tendencial!AI36</f>
        <v>2.1602407927017817E-2</v>
      </c>
      <c r="AF233" s="82">
        <f>Tendencial!AJ36</f>
        <v>2.1921126932118343E-2</v>
      </c>
      <c r="AG233" s="82">
        <f>Tendencial!AK36</f>
        <v>2.221646525263278E-2</v>
      </c>
      <c r="AH233" s="82">
        <f>Tendencial!AL36</f>
        <v>2.2495588648671492E-2</v>
      </c>
      <c r="AI233" s="82">
        <f>Tendencial!AM36</f>
        <v>2.2765343033131789E-2</v>
      </c>
      <c r="AJ233" s="82">
        <f>Tendencial!AN36</f>
        <v>2.29988789285667E-2</v>
      </c>
      <c r="AK233" s="82">
        <f>Tendencial!AO36</f>
        <v>2.3259387431104485E-2</v>
      </c>
      <c r="AL233" s="82">
        <f>Tendencial!AP36</f>
        <v>2.3498958832333237E-2</v>
      </c>
      <c r="AM233" s="82">
        <f>Tendencial!AQ36</f>
        <v>2.377472343142879E-2</v>
      </c>
      <c r="AN233" s="82">
        <f>Tendencial!AR36</f>
        <v>2.4015498037096822E-2</v>
      </c>
      <c r="AO233" s="82">
        <f>Tendencial!AS36</f>
        <v>2.4248127979868705E-2</v>
      </c>
      <c r="AP233" s="82">
        <f>Tendencial!AT36</f>
        <v>2.448054829226556E-2</v>
      </c>
      <c r="AQ233" s="82">
        <f>Tendencial!AU36</f>
        <v>2.4709782895156563E-2</v>
      </c>
      <c r="AR233" s="82">
        <f>Tendencial!AV36</f>
        <v>2.4952553955065196E-2</v>
      </c>
      <c r="AS233" s="82">
        <f>Tendencial!AW36</f>
        <v>2.5178770263382388E-2</v>
      </c>
      <c r="AT233" s="82">
        <f>Tendencial!AX36</f>
        <v>2.5401098134849559E-2</v>
      </c>
      <c r="AU233" s="82">
        <f>Tendencial!AY36</f>
        <v>2.5622237954248329E-2</v>
      </c>
      <c r="AV233" s="82">
        <f>Tendencial!AZ36</f>
        <v>2.5839556722871821E-2</v>
      </c>
      <c r="AW233" s="82">
        <f>Tendencial!BA36</f>
        <v>2.6055726425316658E-2</v>
      </c>
      <c r="AX233" s="82">
        <f>Tendencial!BB36</f>
        <v>2.6262929052014314E-2</v>
      </c>
      <c r="AY233" s="82">
        <f>Tendencial!BC36</f>
        <v>2.6466596953389619E-2</v>
      </c>
      <c r="AZ233" s="82">
        <f>Tendencial!BD36</f>
        <v>2.6666511360707384E-2</v>
      </c>
      <c r="BA233" s="82">
        <f>Tendencial!BE36</f>
        <v>2.6861880612884314E-2</v>
      </c>
      <c r="BB233" s="82">
        <f>Tendencial!BF36</f>
        <v>2.7052004240489824E-2</v>
      </c>
      <c r="BC233" s="82">
        <f>Tendencial!BG36</f>
        <v>2.7237245943655491E-2</v>
      </c>
      <c r="BD233" s="82">
        <f>Tendencial!BH36</f>
        <v>2.7417711059913349E-2</v>
      </c>
      <c r="BE233" s="82">
        <f>Tendencial!BI36</f>
        <v>2.7593347028496983E-2</v>
      </c>
      <c r="BF233" s="82">
        <f>Tendencial!BJ36</f>
        <v>2.7763712159214388E-2</v>
      </c>
      <c r="BG233" s="82">
        <f>Tendencial!BK36</f>
        <v>2.7928696261873293E-2</v>
      </c>
      <c r="BH233" s="82">
        <f>Tendencial!BL36</f>
        <v>2.8088058357276985E-2</v>
      </c>
      <c r="BI233" s="82">
        <f>Tendencial!BM36</f>
        <v>2.8241984656881939E-2</v>
      </c>
      <c r="BJ233" s="82">
        <f>Tendencial!BN36</f>
        <v>2.8390340664447063E-2</v>
      </c>
      <c r="BK233" s="82">
        <f>Tendencial!BO36</f>
        <v>2.8532989785935159E-2</v>
      </c>
      <c r="BL233" s="82"/>
      <c r="BM233" s="82"/>
      <c r="BN233" s="82"/>
    </row>
    <row r="234" spans="1:66" x14ac:dyDescent="0.3">
      <c r="A234" s="386"/>
      <c r="B234" t="s">
        <v>444</v>
      </c>
      <c r="C234" s="278"/>
      <c r="D234" s="278"/>
      <c r="E234" s="278"/>
      <c r="F234" s="278"/>
      <c r="G234" s="278"/>
      <c r="H234" s="279"/>
      <c r="I234" s="279"/>
      <c r="J234" s="279"/>
      <c r="K234" s="82">
        <f>Tendencial!O37</f>
        <v>7.5079999999999999E-3</v>
      </c>
      <c r="L234" s="82">
        <f>Tendencial!P37</f>
        <v>9.3159999999999996E-3</v>
      </c>
      <c r="M234" s="82">
        <f>Tendencial!Q37</f>
        <v>5.2180000000000004E-3</v>
      </c>
      <c r="N234" s="82">
        <f>Tendencial!R37</f>
        <v>7.4640000000000001E-3</v>
      </c>
      <c r="O234" s="82">
        <f>Tendencial!S37</f>
        <v>7.8539999999999999E-3</v>
      </c>
      <c r="P234" s="82">
        <f>Tendencial!T37</f>
        <v>7.8150950216980593E-3</v>
      </c>
      <c r="Q234" s="82">
        <f>Tendencial!U37</f>
        <v>8.2913060733096344E-3</v>
      </c>
      <c r="R234" s="82">
        <f>Tendencial!V37</f>
        <v>8.3056199787806522E-3</v>
      </c>
      <c r="S234" s="82">
        <f>Tendencial!W37</f>
        <v>8.8041123469369664E-3</v>
      </c>
      <c r="T234" s="82">
        <f>Tendencial!X37</f>
        <v>9.0230158293336249E-3</v>
      </c>
      <c r="U234" s="82">
        <f>Tendencial!Y37</f>
        <v>9.2517915153110756E-3</v>
      </c>
      <c r="V234" s="82">
        <f>Tendencial!Z37</f>
        <v>9.4555062335520447E-3</v>
      </c>
      <c r="W234" s="82">
        <f>Tendencial!AA37</f>
        <v>9.6937044262869511E-3</v>
      </c>
      <c r="X234" s="82">
        <f>Tendencial!AB37</f>
        <v>9.5734061675865553E-3</v>
      </c>
      <c r="Y234" s="82">
        <f>Tendencial!AC37</f>
        <v>9.7515049730596253E-3</v>
      </c>
      <c r="Z234" s="82">
        <f>Tendencial!AD37</f>
        <v>9.9668445060642936E-3</v>
      </c>
      <c r="AA234" s="82">
        <f>Tendencial!AE37</f>
        <v>1.0124056208334958E-2</v>
      </c>
      <c r="AB234" s="82">
        <f>Tendencial!AF37</f>
        <v>1.0274432820208823E-2</v>
      </c>
      <c r="AC234" s="82">
        <f>Tendencial!AG37</f>
        <v>1.0419739714388839E-2</v>
      </c>
      <c r="AD234" s="82">
        <f>Tendencial!AH37</f>
        <v>1.0545248528377859E-2</v>
      </c>
      <c r="AE234" s="82">
        <f>Tendencial!AI37</f>
        <v>1.0654750499616932E-2</v>
      </c>
      <c r="AF234" s="82">
        <f>Tendencial!AJ37</f>
        <v>1.0811949247566927E-2</v>
      </c>
      <c r="AG234" s="82">
        <f>Tendencial!AK37</f>
        <v>1.0957616162509386E-2</v>
      </c>
      <c r="AH234" s="82">
        <f>Tendencial!AL37</f>
        <v>1.1095285544248941E-2</v>
      </c>
      <c r="AI234" s="82">
        <f>Tendencial!AM37</f>
        <v>1.1228333937386982E-2</v>
      </c>
      <c r="AJ234" s="82">
        <f>Tendencial!AN37</f>
        <v>1.1343518629156992E-2</v>
      </c>
      <c r="AK234" s="82">
        <f>Tendencial!AO37</f>
        <v>1.1472006763764314E-2</v>
      </c>
      <c r="AL234" s="82">
        <f>Tendencial!AP37</f>
        <v>1.1590168290736662E-2</v>
      </c>
      <c r="AM234" s="82">
        <f>Tendencial!AQ37</f>
        <v>1.1726181044959086E-2</v>
      </c>
      <c r="AN234" s="82">
        <f>Tendencial!AR37</f>
        <v>1.1844936017029956E-2</v>
      </c>
      <c r="AO234" s="82">
        <f>Tendencial!AS37</f>
        <v>1.195967387437199E-2</v>
      </c>
      <c r="AP234" s="82">
        <f>Tendencial!AT37</f>
        <v>1.2074308337715048E-2</v>
      </c>
      <c r="AQ234" s="82">
        <f>Tendencial!AU37</f>
        <v>1.2187371543813831E-2</v>
      </c>
      <c r="AR234" s="82">
        <f>Tendencial!AV37</f>
        <v>1.2307111208049082E-2</v>
      </c>
      <c r="AS234" s="82">
        <f>Tendencial!AW37</f>
        <v>1.241868572938055E-2</v>
      </c>
      <c r="AT234" s="82">
        <f>Tendencial!AX37</f>
        <v>1.2528342393933713E-2</v>
      </c>
      <c r="AU234" s="82">
        <f>Tendencial!AY37</f>
        <v>1.2637413086848339E-2</v>
      </c>
      <c r="AV234" s="82">
        <f>Tendencial!AZ37</f>
        <v>1.2744599159178331E-2</v>
      </c>
      <c r="AW234" s="82">
        <f>Tendencial!BA37</f>
        <v>1.2851218488509926E-2</v>
      </c>
      <c r="AX234" s="82">
        <f>Tendencial!BB37</f>
        <v>1.2953415072232783E-2</v>
      </c>
      <c r="AY234" s="82">
        <f>Tendencial!BC37</f>
        <v>1.3053868256954865E-2</v>
      </c>
      <c r="AZ234" s="82">
        <f>Tendencial!BD37</f>
        <v>1.3152470141450601E-2</v>
      </c>
      <c r="BA234" s="82">
        <f>Tendencial!BE37</f>
        <v>1.3248830262242436E-2</v>
      </c>
      <c r="BB234" s="82">
        <f>Tendencial!BF37</f>
        <v>1.3342603133445615E-2</v>
      </c>
      <c r="BC234" s="82">
        <f>Tendencial!BG37</f>
        <v>1.3433968139421907E-2</v>
      </c>
      <c r="BD234" s="82">
        <f>Tendencial!BH37</f>
        <v>1.3522977234801828E-2</v>
      </c>
      <c r="BE234" s="82">
        <f>Tendencial!BI37</f>
        <v>1.3609604495537735E-2</v>
      </c>
      <c r="BF234" s="82">
        <f>Tendencial!BJ37</f>
        <v>1.3693632070971042E-2</v>
      </c>
      <c r="BG234" s="82">
        <f>Tendencial!BK37</f>
        <v>1.3775005613039716E-2</v>
      </c>
      <c r="BH234" s="82">
        <f>Tendencial!BL37</f>
        <v>1.3853606265863185E-2</v>
      </c>
      <c r="BI234" s="82">
        <f>Tendencial!BM37</f>
        <v>1.3929525872749643E-2</v>
      </c>
      <c r="BJ234" s="82">
        <f>Tendencial!BN37</f>
        <v>1.4002698097395431E-2</v>
      </c>
      <c r="BK234" s="82">
        <f>Tendencial!BO37</f>
        <v>1.407305556882084E-2</v>
      </c>
      <c r="BL234" s="82"/>
      <c r="BM234" s="82"/>
      <c r="BN234" s="82"/>
    </row>
    <row r="235" spans="1:66" x14ac:dyDescent="0.3">
      <c r="A235" s="386"/>
      <c r="B235" t="s">
        <v>445</v>
      </c>
      <c r="C235" s="278"/>
      <c r="D235" s="278"/>
      <c r="E235" s="278"/>
      <c r="F235" s="278"/>
      <c r="G235" s="278"/>
      <c r="H235" s="279"/>
      <c r="I235" s="279"/>
      <c r="J235" s="279"/>
      <c r="K235" s="82">
        <f>Tendencial!O233</f>
        <v>0.29829800000000001</v>
      </c>
      <c r="L235" s="82">
        <f>Tendencial!P233</f>
        <v>0.25727299999999997</v>
      </c>
      <c r="M235" s="82">
        <f>Tendencial!Q233</f>
        <v>0.31287599999999999</v>
      </c>
      <c r="N235" s="82">
        <f>Tendencial!R233</f>
        <v>0.340281</v>
      </c>
      <c r="O235" s="82">
        <f>Tendencial!S233</f>
        <v>0.340281</v>
      </c>
      <c r="P235" s="82">
        <f>Tendencial!T233</f>
        <v>0.33859540986483794</v>
      </c>
      <c r="Q235" s="82">
        <f>Tendencial!U233</f>
        <v>0.35922764475832381</v>
      </c>
      <c r="R235" s="82">
        <f>Tendencial!V233</f>
        <v>0.35984780646797282</v>
      </c>
      <c r="S235" s="82">
        <f>Tendencial!W233</f>
        <v>0.3814453976990142</v>
      </c>
      <c r="T235" s="82">
        <f>Tendencial!X233</f>
        <v>0.39092957084561686</v>
      </c>
      <c r="U235" s="82">
        <f>Tendencial!Y233</f>
        <v>0.40084146531978199</v>
      </c>
      <c r="V235" s="82">
        <f>Tendencial!Z233</f>
        <v>0.40966757278575539</v>
      </c>
      <c r="W235" s="82">
        <f>Tendencial!AA233</f>
        <v>0.41998770510330397</v>
      </c>
      <c r="X235" s="82">
        <f>Tendencial!AB233</f>
        <v>0.41477568425165773</v>
      </c>
      <c r="Y235" s="82">
        <f>Tendencial!AC233</f>
        <v>0.42249196126021155</v>
      </c>
      <c r="Z235" s="82">
        <f>Tendencial!AD233</f>
        <v>0.43182172337255709</v>
      </c>
      <c r="AA235" s="82">
        <f>Tendencial!AE233</f>
        <v>0.43863304948159249</v>
      </c>
      <c r="AB235" s="82">
        <f>Tendencial!AF233</f>
        <v>0.44514823968595341</v>
      </c>
      <c r="AC235" s="82">
        <f>Tendencial!AG233</f>
        <v>0.45144378020778564</v>
      </c>
      <c r="AD235" s="82">
        <f>Tendencial!AH233</f>
        <v>0.45688155264641533</v>
      </c>
      <c r="AE235" s="82">
        <f>Tendencial!AI233</f>
        <v>0.46162581547748266</v>
      </c>
      <c r="AF235" s="82">
        <f>Tendencial!AJ233</f>
        <v>0.46843658032993646</v>
      </c>
      <c r="AG235" s="82">
        <f>Tendencial!AK233</f>
        <v>0.47474771904696406</v>
      </c>
      <c r="AH235" s="82">
        <f>Tendencial!AL233</f>
        <v>0.48071235807010104</v>
      </c>
      <c r="AI235" s="82">
        <f>Tendencial!AM233</f>
        <v>0.48647678896714791</v>
      </c>
      <c r="AJ235" s="82">
        <f>Tendencial!AN233</f>
        <v>0.49146726033208182</v>
      </c>
      <c r="AK235" s="82">
        <f>Tendencial!AO233</f>
        <v>0.49703411428322952</v>
      </c>
      <c r="AL235" s="82">
        <f>Tendencial!AP233</f>
        <v>0.50215355947799367</v>
      </c>
      <c r="AM235" s="82">
        <f>Tendencial!AQ233</f>
        <v>0.50804642375346609</v>
      </c>
      <c r="AN235" s="82">
        <f>Tendencial!AR233</f>
        <v>0.5131915804444831</v>
      </c>
      <c r="AO235" s="82">
        <f>Tendencial!AS233</f>
        <v>0.51816269234086765</v>
      </c>
      <c r="AP235" s="82">
        <f>Tendencial!AT233</f>
        <v>0.52312932460733552</v>
      </c>
      <c r="AQ235" s="82">
        <f>Tendencial!AU233</f>
        <v>0.52802788086331975</v>
      </c>
      <c r="AR235" s="82">
        <f>Tendencial!AV233</f>
        <v>0.53321570015102482</v>
      </c>
      <c r="AS235" s="82">
        <f>Tendencial!AW233</f>
        <v>0.53804975791690113</v>
      </c>
      <c r="AT235" s="82">
        <f>Tendencial!AX233</f>
        <v>0.54280072296284143</v>
      </c>
      <c r="AU235" s="82">
        <f>Tendencial!AY233</f>
        <v>0.5475263003063201</v>
      </c>
      <c r="AV235" s="82">
        <f>Tendencial!AZ233</f>
        <v>0.55217022491524825</v>
      </c>
      <c r="AW235" s="82">
        <f>Tendencial!BA233</f>
        <v>0.55678959491834024</v>
      </c>
      <c r="AX235" s="82">
        <f>Tendencial!BB233</f>
        <v>0.56121734583580873</v>
      </c>
      <c r="AY235" s="82">
        <f>Tendencial!BC233</f>
        <v>0.56556956255982382</v>
      </c>
      <c r="AZ235" s="82">
        <f>Tendencial!BD233</f>
        <v>0.56984157018117521</v>
      </c>
      <c r="BA235" s="82">
        <f>Tendencial!BE233</f>
        <v>0.57401645154903447</v>
      </c>
      <c r="BB235" s="82">
        <f>Tendencial!BF233</f>
        <v>0.57807923820371854</v>
      </c>
      <c r="BC235" s="82">
        <f>Tendencial!BG233</f>
        <v>0.58203770212001837</v>
      </c>
      <c r="BD235" s="82">
        <f>Tendencial!BH233</f>
        <v>0.58589409427496797</v>
      </c>
      <c r="BE235" s="82">
        <f>Tendencial!BI233</f>
        <v>0.58964729148791362</v>
      </c>
      <c r="BF235" s="82">
        <f>Tendencial!BJ233</f>
        <v>0.5932878552001648</v>
      </c>
      <c r="BG235" s="82">
        <f>Tendencial!BK233</f>
        <v>0.59681343073730131</v>
      </c>
      <c r="BH235" s="82">
        <f>Tendencial!BL233</f>
        <v>0.60021886857068851</v>
      </c>
      <c r="BI235" s="82">
        <f>Tendencial!BM233</f>
        <v>0.60350814788707896</v>
      </c>
      <c r="BJ235" s="82">
        <f>Tendencial!BN233</f>
        <v>0.60667839461163886</v>
      </c>
      <c r="BK235" s="82">
        <f>Tendencial!BO233</f>
        <v>0.6097266898413447</v>
      </c>
      <c r="BL235" s="82"/>
      <c r="BM235" s="82"/>
      <c r="BN235" s="82"/>
    </row>
    <row r="236" spans="1:66" x14ac:dyDescent="0.3">
      <c r="C236" s="280"/>
      <c r="D236" s="280"/>
      <c r="E236" s="280"/>
      <c r="F236" s="280"/>
      <c r="G236" s="280"/>
      <c r="H236" s="281"/>
      <c r="I236" s="281"/>
      <c r="J236" s="281"/>
      <c r="L236"/>
      <c r="M236"/>
      <c r="N236"/>
      <c r="O236"/>
      <c r="P236"/>
      <c r="Q236"/>
      <c r="R236"/>
      <c r="S236"/>
    </row>
    <row r="237" spans="1:66" x14ac:dyDescent="0.3">
      <c r="A237" s="386" t="s">
        <v>390</v>
      </c>
      <c r="B237" t="s">
        <v>446</v>
      </c>
      <c r="C237" s="103"/>
      <c r="D237" s="103"/>
      <c r="E237" s="103"/>
      <c r="F237" s="103"/>
      <c r="G237" s="103"/>
      <c r="H237" s="359"/>
      <c r="I237" s="359"/>
      <c r="J237" s="359"/>
      <c r="K237" s="82">
        <f>K221</f>
        <v>0.173706</v>
      </c>
      <c r="L237" s="82">
        <f>L221</f>
        <v>0.19038099999999999</v>
      </c>
      <c r="M237" s="82">
        <f t="shared" ref="M237:N237" si="136">M221</f>
        <v>0.16508</v>
      </c>
      <c r="N237" s="82">
        <f t="shared" si="136"/>
        <v>0.16789299999999999</v>
      </c>
      <c r="O237" s="82">
        <f t="shared" ref="O237" si="137">O221</f>
        <v>0.172653</v>
      </c>
      <c r="P237" s="274">
        <f>'CC70 - Valores'!G87</f>
        <v>0.16671406675775141</v>
      </c>
      <c r="Q237" s="274">
        <f>'CC70 - Valores'!H87</f>
        <v>0.17589786440909769</v>
      </c>
      <c r="R237" s="274">
        <f>'CC70 - Valores'!I87</f>
        <v>0.17523566701048318</v>
      </c>
      <c r="S237" s="274">
        <f>'CC70 - Valores'!J87</f>
        <v>0.17515173675821874</v>
      </c>
      <c r="T237" s="274">
        <f>'CC70 - Valores'!K87</f>
        <v>0.17507305005286689</v>
      </c>
      <c r="U237" s="274">
        <f>'CC70 - Valores'!L87</f>
        <v>0.17499954361077416</v>
      </c>
      <c r="V237" s="274">
        <f>'CC70 - Valores'!M87</f>
        <v>0.17493115561326614</v>
      </c>
      <c r="W237" s="274">
        <f>'CC70 - Valores'!N87</f>
        <v>0.17486782566809911</v>
      </c>
      <c r="X237" s="274">
        <f>'CC70 - Valores'!O87</f>
        <v>0.17480949477214261</v>
      </c>
      <c r="Y237" s="274">
        <f>'CC70 - Valores'!P87</f>
        <v>0.17475610527524621</v>
      </c>
      <c r="Z237" s="274">
        <f>'CC70 - Valores'!Q87</f>
        <v>0.17470760084524742</v>
      </c>
      <c r="AA237" s="274">
        <f>'CC70 - Valores'!R87</f>
        <v>0.1746639264340793</v>
      </c>
      <c r="AB237" s="274">
        <f>'CC70 - Valores'!S87</f>
        <v>0.17462502824493711</v>
      </c>
      <c r="AC237" s="274">
        <f>'CC70 - Valores'!T87</f>
        <v>0.1745908537004664</v>
      </c>
      <c r="AD237" s="274">
        <f>'CC70 - Valores'!U87</f>
        <v>0.17456135141193521</v>
      </c>
      <c r="AE237" s="274">
        <f>'CC70 - Valores'!V87</f>
        <v>0.17453647114935564</v>
      </c>
      <c r="AF237" s="274">
        <f>'CC70 - Valores'!W87</f>
        <v>0.17540915350510239</v>
      </c>
      <c r="AG237" s="274">
        <f>'CC70 - Valores'!X87</f>
        <v>0.17628619927262787</v>
      </c>
      <c r="AH237" s="274">
        <f>'CC70 - Valores'!Y87</f>
        <v>0.17716763026899096</v>
      </c>
      <c r="AI237" s="274">
        <f>'CC70 - Valores'!Z87</f>
        <v>0.1780534684203359</v>
      </c>
      <c r="AJ237" s="274">
        <f>'CC70 - Valores'!AA87</f>
        <v>0.17894373576243755</v>
      </c>
      <c r="AK237" s="274">
        <f>'CC70 - Valores'!AB87</f>
        <v>0.17983845444124974</v>
      </c>
      <c r="AL237" s="274">
        <f>'CC70 - Valores'!AC87</f>
        <v>0.18073764671345599</v>
      </c>
      <c r="AM237" s="274">
        <f>'CC70 - Valores'!AD87</f>
        <v>0.18164133494702325</v>
      </c>
      <c r="AN237" s="274">
        <f>'CC70 - Valores'!AE87</f>
        <v>0.18254954162175835</v>
      </c>
      <c r="AO237" s="274">
        <f>'CC70 - Valores'!AF87</f>
        <v>0.18346228932986711</v>
      </c>
      <c r="AP237" s="274">
        <f>'CC70 - Valores'!AG87</f>
        <v>0.18437960077651644</v>
      </c>
      <c r="AQ237" s="274">
        <f>'CC70 - Valores'!AH87</f>
        <v>0.185301498780399</v>
      </c>
      <c r="AR237" s="274">
        <f>'CC70 - Valores'!AI87</f>
        <v>0.18622800627430097</v>
      </c>
      <c r="AS237" s="274">
        <f>'CC70 - Valores'!AJ87</f>
        <v>0.18715914630567246</v>
      </c>
      <c r="AT237" s="274">
        <f>'CC70 - Valores'!AK87</f>
        <v>0.18809494203720081</v>
      </c>
      <c r="AU237" s="274">
        <f>'CC70 - Valores'!AL87</f>
        <v>0.1890354167473868</v>
      </c>
      <c r="AV237" s="274">
        <f>'CC70 - Valores'!AM87</f>
        <v>0.18998059383112373</v>
      </c>
      <c r="AW237" s="274">
        <f>'CC70 - Valores'!AN87</f>
        <v>0.19093049680027929</v>
      </c>
      <c r="AX237" s="274">
        <f>'CC70 - Valores'!AO87</f>
        <v>0.19188514928428063</v>
      </c>
      <c r="AY237" s="274">
        <f>'CC70 - Valores'!AP87</f>
        <v>0.19284457503070207</v>
      </c>
      <c r="AZ237" s="274">
        <f>'CC70 - Valores'!AQ87</f>
        <v>0.19380879790585556</v>
      </c>
      <c r="BA237" s="274">
        <f>'CC70 - Valores'!AR87</f>
        <v>0.19477784189538483</v>
      </c>
      <c r="BB237" s="274">
        <f>'CC70 - Valores'!AS87</f>
        <v>0.19575173110486174</v>
      </c>
      <c r="BC237" s="274">
        <f>'CC70 - Valores'!AT87</f>
        <v>0.19673048976038598</v>
      </c>
      <c r="BD237" s="274">
        <f>'CC70 - Valores'!AU87</f>
        <v>0.1977141422091879</v>
      </c>
      <c r="BE237" s="274">
        <f>'CC70 - Valores'!AV87</f>
        <v>0.19870271292023384</v>
      </c>
      <c r="BF237" s="274">
        <f>'CC70 - Valores'!AW87</f>
        <v>0.19969622648483498</v>
      </c>
      <c r="BG237" s="274">
        <f>'CC70 - Valores'!AX87</f>
        <v>0.20069470761725913</v>
      </c>
      <c r="BH237" s="274">
        <f>'CC70 - Valores'!AY87</f>
        <v>0.20169818115534535</v>
      </c>
      <c r="BI237" s="274">
        <f>'CC70 - Valores'!AZ87</f>
        <v>0.20270667206112211</v>
      </c>
      <c r="BJ237" s="274">
        <f>'CC70 - Valores'!BA87</f>
        <v>0.20372020542142769</v>
      </c>
      <c r="BK237" s="274">
        <f>'CC70 - Valores'!BB87</f>
        <v>0.20473880644853479</v>
      </c>
    </row>
    <row r="238" spans="1:66" x14ac:dyDescent="0.3">
      <c r="A238" s="386"/>
      <c r="B238" t="s">
        <v>432</v>
      </c>
      <c r="C238" s="276"/>
      <c r="D238" s="276"/>
      <c r="E238" s="276"/>
      <c r="F238" s="276"/>
      <c r="G238" s="276"/>
      <c r="H238" s="128"/>
      <c r="I238" s="359"/>
      <c r="J238" s="359"/>
      <c r="K238" s="82">
        <f t="shared" ref="K238:L251" si="138">K222</f>
        <v>0.57383300000000004</v>
      </c>
      <c r="L238" s="82">
        <f t="shared" si="138"/>
        <v>0.60195399999999999</v>
      </c>
      <c r="M238" s="82">
        <f t="shared" ref="M238:N251" si="139">M222</f>
        <v>0.59057899999999997</v>
      </c>
      <c r="N238" s="82">
        <f t="shared" si="139"/>
        <v>0.62696200000000002</v>
      </c>
      <c r="O238" s="82">
        <f t="shared" ref="O238" si="140">O222</f>
        <v>0.59155680703088576</v>
      </c>
      <c r="P238" s="274">
        <f>'CC70 - Valores'!G88</f>
        <v>0.50986762731448776</v>
      </c>
      <c r="Q238" s="274">
        <f>'CC70 - Valores'!H88</f>
        <v>0.53340688303416794</v>
      </c>
      <c r="R238" s="274">
        <f>'CC70 - Valores'!I88</f>
        <v>0.52652732171072592</v>
      </c>
      <c r="S238" s="274">
        <f>'CC70 - Valores'!J88</f>
        <v>0.56071965029620707</v>
      </c>
      <c r="T238" s="274">
        <f>'CC70 - Valores'!K88</f>
        <v>0.57767794272044193</v>
      </c>
      <c r="U238" s="274">
        <f>'CC70 - Valores'!L88</f>
        <v>0.59552173999852276</v>
      </c>
      <c r="V238" s="274">
        <f>'CC70 - Valores'!M88</f>
        <v>0.61205812588152497</v>
      </c>
      <c r="W238" s="274">
        <f>'CC70 - Valores'!N88</f>
        <v>0.63106327540309448</v>
      </c>
      <c r="X238" s="274">
        <f>'CC70 - Valores'!O88</f>
        <v>0.62750687568334862</v>
      </c>
      <c r="Y238" s="274">
        <f>'CC70 - Valores'!P88</f>
        <v>0.64318446029169762</v>
      </c>
      <c r="Z238" s="274">
        <f>'CC70 - Valores'!Q88</f>
        <v>0.66154631531577535</v>
      </c>
      <c r="AA238" s="274">
        <f>'CC70 - Valores'!R88</f>
        <v>0.67646676306661246</v>
      </c>
      <c r="AB238" s="274">
        <f>'CC70 - Valores'!S88</f>
        <v>0.69123300638069707</v>
      </c>
      <c r="AC238" s="274">
        <f>'CC70 - Valores'!T88</f>
        <v>0.70633611923381989</v>
      </c>
      <c r="AD238" s="274">
        <f>'CC70 - Valores'!U88</f>
        <v>0.70670939628426688</v>
      </c>
      <c r="AE238" s="274">
        <f>'CC70 - Valores'!V88</f>
        <v>0.70601895985948016</v>
      </c>
      <c r="AF238" s="274">
        <f>'CC70 - Valores'!W88</f>
        <v>0.70888663625380077</v>
      </c>
      <c r="AG238" s="274">
        <f>'CC70 - Valores'!X88</f>
        <v>0.71100026064801203</v>
      </c>
      <c r="AH238" s="274">
        <f>'CC70 - Valores'!Y88</f>
        <v>0.71262462997101961</v>
      </c>
      <c r="AI238" s="274">
        <f>'CC70 - Valores'!Z88</f>
        <v>0.71400837291870689</v>
      </c>
      <c r="AJ238" s="274">
        <f>'CC70 - Valores'!AA88</f>
        <v>0.71421482410690584</v>
      </c>
      <c r="AK238" s="274">
        <f>'CC70 - Valores'!AB88</f>
        <v>0.72585684447427079</v>
      </c>
      <c r="AL238" s="274">
        <f>'CC70 - Valores'!AC88</f>
        <v>0.73688340251900963</v>
      </c>
      <c r="AM238" s="274">
        <f>'CC70 - Valores'!AD88</f>
        <v>0.749340798198185</v>
      </c>
      <c r="AN238" s="274">
        <f>'CC70 - Valores'!AE88</f>
        <v>0.76067327445939315</v>
      </c>
      <c r="AO238" s="274">
        <f>'CC70 - Valores'!AF88</f>
        <v>0.77183667640422104</v>
      </c>
      <c r="AP238" s="274">
        <f>'CC70 - Valores'!AG88</f>
        <v>0.78312183239507793</v>
      </c>
      <c r="AQ238" s="274">
        <f>'CC70 - Valores'!AH88</f>
        <v>0.79442017496428219</v>
      </c>
      <c r="AR238" s="274">
        <f>'CC70 - Valores'!AI88</f>
        <v>0.80637069115623961</v>
      </c>
      <c r="AS238" s="274">
        <f>'CC70 - Valores'!AJ88</f>
        <v>0.81783506075123835</v>
      </c>
      <c r="AT238" s="274">
        <f>'CC70 - Valores'!AK88</f>
        <v>0.82929185810979889</v>
      </c>
      <c r="AU238" s="274">
        <f>'CC70 - Valores'!AL88</f>
        <v>0.84084819990983872</v>
      </c>
      <c r="AV238" s="274">
        <f>'CC70 - Valores'!AM88</f>
        <v>0.85240348026063228</v>
      </c>
      <c r="AW238" s="274">
        <f>'CC70 - Valores'!AN88</f>
        <v>0.86406640703519855</v>
      </c>
      <c r="AX238" s="274">
        <f>'CC70 - Valores'!AO88</f>
        <v>0.87552330448613391</v>
      </c>
      <c r="AY238" s="274">
        <f>'CC70 - Valores'!AP88</f>
        <v>0.88699229668539958</v>
      </c>
      <c r="AZ238" s="274">
        <f>'CC70 - Valores'!AQ88</f>
        <v>0.89846607184522531</v>
      </c>
      <c r="BA238" s="274">
        <f>'CC70 - Valores'!AR88</f>
        <v>0.90991293344926627</v>
      </c>
      <c r="BB238" s="274">
        <f>'CC70 - Valores'!AS88</f>
        <v>0.92130371081310725</v>
      </c>
      <c r="BC238" s="274">
        <f>'CC70 - Valores'!AT88</f>
        <v>0.93265382089322357</v>
      </c>
      <c r="BD238" s="274">
        <f>'CC70 - Valores'!AU88</f>
        <v>0.94396821494729988</v>
      </c>
      <c r="BE238" s="274">
        <f>'CC70 - Valores'!AV88</f>
        <v>0.95524519155724863</v>
      </c>
      <c r="BF238" s="274">
        <f>'CC70 - Valores'!AW88</f>
        <v>0.96646571104814871</v>
      </c>
      <c r="BG238" s="274">
        <f>'CC70 - Valores'!AX88</f>
        <v>0.97762486476684229</v>
      </c>
      <c r="BH238" s="274">
        <f>'CC70 - Valores'!AY88</f>
        <v>0.98871163331782341</v>
      </c>
      <c r="BI238" s="274">
        <f>'CC70 - Valores'!AZ88</f>
        <v>0.99973424830690227</v>
      </c>
      <c r="BJ238" s="274">
        <f>'CC70 - Valores'!BA88</f>
        <v>1.0106864429085449</v>
      </c>
      <c r="BK238" s="274">
        <f>'CC70 - Valores'!BB88</f>
        <v>1.0215616242190306</v>
      </c>
    </row>
    <row r="239" spans="1:66" x14ac:dyDescent="0.3">
      <c r="A239" s="386"/>
      <c r="B239" t="s">
        <v>433</v>
      </c>
      <c r="C239" s="276"/>
      <c r="D239" s="276"/>
      <c r="E239" s="276"/>
      <c r="F239" s="276"/>
      <c r="G239" s="276"/>
      <c r="H239" s="128"/>
      <c r="I239" s="359"/>
      <c r="J239" s="359"/>
      <c r="K239" s="82">
        <f t="shared" si="138"/>
        <v>4.5851999999999997E-2</v>
      </c>
      <c r="L239" s="82">
        <f t="shared" si="138"/>
        <v>4.8097000000000001E-2</v>
      </c>
      <c r="M239" s="82">
        <f t="shared" si="139"/>
        <v>3.4789E-2</v>
      </c>
      <c r="N239" s="82">
        <f t="shared" si="139"/>
        <v>3.4930999999999997E-2</v>
      </c>
      <c r="O239" s="82">
        <f t="shared" ref="O239" si="141">O223</f>
        <v>3.6397649194333068E-2</v>
      </c>
      <c r="P239" s="274">
        <f>'CC70 - Valores'!G89</f>
        <v>2.9783620618820152E-2</v>
      </c>
      <c r="Q239" s="274">
        <f>'CC70 - Valores'!H89</f>
        <v>3.1287601629307153E-2</v>
      </c>
      <c r="R239" s="274">
        <f>'CC70 - Valores'!I89</f>
        <v>3.103271121189588E-2</v>
      </c>
      <c r="S239" s="274">
        <f>'CC70 - Valores'!J89</f>
        <v>3.2587269885604432E-2</v>
      </c>
      <c r="T239" s="274">
        <f>'CC70 - Valores'!K89</f>
        <v>3.3085388510097846E-2</v>
      </c>
      <c r="U239" s="274">
        <f>'CC70 - Valores'!L89</f>
        <v>3.3613674702730412E-2</v>
      </c>
      <c r="V239" s="274">
        <f>'CC70 - Valores'!M89</f>
        <v>3.4044337813807363E-2</v>
      </c>
      <c r="W239" s="274">
        <f>'CC70 - Valores'!N89</f>
        <v>3.4595175600779314E-2</v>
      </c>
      <c r="X239" s="274">
        <f>'CC70 - Valores'!O89</f>
        <v>3.38508600554389E-2</v>
      </c>
      <c r="Y239" s="274">
        <f>'CC70 - Valores'!P89</f>
        <v>3.418380081821968E-2</v>
      </c>
      <c r="Z239" s="274">
        <f>'CC70 - Valores'!Q89</f>
        <v>3.4645654518872679E-2</v>
      </c>
      <c r="AA239" s="274">
        <f>'CC70 - Valores'!R89</f>
        <v>3.489847797117758E-2</v>
      </c>
      <c r="AB239" s="274">
        <f>'CC70 - Valores'!S89</f>
        <v>3.5125746702301917E-2</v>
      </c>
      <c r="AC239" s="274">
        <f>'CC70 - Valores'!T89</f>
        <v>3.5334163891805499E-2</v>
      </c>
      <c r="AD239" s="274">
        <f>'CC70 - Valores'!U89</f>
        <v>3.547329737819583E-2</v>
      </c>
      <c r="AE239" s="274">
        <f>'CC70 - Valores'!V89</f>
        <v>3.5557503443618611E-2</v>
      </c>
      <c r="AF239" s="274">
        <f>'CC70 - Valores'!W89</f>
        <v>3.5805133395891878E-2</v>
      </c>
      <c r="AG239" s="274">
        <f>'CC70 - Valores'!X89</f>
        <v>3.6012517315377537E-2</v>
      </c>
      <c r="AH239" s="274">
        <f>'CC70 - Valores'!Y89</f>
        <v>3.6192332809979959E-2</v>
      </c>
      <c r="AI239" s="274">
        <f>'CC70 - Valores'!Z89</f>
        <v>3.6356436009109157E-2</v>
      </c>
      <c r="AJ239" s="274">
        <f>'CC70 - Valores'!AA89</f>
        <v>3.646096479486613E-2</v>
      </c>
      <c r="AK239" s="274">
        <f>'CC70 - Valores'!AB89</f>
        <v>3.6610371967528331E-2</v>
      </c>
      <c r="AL239" s="274">
        <f>'CC70 - Valores'!AC89</f>
        <v>3.6725993799594597E-2</v>
      </c>
      <c r="AM239" s="274">
        <f>'CC70 - Valores'!AD89</f>
        <v>3.6900966341630224E-2</v>
      </c>
      <c r="AN239" s="274">
        <f>'CC70 - Valores'!AE89</f>
        <v>3.7019698730137253E-2</v>
      </c>
      <c r="AO239" s="274">
        <f>'CC70 - Valores'!AF89</f>
        <v>3.7126150541074043E-2</v>
      </c>
      <c r="AP239" s="274">
        <f>'CC70 - Valores'!AG89</f>
        <v>3.7233219297498982E-2</v>
      </c>
      <c r="AQ239" s="274">
        <f>'CC70 - Valores'!AH89</f>
        <v>3.7336210768888142E-2</v>
      </c>
      <c r="AR239" s="274">
        <f>'CC70 - Valores'!AI89</f>
        <v>3.7461706250276609E-2</v>
      </c>
      <c r="AS239" s="274">
        <f>'CC70 - Valores'!AJ89</f>
        <v>3.7562049538831729E-2</v>
      </c>
      <c r="AT239" s="274">
        <f>'CC70 - Valores'!AK89</f>
        <v>3.7657503090893635E-2</v>
      </c>
      <c r="AU239" s="274">
        <f>'CC70 - Valores'!AL89</f>
        <v>3.7752409508432616E-2</v>
      </c>
      <c r="AV239" s="274">
        <f>'CC70 - Valores'!AM89</f>
        <v>3.7842737853306649E-2</v>
      </c>
      <c r="AW239" s="274">
        <f>'CC70 - Valores'!AN89</f>
        <v>3.793274863715463E-2</v>
      </c>
      <c r="AX239" s="274">
        <f>'CC70 - Valores'!AO89</f>
        <v>3.8010428849575201E-2</v>
      </c>
      <c r="AY239" s="274">
        <f>'CC70 - Valores'!AP89</f>
        <v>3.8084341518316189E-2</v>
      </c>
      <c r="AZ239" s="274">
        <f>'CC70 - Valores'!AQ89</f>
        <v>3.8154254057490261E-2</v>
      </c>
      <c r="BA239" s="274">
        <f>'CC70 - Valores'!AR89</f>
        <v>3.821906074124734E-2</v>
      </c>
      <c r="BB239" s="274">
        <f>'CC70 - Valores'!AS89</f>
        <v>3.827780886465524E-2</v>
      </c>
      <c r="BC239" s="274">
        <f>'CC70 - Valores'!AT89</f>
        <v>3.8331173258936438E-2</v>
      </c>
      <c r="BD239" s="274">
        <f>'CC70 - Valores'!AU89</f>
        <v>3.8379427396341502E-2</v>
      </c>
      <c r="BE239" s="274">
        <f>'CC70 - Valores'!AV89</f>
        <v>3.8422601674201202E-2</v>
      </c>
      <c r="BF239" s="274">
        <f>'CC70 - Valores'!AW89</f>
        <v>3.8460139027048305E-2</v>
      </c>
      <c r="BG239" s="274">
        <f>'CC70 - Valores'!AX89</f>
        <v>3.8491984978397197E-2</v>
      </c>
      <c r="BH239" s="274">
        <f>'CC70 - Valores'!AY89</f>
        <v>3.8517888165616784E-2</v>
      </c>
      <c r="BI239" s="274">
        <f>'CC70 - Valores'!AZ89</f>
        <v>3.8538236087984901E-2</v>
      </c>
      <c r="BJ239" s="274">
        <f>'CC70 - Valores'!BA89</f>
        <v>3.8552932744414785E-2</v>
      </c>
      <c r="BK239" s="274">
        <f>'CC70 - Valores'!BB89</f>
        <v>3.8561878216620743E-2</v>
      </c>
    </row>
    <row r="240" spans="1:66" x14ac:dyDescent="0.3">
      <c r="A240" s="386"/>
      <c r="B240" t="s">
        <v>434</v>
      </c>
      <c r="C240" s="286"/>
      <c r="D240" s="286"/>
      <c r="E240" s="286"/>
      <c r="F240" s="286"/>
      <c r="G240" s="286"/>
      <c r="H240" s="287"/>
      <c r="I240" s="287"/>
      <c r="J240" s="287"/>
      <c r="K240" s="82">
        <f t="shared" si="138"/>
        <v>0.132771</v>
      </c>
      <c r="L240" s="82">
        <f t="shared" si="138"/>
        <v>0.14411599999999999</v>
      </c>
      <c r="M240" s="82">
        <f t="shared" si="139"/>
        <v>0.15798599999999999</v>
      </c>
      <c r="N240" s="82">
        <f t="shared" si="139"/>
        <v>0.15176400000000001</v>
      </c>
      <c r="O240" s="82">
        <f t="shared" ref="O240" si="142">O224</f>
        <v>0.14103099999999999</v>
      </c>
      <c r="P240" s="274">
        <f>'CC70 - Valores'!G90</f>
        <v>0.13486877156515797</v>
      </c>
      <c r="Q240" s="274">
        <f>'CC70 - Valores'!H90</f>
        <v>0.14293159913582162</v>
      </c>
      <c r="R240" s="274">
        <f>'CC70 - Valores'!I90</f>
        <v>0.14302471470372383</v>
      </c>
      <c r="S240" s="274">
        <f>'CC70 - Valores'!J90</f>
        <v>0.15144836623766161</v>
      </c>
      <c r="T240" s="274">
        <f>'CC70 - Valores'!K90</f>
        <v>0.1512898870909076</v>
      </c>
      <c r="U240" s="274">
        <f>'CC70 - Valores'!L90</f>
        <v>0.1511335442237659</v>
      </c>
      <c r="V240" s="274">
        <f>'CC70 - Valores'!M90</f>
        <v>0.15097931690014033</v>
      </c>
      <c r="W240" s="274">
        <f>'CC70 - Valores'!N90</f>
        <v>0.15082718468864387</v>
      </c>
      <c r="X240" s="274">
        <f>'CC70 - Valores'!O90</f>
        <v>0.15067712745713904</v>
      </c>
      <c r="Y240" s="274">
        <f>'CC70 - Valores'!P90</f>
        <v>0.15052912536739463</v>
      </c>
      <c r="Z240" s="274">
        <f>'CC70 - Valores'!Q90</f>
        <v>0.15038315886985731</v>
      </c>
      <c r="AA240" s="274">
        <f>'CC70 - Valores'!R90</f>
        <v>0.15023920869853474</v>
      </c>
      <c r="AB240" s="274">
        <f>'CC70 - Valores'!S90</f>
        <v>0.15009725586598702</v>
      </c>
      <c r="AC240" s="274">
        <f>'CC70 - Valores'!T90</f>
        <v>0.14995738088444227</v>
      </c>
      <c r="AD240" s="274">
        <f>'CC70 - Valores'!U90</f>
        <v>0.14981947856342664</v>
      </c>
      <c r="AE240" s="274">
        <f>'CC70 - Valores'!V90</f>
        <v>0.14968353058997361</v>
      </c>
      <c r="AF240" s="274">
        <f>'CC70 - Valores'!W90</f>
        <v>0.14954951891251819</v>
      </c>
      <c r="AG240" s="274">
        <f>'CC70 - Valores'!X90</f>
        <v>0.1494174257363613</v>
      </c>
      <c r="AH240" s="274">
        <f>'CC70 - Valores'!Y90</f>
        <v>0.14928723351922876</v>
      </c>
      <c r="AI240" s="274">
        <f>'CC70 - Valores'!Z90</f>
        <v>0.14915892496692201</v>
      </c>
      <c r="AJ240" s="274">
        <f>'CC70 - Valores'!AA90</f>
        <v>0.14903248302905914</v>
      </c>
      <c r="AK240" s="274">
        <f>'CC70 - Valores'!AB90</f>
        <v>0.148907890894903</v>
      </c>
      <c r="AL240" s="274">
        <f>'CC70 - Valores'!AC90</f>
        <v>0.14878513198927582</v>
      </c>
      <c r="AM240" s="274">
        <f>'CC70 - Valores'!AD90</f>
        <v>0.14866418996855657</v>
      </c>
      <c r="AN240" s="274">
        <f>'CC70 - Valores'!AE90</f>
        <v>0.14854504871676033</v>
      </c>
      <c r="AO240" s="274">
        <f>'CC70 - Valores'!AF90</f>
        <v>0.1484276923416972</v>
      </c>
      <c r="AP240" s="274">
        <f>'CC70 - Valores'!AG90</f>
        <v>0.14831210517120924</v>
      </c>
      <c r="AQ240" s="274">
        <f>'CC70 - Valores'!AH90</f>
        <v>0.14819827174948286</v>
      </c>
      <c r="AR240" s="274">
        <f>'CC70 - Valores'!AI90</f>
        <v>0.14808617683343567</v>
      </c>
      <c r="AS240" s="274">
        <f>'CC70 - Valores'!AJ90</f>
        <v>0.14797580538917587</v>
      </c>
      <c r="AT240" s="274">
        <f>'CC70 - Valores'!AK90</f>
        <v>0.14786714258853226</v>
      </c>
      <c r="AU240" s="274">
        <f>'CC70 - Valores'!AL90</f>
        <v>0.14776017380565304</v>
      </c>
      <c r="AV240" s="274">
        <f>'CC70 - Valores'!AM90</f>
        <v>0.14765488461367274</v>
      </c>
      <c r="AW240" s="274">
        <f>'CC70 - Valores'!AN90</f>
        <v>0.14755126078144448</v>
      </c>
      <c r="AX240" s="274">
        <f>'CC70 - Valores'!AO90</f>
        <v>0.14744928827033718</v>
      </c>
      <c r="AY240" s="274">
        <f>'CC70 - Valores'!AP90</f>
        <v>0.14734895323109512</v>
      </c>
      <c r="AZ240" s="274">
        <f>'CC70 - Valores'!AQ90</f>
        <v>0.1472502420007597</v>
      </c>
      <c r="BA240" s="274">
        <f>'CC70 - Valores'!AR90</f>
        <v>0.14715314109965064</v>
      </c>
      <c r="BB240" s="274">
        <f>'CC70 - Valores'!AS90</f>
        <v>0.14705763722840656</v>
      </c>
      <c r="BC240" s="274">
        <f>'CC70 - Valores'!AT90</f>
        <v>0.14696371726508226</v>
      </c>
      <c r="BD240" s="274">
        <f>'CC70 - Valores'!AU90</f>
        <v>0.1468713682623029</v>
      </c>
      <c r="BE240" s="274">
        <f>'CC70 - Valores'!AV90</f>
        <v>0.1467805774444724</v>
      </c>
      <c r="BF240" s="274">
        <f>'CC70 - Valores'!AW90</f>
        <v>0.14669133220503588</v>
      </c>
      <c r="BG240" s="274">
        <f>'CC70 - Valores'!AX90</f>
        <v>0.1466036201037943</v>
      </c>
      <c r="BH240" s="274">
        <f>'CC70 - Valores'!AY90</f>
        <v>0.14651742886427035</v>
      </c>
      <c r="BI240" s="274">
        <f>'CC70 - Valores'!AZ90</f>
        <v>0.14643274637112472</v>
      </c>
      <c r="BJ240" s="274">
        <f>'CC70 - Valores'!BA90</f>
        <v>0.14634956066762114</v>
      </c>
      <c r="BK240" s="274">
        <f>'CC70 - Valores'!BB90</f>
        <v>0.14626785995313957</v>
      </c>
    </row>
    <row r="241" spans="1:63" x14ac:dyDescent="0.3">
      <c r="A241" s="386"/>
      <c r="B241" t="s">
        <v>435</v>
      </c>
      <c r="C241" s="286"/>
      <c r="D241" s="286"/>
      <c r="E241" s="286"/>
      <c r="F241" s="286"/>
      <c r="G241" s="286"/>
      <c r="H241" s="287"/>
      <c r="I241" s="287"/>
      <c r="J241" s="287"/>
      <c r="K241" s="82">
        <f t="shared" si="138"/>
        <v>0.46154699999999999</v>
      </c>
      <c r="L241" s="82">
        <f t="shared" si="138"/>
        <v>0.40525899999999998</v>
      </c>
      <c r="M241" s="82">
        <f t="shared" si="139"/>
        <v>0.44468099999999999</v>
      </c>
      <c r="N241" s="82">
        <f t="shared" si="139"/>
        <v>0.45371800000000001</v>
      </c>
      <c r="O241" s="82">
        <f t="shared" ref="O241" si="143">O225</f>
        <v>0.43321599999999999</v>
      </c>
      <c r="P241" s="274">
        <f>'CC70 - Valores'!G91</f>
        <v>0.41402988320261863</v>
      </c>
      <c r="Q241" s="274">
        <f>'CC70 - Valores'!H91</f>
        <v>0.43695071100057897</v>
      </c>
      <c r="R241" s="274">
        <f>'CC70 - Valores'!I91</f>
        <v>0.43544821869510519</v>
      </c>
      <c r="S241" s="274">
        <f>'CC70 - Valores'!J91</f>
        <v>0.45924775164435461</v>
      </c>
      <c r="T241" s="274">
        <f>'CC70 - Valores'!K91</f>
        <v>0.4683293865205147</v>
      </c>
      <c r="U241" s="274">
        <f>'CC70 - Valores'!L91</f>
        <v>0.47786386336631037</v>
      </c>
      <c r="V241" s="274">
        <f>'CC70 - Valores'!M91</f>
        <v>0.48605057933407497</v>
      </c>
      <c r="W241" s="274">
        <f>'CC70 - Valores'!N91</f>
        <v>0.49595662827418152</v>
      </c>
      <c r="X241" s="274">
        <f>'CC70 - Valores'!O91</f>
        <v>0.48754628052125215</v>
      </c>
      <c r="Y241" s="274">
        <f>'CC70 - Valores'!P91</f>
        <v>0.49437207527439914</v>
      </c>
      <c r="Z241" s="274">
        <f>'CC70 - Valores'!Q91</f>
        <v>0.50304830319398441</v>
      </c>
      <c r="AA241" s="274">
        <f>'CC70 - Valores'!R91</f>
        <v>0.50875935021308905</v>
      </c>
      <c r="AB241" s="274">
        <f>'CC70 - Valores'!S91</f>
        <v>0.51411117457510291</v>
      </c>
      <c r="AC241" s="274">
        <f>'CC70 - Valores'!T91</f>
        <v>0.51919707227414624</v>
      </c>
      <c r="AD241" s="274">
        <f>'CC70 - Valores'!U91</f>
        <v>0.5232901893367119</v>
      </c>
      <c r="AE241" s="274">
        <f>'CC70 - Valores'!V91</f>
        <v>0.52659059386937701</v>
      </c>
      <c r="AF241" s="274">
        <f>'CC70 - Valores'!W91</f>
        <v>0.53224415190269225</v>
      </c>
      <c r="AG241" s="274">
        <f>'CC70 - Valores'!X91</f>
        <v>0.53731943330666732</v>
      </c>
      <c r="AH241" s="274">
        <f>'CC70 - Valores'!Y91</f>
        <v>0.54199644315962814</v>
      </c>
      <c r="AI241" s="274">
        <f>'CC70 - Valores'!Z91</f>
        <v>0.54644460739452949</v>
      </c>
      <c r="AJ241" s="274">
        <f>'CC70 - Valores'!AA91</f>
        <v>0.55002488647536651</v>
      </c>
      <c r="AK241" s="274">
        <f>'CC70 - Valores'!AB91</f>
        <v>0.55425295289680854</v>
      </c>
      <c r="AL241" s="274">
        <f>'CC70 - Valores'!AC91</f>
        <v>0.55798467913888794</v>
      </c>
      <c r="AM241" s="274">
        <f>'CC70 - Valores'!AD91</f>
        <v>0.56257754255331938</v>
      </c>
      <c r="AN241" s="274">
        <f>'CC70 - Valores'!AE91</f>
        <v>0.56634445893785779</v>
      </c>
      <c r="AO241" s="274">
        <f>'CC70 - Valores'!AF91</f>
        <v>0.56992515335736516</v>
      </c>
      <c r="AP241" s="274">
        <f>'CC70 - Valores'!AG91</f>
        <v>0.57350770568780307</v>
      </c>
      <c r="AQ241" s="274">
        <f>'CC70 - Valores'!AH91</f>
        <v>0.57702292492710716</v>
      </c>
      <c r="AR241" s="274">
        <f>'CC70 - Valores'!AI91</f>
        <v>0.58086103390941257</v>
      </c>
      <c r="AS241" s="274">
        <f>'CC70 - Valores'!AJ91</f>
        <v>0.58432102776340544</v>
      </c>
      <c r="AT241" s="274">
        <f>'CC70 - Valores'!AK91</f>
        <v>0.58769973866279868</v>
      </c>
      <c r="AU241" s="274">
        <f>'CC70 - Valores'!AL91</f>
        <v>0.59106046661266887</v>
      </c>
      <c r="AV241" s="274">
        <f>'CC70 - Valores'!AM91</f>
        <v>0.59434307348644411</v>
      </c>
      <c r="AW241" s="274">
        <f>'CC70 - Valores'!AN91</f>
        <v>0.59760977073387112</v>
      </c>
      <c r="AX241" s="274">
        <f>'CC70 - Valores'!AO91</f>
        <v>0.600682123419361</v>
      </c>
      <c r="AY241" s="274">
        <f>'CC70 - Valores'!AP91</f>
        <v>0.60368587128104878</v>
      </c>
      <c r="AZ241" s="274">
        <f>'CC70 - Valores'!AQ91</f>
        <v>0.60661679473574592</v>
      </c>
      <c r="BA241" s="274">
        <f>'CC70 - Valores'!AR91</f>
        <v>0.60945769775443048</v>
      </c>
      <c r="BB241" s="274">
        <f>'CC70 - Valores'!AS91</f>
        <v>0.61219360135587619</v>
      </c>
      <c r="BC241" s="274">
        <f>'CC70 - Valores'!AT91</f>
        <v>0.61483367135194333</v>
      </c>
      <c r="BD241" s="274">
        <f>'CC70 - Valores'!AU91</f>
        <v>0.61738113391159277</v>
      </c>
      <c r="BE241" s="274">
        <f>'CC70 - Valores'!AV91</f>
        <v>0.61983560859174858</v>
      </c>
      <c r="BF241" s="274">
        <f>'CC70 - Valores'!AW91</f>
        <v>0.62218797088122824</v>
      </c>
      <c r="BG241" s="274">
        <f>'CC70 - Valores'!AX91</f>
        <v>0.62443656560114058</v>
      </c>
      <c r="BH241" s="274">
        <f>'CC70 - Valores'!AY91</f>
        <v>0.62657680610299116</v>
      </c>
      <c r="BI241" s="274">
        <f>'CC70 - Valores'!AZ91</f>
        <v>0.6286136260202726</v>
      </c>
      <c r="BJ241" s="274">
        <f>'CC70 - Valores'!BA91</f>
        <v>0.63054476371788759</v>
      </c>
      <c r="BK241" s="274">
        <f>'CC70 - Valores'!BB91</f>
        <v>0.63236790240170604</v>
      </c>
    </row>
    <row r="242" spans="1:63" x14ac:dyDescent="0.3">
      <c r="A242" s="386"/>
      <c r="B242" t="s">
        <v>436</v>
      </c>
      <c r="C242" s="286"/>
      <c r="D242" s="286"/>
      <c r="E242" s="286"/>
      <c r="F242" s="286"/>
      <c r="G242" s="286"/>
      <c r="H242" s="287"/>
      <c r="I242" s="287"/>
      <c r="J242" s="287"/>
      <c r="K242" s="82">
        <f t="shared" si="138"/>
        <v>0.26776</v>
      </c>
      <c r="L242" s="82">
        <f t="shared" si="138"/>
        <v>0.24657399999999999</v>
      </c>
      <c r="M242" s="82">
        <f t="shared" si="139"/>
        <v>0.25685400000000003</v>
      </c>
      <c r="N242" s="82">
        <f t="shared" si="139"/>
        <v>0.225575</v>
      </c>
      <c r="O242" s="82">
        <f t="shared" ref="O242" si="144">O226</f>
        <v>0.19608229763042201</v>
      </c>
      <c r="P242" s="274">
        <f>'CC70 - Valores'!G92</f>
        <v>0.1407049658246185</v>
      </c>
      <c r="Q242" s="274">
        <f>'CC70 - Valores'!H92</f>
        <v>0.14863832600442536</v>
      </c>
      <c r="R242" s="274">
        <f>'CC70 - Valores'!I92</f>
        <v>0.14825938555912702</v>
      </c>
      <c r="S242" s="274">
        <f>'CC70 - Valores'!J92</f>
        <v>0.15650395295791278</v>
      </c>
      <c r="T242" s="274">
        <f>'CC70 - Valores'!K92</f>
        <v>0.15973243497588849</v>
      </c>
      <c r="U242" s="274">
        <f>'CC70 - Valores'!L92</f>
        <v>0.16311493696571941</v>
      </c>
      <c r="V242" s="274">
        <f>'CC70 - Valores'!M92</f>
        <v>0.16603542083639788</v>
      </c>
      <c r="W242" s="274">
        <f>'CC70 - Valores'!N92</f>
        <v>0.16954328961455928</v>
      </c>
      <c r="X242" s="274">
        <f>'CC70 - Valores'!O92</f>
        <v>0.16676739351401157</v>
      </c>
      <c r="Y242" s="274">
        <f>'CC70 - Valores'!P92</f>
        <v>0.16920992621994338</v>
      </c>
      <c r="Z242" s="274">
        <f>'CC70 - Valores'!Q92</f>
        <v>0.17228530962468283</v>
      </c>
      <c r="AA242" s="274">
        <f>'CC70 - Valores'!R92</f>
        <v>0.17433920949106524</v>
      </c>
      <c r="AB242" s="274">
        <f>'CC70 - Valores'!S92</f>
        <v>0.17626577796377271</v>
      </c>
      <c r="AC242" s="274">
        <f>'CC70 - Valores'!T92</f>
        <v>0.17809681851444506</v>
      </c>
      <c r="AD242" s="274">
        <f>'CC70 - Valores'!U92</f>
        <v>0.17958154565471318</v>
      </c>
      <c r="AE242" s="274">
        <f>'CC70 - Valores'!V92</f>
        <v>0.18078822209461667</v>
      </c>
      <c r="AF242" s="274">
        <f>'CC70 - Valores'!W92</f>
        <v>0.18280223582807334</v>
      </c>
      <c r="AG242" s="274">
        <f>'CC70 - Valores'!X92</f>
        <v>0.18461268902626682</v>
      </c>
      <c r="AH242" s="274">
        <f>'CC70 - Valores'!Y92</f>
        <v>0.18628138298471006</v>
      </c>
      <c r="AI242" s="274">
        <f>'CC70 - Valores'!Z92</f>
        <v>0.18786665845883752</v>
      </c>
      <c r="AJ242" s="274">
        <f>'CC70 - Valores'!AA92</f>
        <v>0.18914722190398822</v>
      </c>
      <c r="AK242" s="274">
        <f>'CC70 - Valores'!AB92</f>
        <v>0.19064743904780945</v>
      </c>
      <c r="AL242" s="274">
        <f>'CC70 - Valores'!AC92</f>
        <v>0.19197131339303319</v>
      </c>
      <c r="AM242" s="274">
        <f>'CC70 - Valores'!AD92</f>
        <v>0.19358917557010852</v>
      </c>
      <c r="AN242" s="274">
        <f>'CC70 - Valores'!AE92</f>
        <v>0.19491639099186048</v>
      </c>
      <c r="AO242" s="274">
        <f>'CC70 - Valores'!AF92</f>
        <v>0.19617455668811373</v>
      </c>
      <c r="AP242" s="274">
        <f>'CC70 - Valores'!AG92</f>
        <v>0.19742891702428134</v>
      </c>
      <c r="AQ242" s="274">
        <f>'CC70 - Valores'!AH92</f>
        <v>0.19865548548142237</v>
      </c>
      <c r="AR242" s="274">
        <f>'CC70 - Valores'!AI92</f>
        <v>0.19998986731178087</v>
      </c>
      <c r="AS242" s="274">
        <f>'CC70 - Valores'!AJ92</f>
        <v>0.20118859735399222</v>
      </c>
      <c r="AT242" s="274">
        <f>'CC70 - Valores'!AK92</f>
        <v>0.20235479185510746</v>
      </c>
      <c r="AU242" s="274">
        <f>'CC70 - Valores'!AL92</f>
        <v>0.20351050064634682</v>
      </c>
      <c r="AV242" s="274">
        <f>'CC70 - Valores'!AM92</f>
        <v>0.20463485692443464</v>
      </c>
      <c r="AW242" s="274">
        <f>'CC70 - Valores'!AN92</f>
        <v>0.20574955550287</v>
      </c>
      <c r="AX242" s="274">
        <f>'CC70 - Valores'!AO92</f>
        <v>0.20679253403183659</v>
      </c>
      <c r="AY242" s="274">
        <f>'CC70 - Valores'!AP92</f>
        <v>0.20780759818322184</v>
      </c>
      <c r="AZ242" s="274">
        <f>'CC70 - Valores'!AQ92</f>
        <v>0.20879333496962801</v>
      </c>
      <c r="BA242" s="274">
        <f>'CC70 - Valores'!AR92</f>
        <v>0.20974381162922356</v>
      </c>
      <c r="BB242" s="274">
        <f>'CC70 - Valores'!AS92</f>
        <v>0.21065386591021421</v>
      </c>
      <c r="BC242" s="274">
        <f>'CC70 - Valores'!AT92</f>
        <v>0.21152675255097797</v>
      </c>
      <c r="BD242" s="274">
        <f>'CC70 - Valores'!AU92</f>
        <v>0.21236366222602593</v>
      </c>
      <c r="BE242" s="274">
        <f>'CC70 - Valores'!AV92</f>
        <v>0.21316453256381807</v>
      </c>
      <c r="BF242" s="274">
        <f>'CC70 - Valores'!AW92</f>
        <v>0.21392625442745239</v>
      </c>
      <c r="BG242" s="274">
        <f>'CC70 - Valores'!AX92</f>
        <v>0.21464832616370616</v>
      </c>
      <c r="BH242" s="274">
        <f>'CC70 - Valores'!AY92</f>
        <v>0.21532922642600338</v>
      </c>
      <c r="BI242" s="274">
        <f>'CC70 - Valores'!AZ92</f>
        <v>0.21597075935134363</v>
      </c>
      <c r="BJ242" s="274">
        <f>'CC70 - Valores'!BA92</f>
        <v>0.21657222191774222</v>
      </c>
      <c r="BK242" s="274">
        <f>'CC70 - Valores'!BB92</f>
        <v>0.21713289473299166</v>
      </c>
    </row>
    <row r="243" spans="1:63" x14ac:dyDescent="0.3">
      <c r="A243" s="386"/>
      <c r="B243" t="s">
        <v>437</v>
      </c>
      <c r="C243" s="286"/>
      <c r="D243" s="286"/>
      <c r="E243" s="286"/>
      <c r="F243" s="286"/>
      <c r="G243" s="286"/>
      <c r="H243" s="287"/>
      <c r="I243" s="287"/>
      <c r="J243" s="287"/>
      <c r="K243" s="82">
        <f t="shared" si="138"/>
        <v>2.3358380584547072E-2</v>
      </c>
      <c r="L243" s="82">
        <f t="shared" si="138"/>
        <v>2.7960008202566927E-2</v>
      </c>
      <c r="M243" s="82">
        <f t="shared" si="139"/>
        <v>2.0921872758601575E-2</v>
      </c>
      <c r="N243" s="82">
        <f t="shared" si="139"/>
        <v>1.8807754924945446E-2</v>
      </c>
      <c r="O243" s="82">
        <f t="shared" ref="O243" si="145">O227</f>
        <v>2.2163448591049351E-2</v>
      </c>
      <c r="P243" s="274">
        <f>'CC70 - Valores'!G93</f>
        <v>2.200348772439735E-2</v>
      </c>
      <c r="Q243" s="274">
        <f>'CC70 - Valores'!H93</f>
        <v>2.3288398274357115E-2</v>
      </c>
      <c r="R243" s="274">
        <f>'CC70 - Valores'!I93</f>
        <v>2.3272815860787579E-2</v>
      </c>
      <c r="S243" s="274">
        <f>'CC70 - Valores'!J93</f>
        <v>2.4610670759199215E-2</v>
      </c>
      <c r="T243" s="274">
        <f>'CC70 - Valores'!K93</f>
        <v>2.5162360612154086E-2</v>
      </c>
      <c r="U243" s="274">
        <f>'CC70 - Valores'!L93</f>
        <v>2.5738787073828689E-2</v>
      </c>
      <c r="V243" s="274">
        <f>'CC70 - Valores'!M93</f>
        <v>2.6242813132842727E-2</v>
      </c>
      <c r="W243" s="274">
        <f>'CC70 - Valores'!N93</f>
        <v>2.6839815337003546E-2</v>
      </c>
      <c r="X243" s="274">
        <f>'CC70 - Valores'!O93</f>
        <v>2.6443635649168042E-2</v>
      </c>
      <c r="Y243" s="274">
        <f>'CC70 - Valores'!P93</f>
        <v>2.6871507794578683E-2</v>
      </c>
      <c r="Z243" s="274">
        <f>'CC70 - Valores'!Q93</f>
        <v>2.7399621271201623E-2</v>
      </c>
      <c r="AA243" s="274">
        <f>'CC70 - Valores'!R93</f>
        <v>2.7765703923994581E-2</v>
      </c>
      <c r="AB243" s="274">
        <f>'CC70 - Valores'!S93</f>
        <v>2.8111242068094337E-2</v>
      </c>
      <c r="AC243" s="274">
        <f>'CC70 - Valores'!T93</f>
        <v>2.8441196160996204E-2</v>
      </c>
      <c r="AD243" s="274">
        <f>'CC70 - Valores'!U93</f>
        <v>2.8715566327686917E-2</v>
      </c>
      <c r="AE243" s="274">
        <f>'CC70 - Valores'!V93</f>
        <v>2.8945042882569286E-2</v>
      </c>
      <c r="AF243" s="274">
        <f>'CC70 - Valores'!W93</f>
        <v>2.9302591022641468E-2</v>
      </c>
      <c r="AG243" s="274">
        <f>'CC70 - Valores'!X93</f>
        <v>2.9627157384443818E-2</v>
      </c>
      <c r="AH243" s="274">
        <f>'CC70 - Valores'!Y93</f>
        <v>2.9928504928326303E-2</v>
      </c>
      <c r="AI243" s="274">
        <f>'CC70 - Valores'!Z93</f>
        <v>3.0215880636690343E-2</v>
      </c>
      <c r="AJ243" s="274">
        <f>'CC70 - Valores'!AA93</f>
        <v>3.0453827203886161E-2</v>
      </c>
      <c r="AK243" s="274">
        <f>'CC70 - Valores'!AB93</f>
        <v>3.0726167609380628E-2</v>
      </c>
      <c r="AL243" s="274">
        <f>'CC70 - Valores'!AC93</f>
        <v>3.096951519286522E-2</v>
      </c>
      <c r="AM243" s="274">
        <f>'CC70 - Valores'!AD93</f>
        <v>3.1259186777528897E-2</v>
      </c>
      <c r="AN243" s="274">
        <f>'CC70 - Valores'!AE93</f>
        <v>3.1501480460676412E-2</v>
      </c>
      <c r="AO243" s="274">
        <f>'CC70 - Valores'!AF93</f>
        <v>3.1731857510598163E-2</v>
      </c>
      <c r="AP243" s="274">
        <f>'CC70 - Valores'!AG93</f>
        <v>3.1960758605366943E-2</v>
      </c>
      <c r="AQ243" s="274">
        <f>'CC70 - Valores'!AH93</f>
        <v>3.2184315017312753E-2</v>
      </c>
      <c r="AR243" s="274">
        <f>'CC70 - Valores'!AI93</f>
        <v>3.24242909887721E-2</v>
      </c>
      <c r="AS243" s="274">
        <f>'CC70 - Valores'!AJ93</f>
        <v>3.2641558341510758E-2</v>
      </c>
      <c r="AT243" s="274">
        <f>'CC70 - Valores'!AK93</f>
        <v>3.2852655783229816E-2</v>
      </c>
      <c r="AU243" s="274">
        <f>'CC70 - Valores'!AL93</f>
        <v>3.3061108374565044E-2</v>
      </c>
      <c r="AV243" s="274">
        <f>'CC70 - Valores'!AM93</f>
        <v>3.3263542611533595E-2</v>
      </c>
      <c r="AW243" s="274">
        <f>'CC70 - Valores'!AN93</f>
        <v>3.3463429784600131E-2</v>
      </c>
      <c r="AX243" s="274">
        <f>'CC70 - Valores'!AO93</f>
        <v>3.3650768028107583E-2</v>
      </c>
      <c r="AY243" s="274">
        <f>'CC70 - Valores'!AP93</f>
        <v>3.3832587000212785E-2</v>
      </c>
      <c r="AZ243" s="274">
        <f>'CC70 - Valores'!AQ93</f>
        <v>3.4008644013204505E-2</v>
      </c>
      <c r="BA243" s="274">
        <f>'CC70 - Valores'!AR93</f>
        <v>3.4177969837199229E-2</v>
      </c>
      <c r="BB243" s="274">
        <f>'CC70 - Valores'!AS93</f>
        <v>3.4339720155167307E-2</v>
      </c>
      <c r="BC243" s="274">
        <f>'CC70 - Valores'!AT93</f>
        <v>3.4494406366879997E-2</v>
      </c>
      <c r="BD243" s="274">
        <f>'CC70 - Valores'!AU93</f>
        <v>3.4642208841744682E-2</v>
      </c>
      <c r="BE243" s="274">
        <f>'CC70 - Valores'!AV93</f>
        <v>3.4783107387641198E-2</v>
      </c>
      <c r="BF243" s="274">
        <f>'CC70 - Valores'!AW93</f>
        <v>3.4916592769028247E-2</v>
      </c>
      <c r="BG243" s="274">
        <f>'CC70 - Valores'!AX93</f>
        <v>3.5042576567342353E-2</v>
      </c>
      <c r="BH243" s="274">
        <f>'CC70 - Valores'!AY93</f>
        <v>3.5160807625044796E-2</v>
      </c>
      <c r="BI243" s="274">
        <f>'CC70 - Valores'!AZ93</f>
        <v>3.527157079872776E-2</v>
      </c>
      <c r="BJ243" s="274">
        <f>'CC70 - Valores'!BA93</f>
        <v>3.537474887140226E-2</v>
      </c>
      <c r="BK243" s="274">
        <f>'CC70 - Valores'!BB93</f>
        <v>3.5470223267857329E-2</v>
      </c>
    </row>
    <row r="244" spans="1:63" x14ac:dyDescent="0.3">
      <c r="A244" s="386"/>
      <c r="B244" t="s">
        <v>438</v>
      </c>
      <c r="C244" s="286"/>
      <c r="D244" s="286"/>
      <c r="E244" s="286"/>
      <c r="F244" s="286"/>
      <c r="G244" s="286"/>
      <c r="H244" s="287"/>
      <c r="I244" s="287"/>
      <c r="J244" s="287"/>
      <c r="K244" s="82">
        <f t="shared" si="138"/>
        <v>6.376215061464699E-3</v>
      </c>
      <c r="L244" s="82">
        <f t="shared" si="138"/>
        <v>5.2425295496718273E-3</v>
      </c>
      <c r="M244" s="82">
        <f t="shared" si="139"/>
        <v>7.438902636199618E-3</v>
      </c>
      <c r="N244" s="82">
        <f t="shared" si="139"/>
        <v>4.3327007360931232E-3</v>
      </c>
      <c r="O244" s="82">
        <f t="shared" ref="O244" si="146">O228</f>
        <v>3.9575663504758931E-3</v>
      </c>
      <c r="P244" s="274">
        <f>'CC70 - Valores'!G94</f>
        <v>3.9235585260457926E-3</v>
      </c>
      <c r="Q244" s="274">
        <f>'CC70 - Valores'!H94</f>
        <v>4.1889075387032395E-3</v>
      </c>
      <c r="R244" s="274">
        <f>'CC70 - Valores'!I94</f>
        <v>4.2158034958889616E-3</v>
      </c>
      <c r="S244" s="274">
        <f>'CC70 - Valores'!J94</f>
        <v>4.5040507050575114E-3</v>
      </c>
      <c r="T244" s="274">
        <f>'CC70 - Valores'!K94</f>
        <v>4.6467194837151466E-3</v>
      </c>
      <c r="U244" s="274">
        <f>'CC70 - Valores'!L94</f>
        <v>4.7982125030713828E-3</v>
      </c>
      <c r="V244" s="274">
        <f>'CC70 - Valores'!M94</f>
        <v>4.9387442100093685E-3</v>
      </c>
      <c r="W244" s="274">
        <f>'CC70 - Valores'!N94</f>
        <v>5.1028933100309253E-3</v>
      </c>
      <c r="X244" s="274">
        <f>'CC70 - Valores'!O94</f>
        <v>5.052958129102815E-3</v>
      </c>
      <c r="Y244" s="274">
        <f>'CC70 - Valores'!P94</f>
        <v>5.1833529685238015E-3</v>
      </c>
      <c r="Z244" s="274">
        <f>'CC70 - Valores'!Q94</f>
        <v>5.3397292544755124E-3</v>
      </c>
      <c r="AA244" s="274">
        <f>'CC70 - Valores'!R94</f>
        <v>5.4626639689749719E-3</v>
      </c>
      <c r="AB244" s="274">
        <f>'CC70 - Valores'!S94</f>
        <v>5.5834498303172038E-3</v>
      </c>
      <c r="AC244" s="274">
        <f>'CC70 - Valores'!T94</f>
        <v>5.7030791857402971E-3</v>
      </c>
      <c r="AD244" s="274">
        <f>'CC70 - Valores'!U94</f>
        <v>5.8114004172249659E-3</v>
      </c>
      <c r="AE244" s="274">
        <f>'CC70 - Valores'!V94</f>
        <v>5.9103404946430514E-3</v>
      </c>
      <c r="AF244" s="274">
        <f>'CC70 - Valores'!W94</f>
        <v>6.0444080211808655E-3</v>
      </c>
      <c r="AG244" s="274">
        <f>'CC70 - Valores'!X94</f>
        <v>6.1729491611440309E-3</v>
      </c>
      <c r="AH244" s="274">
        <f>'CC70 - Valores'!Y94</f>
        <v>6.298158675338646E-3</v>
      </c>
      <c r="AI244" s="274">
        <f>'CC70 - Valores'!Z94</f>
        <v>6.4223222202690472E-3</v>
      </c>
      <c r="AJ244" s="274">
        <f>'CC70 - Valores'!AA94</f>
        <v>6.535176850315085E-3</v>
      </c>
      <c r="AK244" s="274">
        <f>'CC70 - Valores'!AB94</f>
        <v>6.6603958591838954E-3</v>
      </c>
      <c r="AL244" s="274">
        <f>'CC70 - Valores'!AC94</f>
        <v>6.7798468434469208E-3</v>
      </c>
      <c r="AM244" s="274">
        <f>'CC70 - Valores'!AD94</f>
        <v>6.916051156270444E-3</v>
      </c>
      <c r="AN244" s="274">
        <f>'CC70 - Valores'!AE94</f>
        <v>7.0408675507670762E-3</v>
      </c>
      <c r="AO244" s="274">
        <f>'CC70 - Valores'!AF94</f>
        <v>7.1647744512062491E-3</v>
      </c>
      <c r="AP244" s="274">
        <f>'CC70 - Valores'!AG94</f>
        <v>7.2910503513483969E-3</v>
      </c>
      <c r="AQ244" s="274">
        <f>'CC70 - Valores'!AH94</f>
        <v>7.4185013991798733E-3</v>
      </c>
      <c r="AR244" s="274">
        <f>'CC70 - Valores'!AI94</f>
        <v>7.5545543074587778E-3</v>
      </c>
      <c r="AS244" s="274">
        <f>'CC70 - Valores'!AJ94</f>
        <v>7.6861435029953106E-3</v>
      </c>
      <c r="AT244" s="274">
        <f>'CC70 - Valores'!AK94</f>
        <v>7.8187890254893099E-3</v>
      </c>
      <c r="AU244" s="274">
        <f>'CC70 - Valores'!AL94</f>
        <v>7.953791918608271E-3</v>
      </c>
      <c r="AV244" s="274">
        <f>'CC70 - Valores'!AM94</f>
        <v>8.0900104290358796E-3</v>
      </c>
      <c r="AW244" s="274">
        <f>'CC70 - Valores'!AN94</f>
        <v>8.2287906746459777E-3</v>
      </c>
      <c r="AX244" s="274">
        <f>'CC70 - Valores'!AO94</f>
        <v>8.3663834097188611E-3</v>
      </c>
      <c r="AY244" s="274">
        <f>'CC70 - Valores'!AP94</f>
        <v>8.5054403328272427E-3</v>
      </c>
      <c r="AZ244" s="274">
        <f>'CC70 - Valores'!AQ94</f>
        <v>8.6459128975213771E-3</v>
      </c>
      <c r="BA244" s="274">
        <f>'CC70 - Valores'!AR94</f>
        <v>8.7874469456968671E-3</v>
      </c>
      <c r="BB244" s="274">
        <f>'CC70 - Valores'!AS94</f>
        <v>8.9297086940625867E-3</v>
      </c>
      <c r="BC244" s="274">
        <f>'CC70 - Valores'!AT94</f>
        <v>9.07291867429523E-3</v>
      </c>
      <c r="BD244" s="274">
        <f>'CC70 - Valores'!AU94</f>
        <v>9.2171711139581794E-3</v>
      </c>
      <c r="BE244" s="274">
        <f>'CC70 - Valores'!AV94</f>
        <v>9.3624777565843049E-3</v>
      </c>
      <c r="BF244" s="274">
        <f>'CC70 - Valores'!AW94</f>
        <v>9.508625996305772E-3</v>
      </c>
      <c r="BG244" s="274">
        <f>'CC70 - Valores'!AX94</f>
        <v>9.6555812987979273E-3</v>
      </c>
      <c r="BH244" s="274">
        <f>'CC70 - Valores'!AY94</f>
        <v>9.8032277559118343E-3</v>
      </c>
      <c r="BI244" s="274">
        <f>'CC70 - Valores'!AZ94</f>
        <v>9.9517013582611519E-3</v>
      </c>
      <c r="BJ244" s="274">
        <f>'CC70 - Valores'!BA94</f>
        <v>1.0100948578027456E-2</v>
      </c>
      <c r="BK244" s="274">
        <f>'CC70 - Valores'!BB94</f>
        <v>1.0250909888748836E-2</v>
      </c>
    </row>
    <row r="245" spans="1:63" x14ac:dyDescent="0.3">
      <c r="A245" s="386"/>
      <c r="B245" t="s">
        <v>439</v>
      </c>
      <c r="C245" s="286"/>
      <c r="D245" s="286"/>
      <c r="E245" s="286"/>
      <c r="F245" s="286"/>
      <c r="G245" s="286"/>
      <c r="H245" s="287"/>
      <c r="I245" s="287"/>
      <c r="J245" s="287"/>
      <c r="K245" s="82">
        <f t="shared" si="138"/>
        <v>4.5637999999999998E-2</v>
      </c>
      <c r="L245" s="82">
        <f t="shared" si="138"/>
        <v>4.7366999999999999E-2</v>
      </c>
      <c r="M245" s="82">
        <f t="shared" si="139"/>
        <v>4.1949E-2</v>
      </c>
      <c r="N245" s="82">
        <f t="shared" si="139"/>
        <v>5.9409999999999998E-2</v>
      </c>
      <c r="O245" s="82">
        <f t="shared" ref="O245" si="147">O229</f>
        <v>5.0866617530966163E-2</v>
      </c>
      <c r="P245" s="274">
        <f>'CC70 - Valores'!G95</f>
        <v>4.4557793603859398E-2</v>
      </c>
      <c r="Q245" s="274">
        <f>'CC70 - Valores'!H95</f>
        <v>4.7230826358345933E-2</v>
      </c>
      <c r="R245" s="274">
        <f>'CC70 - Valores'!I95</f>
        <v>4.726742712341786E-2</v>
      </c>
      <c r="S245" s="274">
        <f>'CC70 - Valores'!J95</f>
        <v>5.0063402987943616E-2</v>
      </c>
      <c r="T245" s="274">
        <f>'CC70 - Valores'!K95</f>
        <v>5.1263982756287033E-2</v>
      </c>
      <c r="U245" s="274">
        <f>'CC70 - Valores'!L95</f>
        <v>5.2519669545230907E-2</v>
      </c>
      <c r="V245" s="274">
        <f>'CC70 - Valores'!M95</f>
        <v>5.3631456719670408E-2</v>
      </c>
      <c r="W245" s="274">
        <f>'CC70 - Valores'!N95</f>
        <v>5.4938729124067352E-2</v>
      </c>
      <c r="X245" s="274">
        <f>'CC70 - Valores'!O95</f>
        <v>5.4202514347745964E-2</v>
      </c>
      <c r="Y245" s="274">
        <f>'CC70 - Valores'!P95</f>
        <v>5.5165712848991515E-2</v>
      </c>
      <c r="Z245" s="274">
        <f>'CC70 - Valores'!Q95</f>
        <v>5.6340056922194487E-2</v>
      </c>
      <c r="AA245" s="274">
        <f>'CC70 - Valores'!R95</f>
        <v>5.7182704240860742E-2</v>
      </c>
      <c r="AB245" s="274">
        <f>'CC70 - Valores'!S95</f>
        <v>5.7985731108936671E-2</v>
      </c>
      <c r="AC245" s="274">
        <f>'CC70 - Valores'!T95</f>
        <v>5.8759238065201384E-2</v>
      </c>
      <c r="AD245" s="274">
        <f>'CC70 - Valores'!U95</f>
        <v>5.9419454682164627E-2</v>
      </c>
      <c r="AE245" s="274">
        <f>'CC70 - Valores'!V95</f>
        <v>5.9988027439823635E-2</v>
      </c>
      <c r="AF245" s="274">
        <f>'CC70 - Valores'!W95</f>
        <v>6.0827477887844456E-2</v>
      </c>
      <c r="AG245" s="274">
        <f>'CC70 - Valores'!X95</f>
        <v>6.1600824103536206E-2</v>
      </c>
      <c r="AH245" s="274">
        <f>'CC70 - Valores'!Y95</f>
        <v>6.2328219034447692E-2</v>
      </c>
      <c r="AI245" s="274">
        <f>'CC70 - Valores'!Z95</f>
        <v>6.3028919075908879E-2</v>
      </c>
      <c r="AJ245" s="274">
        <f>'CC70 - Valores'!AA95</f>
        <v>6.3627613997549487E-2</v>
      </c>
      <c r="AK245" s="274">
        <f>'CC70 - Valores'!AB95</f>
        <v>6.4301693261680559E-2</v>
      </c>
      <c r="AL245" s="274">
        <f>'CC70 - Valores'!AC95</f>
        <v>6.4916741058391306E-2</v>
      </c>
      <c r="AM245" s="274">
        <f>'CC70 - Valores'!AD95</f>
        <v>6.5633147143792286E-2</v>
      </c>
      <c r="AN245" s="274">
        <f>'CC70 - Valores'!AE95</f>
        <v>6.6251161671731784E-2</v>
      </c>
      <c r="AO245" s="274">
        <f>'CC70 - Valores'!AF95</f>
        <v>6.6846173498339961E-2</v>
      </c>
      <c r="AP245" s="274">
        <f>'CC70 - Valores'!AG95</f>
        <v>6.7440497815231357E-2</v>
      </c>
      <c r="AQ245" s="274">
        <f>'CC70 - Valores'!AH95</f>
        <v>6.8025818314987899E-2</v>
      </c>
      <c r="AR245" s="274">
        <f>'CC70 - Valores'!AI95</f>
        <v>6.8649147678298425E-2</v>
      </c>
      <c r="AS245" s="274">
        <f>'CC70 - Valores'!AJ95</f>
        <v>6.9226028685391697E-2</v>
      </c>
      <c r="AT245" s="274">
        <f>'CC70 - Valores'!AK95</f>
        <v>6.9792078172181929E-2</v>
      </c>
      <c r="AU245" s="274">
        <f>'CC70 - Valores'!AL95</f>
        <v>7.0354933888513188E-2</v>
      </c>
      <c r="AV245" s="274">
        <f>'CC70 - Valores'!AM95</f>
        <v>7.0907248978267778E-2</v>
      </c>
      <c r="AW245" s="274">
        <f>'CC70 - Valores'!AN95</f>
        <v>7.1456587429190477E-2</v>
      </c>
      <c r="AX245" s="274">
        <f>'CC70 - Valores'!AO95</f>
        <v>7.1981017127107069E-2</v>
      </c>
      <c r="AY245" s="274">
        <f>'CC70 - Valores'!AP95</f>
        <v>7.2495861741871559E-2</v>
      </c>
      <c r="AZ245" s="274">
        <f>'CC70 - Valores'!AQ95</f>
        <v>7.3000558868626678E-2</v>
      </c>
      <c r="BA245" s="274">
        <f>'CC70 - Valores'!AR95</f>
        <v>7.3492933120044138E-2</v>
      </c>
      <c r="BB245" s="274">
        <f>'CC70 - Valores'!AS95</f>
        <v>7.3971063420300714E-2</v>
      </c>
      <c r="BC245" s="274">
        <f>'CC70 - Valores'!AT95</f>
        <v>7.4436024715870061E-2</v>
      </c>
      <c r="BD245" s="274">
        <f>'CC70 - Valores'!AU95</f>
        <v>7.4888165666683271E-2</v>
      </c>
      <c r="BE245" s="274">
        <f>'CC70 - Valores'!AV95</f>
        <v>7.5327390578222811E-2</v>
      </c>
      <c r="BF245" s="274">
        <f>'CC70 - Valores'!AW95</f>
        <v>7.5752505967867936E-2</v>
      </c>
      <c r="BG245" s="274">
        <f>'CC70 - Valores'!AX95</f>
        <v>7.6163252153125596E-2</v>
      </c>
      <c r="BH245" s="274">
        <f>'CC70 - Valores'!AY95</f>
        <v>7.6558999646648571E-2</v>
      </c>
      <c r="BI245" s="274">
        <f>'CC70 - Valores'!AZ95</f>
        <v>7.6940324927387657E-2</v>
      </c>
      <c r="BJ245" s="274">
        <f>'CC70 - Valores'!BA95</f>
        <v>7.7306898901878585E-2</v>
      </c>
      <c r="BK245" s="274">
        <f>'CC70 - Valores'!BB95</f>
        <v>7.7658385773350491E-2</v>
      </c>
    </row>
    <row r="246" spans="1:63" x14ac:dyDescent="0.3">
      <c r="A246" s="386"/>
      <c r="B246" t="s">
        <v>440</v>
      </c>
      <c r="C246" s="103"/>
      <c r="D246" s="103"/>
      <c r="E246" s="103"/>
      <c r="F246" s="103"/>
      <c r="G246" s="286"/>
      <c r="H246" s="287"/>
      <c r="I246" s="287"/>
      <c r="J246" s="287"/>
      <c r="K246" s="82">
        <f t="shared" si="138"/>
        <v>1.5675000000000001E-2</v>
      </c>
      <c r="L246" s="82">
        <f t="shared" si="138"/>
        <v>1.5810000000000001E-2</v>
      </c>
      <c r="M246" s="82">
        <f t="shared" si="139"/>
        <v>2.3879000000000001E-2</v>
      </c>
      <c r="N246" s="82">
        <f t="shared" si="139"/>
        <v>1.9668999999999999E-2</v>
      </c>
      <c r="O246" s="82">
        <f t="shared" ref="O246" si="148">O230</f>
        <v>1.3838983196032719E-2</v>
      </c>
      <c r="P246" s="274">
        <f>'CC70 - Valores'!G96</f>
        <v>1.2804467290434315E-2</v>
      </c>
      <c r="Q246" s="274">
        <f>'CC70 - Valores'!H96</f>
        <v>1.7403829106086555E-2</v>
      </c>
      <c r="R246" s="274">
        <f>'CC70 - Valores'!I96</f>
        <v>2.2003190921738795E-2</v>
      </c>
      <c r="S246" s="274">
        <f>'CC70 - Valores'!J96</f>
        <v>2.6602552737391039E-2</v>
      </c>
      <c r="T246" s="274">
        <f>'CC70 - Valores'!K96</f>
        <v>3.1201914553043279E-2</v>
      </c>
      <c r="U246" s="274">
        <f>'CC70 - Valores'!L96</f>
        <v>3.5801276368695518E-2</v>
      </c>
      <c r="V246" s="274">
        <f>'CC70 - Valores'!M96</f>
        <v>4.0400638184347762E-2</v>
      </c>
      <c r="W246" s="274">
        <f>'CC70 - Valores'!N96</f>
        <v>4.4999999999999998E-2</v>
      </c>
      <c r="X246" s="274">
        <f>'CC70 - Valores'!O96</f>
        <v>4.5124999999999998E-2</v>
      </c>
      <c r="Y246" s="274">
        <f>'CC70 - Valores'!P96</f>
        <v>4.5249999999999999E-2</v>
      </c>
      <c r="Z246" s="274">
        <f>'CC70 - Valores'!Q96</f>
        <v>4.5374999999999999E-2</v>
      </c>
      <c r="AA246" s="274">
        <f>'CC70 - Valores'!R96</f>
        <v>4.5499999999999999E-2</v>
      </c>
      <c r="AB246" s="274">
        <f>'CC70 - Valores'!S96</f>
        <v>4.5624999999999999E-2</v>
      </c>
      <c r="AC246" s="274">
        <f>'CC70 - Valores'!T96</f>
        <v>4.5749999999999999E-2</v>
      </c>
      <c r="AD246" s="274">
        <f>'CC70 - Valores'!U96</f>
        <v>4.5874999999999999E-2</v>
      </c>
      <c r="AE246" s="274">
        <f>'CC70 - Valores'!V96</f>
        <v>4.5999999999999999E-2</v>
      </c>
      <c r="AF246" s="274">
        <f>'CC70 - Valores'!W96</f>
        <v>4.6124999999999999E-2</v>
      </c>
      <c r="AG246" s="274">
        <f>'CC70 - Valores'!X96</f>
        <v>4.6249999999999999E-2</v>
      </c>
      <c r="AH246" s="274">
        <f>'CC70 - Valores'!Y96</f>
        <v>4.6375E-2</v>
      </c>
      <c r="AI246" s="274">
        <f>'CC70 - Valores'!Z96</f>
        <v>4.65E-2</v>
      </c>
      <c r="AJ246" s="274">
        <f>'CC70 - Valores'!AA96</f>
        <v>4.6625E-2</v>
      </c>
      <c r="AK246" s="274">
        <f>'CC70 - Valores'!AB96</f>
        <v>4.675E-2</v>
      </c>
      <c r="AL246" s="274">
        <f>'CC70 - Valores'!AC96</f>
        <v>4.6875E-2</v>
      </c>
      <c r="AM246" s="274">
        <f>'CC70 - Valores'!AD96</f>
        <v>4.7E-2</v>
      </c>
      <c r="AN246" s="274">
        <f>'CC70 - Valores'!AE96</f>
        <v>4.7125E-2</v>
      </c>
      <c r="AO246" s="274">
        <f>'CC70 - Valores'!AF96</f>
        <v>4.725E-2</v>
      </c>
      <c r="AP246" s="274">
        <f>'CC70 - Valores'!AG96</f>
        <v>4.7375E-2</v>
      </c>
      <c r="AQ246" s="274">
        <f>'CC70 - Valores'!AH96</f>
        <v>4.7500000000000001E-2</v>
      </c>
      <c r="AR246" s="274">
        <f>'CC70 - Valores'!AI96</f>
        <v>4.7625000000000001E-2</v>
      </c>
      <c r="AS246" s="274">
        <f>'CC70 - Valores'!AJ96</f>
        <v>4.7750000000000001E-2</v>
      </c>
      <c r="AT246" s="274">
        <f>'CC70 - Valores'!AK96</f>
        <v>4.7875000000000001E-2</v>
      </c>
      <c r="AU246" s="274">
        <f>'CC70 - Valores'!AL96</f>
        <v>4.8000000000000001E-2</v>
      </c>
      <c r="AV246" s="274">
        <f>'CC70 - Valores'!AM96</f>
        <v>4.8125000000000001E-2</v>
      </c>
      <c r="AW246" s="274">
        <f>'CC70 - Valores'!AN96</f>
        <v>4.8250000000000001E-2</v>
      </c>
      <c r="AX246" s="274">
        <f>'CC70 - Valores'!AO96</f>
        <v>4.8375000000000001E-2</v>
      </c>
      <c r="AY246" s="274">
        <f>'CC70 - Valores'!AP96</f>
        <v>4.8500000000000001E-2</v>
      </c>
      <c r="AZ246" s="274">
        <f>'CC70 - Valores'!AQ96</f>
        <v>4.8625000000000002E-2</v>
      </c>
      <c r="BA246" s="274">
        <f>'CC70 - Valores'!AR96</f>
        <v>4.8750000000000002E-2</v>
      </c>
      <c r="BB246" s="274">
        <f>'CC70 - Valores'!AS96</f>
        <v>4.8875000000000002E-2</v>
      </c>
      <c r="BC246" s="274">
        <f>'CC70 - Valores'!AT96</f>
        <v>4.9000000000000002E-2</v>
      </c>
      <c r="BD246" s="274">
        <f>'CC70 - Valores'!AU96</f>
        <v>4.9125000000000002E-2</v>
      </c>
      <c r="BE246" s="274">
        <f>'CC70 - Valores'!AV96</f>
        <v>4.9250000000000002E-2</v>
      </c>
      <c r="BF246" s="274">
        <f>'CC70 - Valores'!AW96</f>
        <v>4.9375000000000002E-2</v>
      </c>
      <c r="BG246" s="274">
        <f>'CC70 - Valores'!AX96</f>
        <v>4.9500000000000002E-2</v>
      </c>
      <c r="BH246" s="274">
        <f>'CC70 - Valores'!AY96</f>
        <v>4.9625000000000002E-2</v>
      </c>
      <c r="BI246" s="274">
        <f>'CC70 - Valores'!AZ96</f>
        <v>4.9750000000000003E-2</v>
      </c>
      <c r="BJ246" s="274">
        <f>'CC70 - Valores'!BA96</f>
        <v>4.9875000000000003E-2</v>
      </c>
      <c r="BK246" s="274">
        <f>'CC70 - Valores'!BB96</f>
        <v>0.05</v>
      </c>
    </row>
    <row r="247" spans="1:63" x14ac:dyDescent="0.3">
      <c r="A247" s="386"/>
      <c r="B247" t="s">
        <v>441</v>
      </c>
      <c r="C247" s="103"/>
      <c r="D247" s="103"/>
      <c r="E247" s="103"/>
      <c r="F247" s="103"/>
      <c r="G247" s="103"/>
      <c r="H247" s="287"/>
      <c r="I247" s="287"/>
      <c r="J247" s="287"/>
      <c r="K247" s="82">
        <f t="shared" si="138"/>
        <v>3.9402E-2</v>
      </c>
      <c r="L247" s="82">
        <f t="shared" si="138"/>
        <v>3.5994999999999999E-2</v>
      </c>
      <c r="M247" s="82">
        <f t="shared" si="139"/>
        <v>3.6186000000000003E-2</v>
      </c>
      <c r="N247" s="82">
        <f t="shared" si="139"/>
        <v>3.9580999999999998E-2</v>
      </c>
      <c r="O247" s="82">
        <f t="shared" ref="O247" si="149">O231</f>
        <v>3.7412769150859976E-2</v>
      </c>
      <c r="P247" s="274">
        <f>'CC70 - Valores'!G97</f>
        <v>3.5446846750857929E-2</v>
      </c>
      <c r="Q247" s="274">
        <f>'CC70 - Valores'!H97</f>
        <v>3.7503847369052837E-2</v>
      </c>
      <c r="R247" s="274">
        <f>'CC70 - Valores'!I97</f>
        <v>3.7466211684397975E-2</v>
      </c>
      <c r="S247" s="274">
        <f>'CC70 - Valores'!J97</f>
        <v>3.9607378916014964E-2</v>
      </c>
      <c r="T247" s="274">
        <f>'CC70 - Valores'!K97</f>
        <v>4.0482795524804487E-2</v>
      </c>
      <c r="U247" s="274">
        <f>'CC70 - Valores'!L97</f>
        <v>4.139798329673685E-2</v>
      </c>
      <c r="V247" s="274">
        <f>'CC70 - Valores'!M97</f>
        <v>4.2196727656404913E-2</v>
      </c>
      <c r="W247" s="274">
        <f>'CC70 - Valores'!N97</f>
        <v>4.3145034225998941E-2</v>
      </c>
      <c r="X247" s="274">
        <f>'CC70 - Valores'!O97</f>
        <v>4.2496932053726726E-2</v>
      </c>
      <c r="Y247" s="274">
        <f>'CC70 - Valores'!P97</f>
        <v>4.3173892949011056E-2</v>
      </c>
      <c r="Z247" s="274">
        <f>'CC70 - Valores'!Q97</f>
        <v>4.4012097646490229E-2</v>
      </c>
      <c r="AA247" s="274">
        <f>'CC70 - Valores'!R97</f>
        <v>4.4590170817776074E-2</v>
      </c>
      <c r="AB247" s="274">
        <f>'CC70 - Valores'!S97</f>
        <v>4.5135518976950673E-2</v>
      </c>
      <c r="AC247" s="274">
        <f>'CC70 - Valores'!T97</f>
        <v>4.565614177766357E-2</v>
      </c>
      <c r="AD247" s="274">
        <f>'CC70 - Valores'!U97</f>
        <v>4.6087847620310443E-2</v>
      </c>
      <c r="AE247" s="274">
        <f>'CC70 - Valores'!V97</f>
        <v>4.6447853127519895E-2</v>
      </c>
      <c r="AF247" s="274">
        <f>'CC70 - Valores'!W97</f>
        <v>4.7013811784894936E-2</v>
      </c>
      <c r="AG247" s="274">
        <f>'CC70 - Valores'!X97</f>
        <v>4.752719277743845E-2</v>
      </c>
      <c r="AH247" s="274">
        <f>'CC70 - Valores'!Y97</f>
        <v>4.8003696428711294E-2</v>
      </c>
      <c r="AI247" s="274">
        <f>'CC70 - Valores'!Z97</f>
        <v>4.845818484656618E-2</v>
      </c>
      <c r="AJ247" s="274">
        <f>'CC70 - Valores'!AA97</f>
        <v>4.8833793523253941E-2</v>
      </c>
      <c r="AK247" s="274">
        <f>'CC70 - Valores'!AB97</f>
        <v>4.9265018757481745E-2</v>
      </c>
      <c r="AL247" s="274">
        <f>'CC70 - Valores'!AC97</f>
        <v>4.9650183446416279E-2</v>
      </c>
      <c r="AM247" s="274">
        <f>'CC70 - Valores'!AD97</f>
        <v>5.0110109258907271E-2</v>
      </c>
      <c r="AN247" s="274">
        <f>'CC70 - Valores'!AE97</f>
        <v>5.049451124262648E-2</v>
      </c>
      <c r="AO247" s="274">
        <f>'CC70 - Valores'!AF97</f>
        <v>5.086028219623303E-2</v>
      </c>
      <c r="AP247" s="274">
        <f>'CC70 - Valores'!AG97</f>
        <v>5.1224176731378038E-2</v>
      </c>
      <c r="AQ247" s="274">
        <f>'CC70 - Valores'!AH97</f>
        <v>5.1579999011932331E-2</v>
      </c>
      <c r="AR247" s="274">
        <f>'CC70 - Valores'!AI97</f>
        <v>5.1962660178793321E-2</v>
      </c>
      <c r="AS247" s="274">
        <f>'CC70 - Valores'!AJ97</f>
        <v>5.2309419790977578E-2</v>
      </c>
      <c r="AT247" s="274">
        <f>'CC70 - Valores'!AK97</f>
        <v>5.2646808368298569E-2</v>
      </c>
      <c r="AU247" s="274">
        <f>'CC70 - Valores'!AL97</f>
        <v>5.2980486204926625E-2</v>
      </c>
      <c r="AV247" s="274">
        <f>'CC70 - Valores'!AM97</f>
        <v>5.3305049980655647E-2</v>
      </c>
      <c r="AW247" s="274">
        <f>'CC70 - Valores'!AN97</f>
        <v>5.3626073160088328E-2</v>
      </c>
      <c r="AX247" s="274">
        <f>'CC70 - Valores'!AO97</f>
        <v>5.3927519849847928E-2</v>
      </c>
      <c r="AY247" s="274">
        <f>'CC70 - Valores'!AP97</f>
        <v>5.422066890231627E-2</v>
      </c>
      <c r="AZ247" s="274">
        <f>'CC70 - Valores'!AQ97</f>
        <v>5.4505135365580736E-2</v>
      </c>
      <c r="BA247" s="274">
        <f>'CC70 - Valores'!AR97</f>
        <v>5.4779368065683474E-2</v>
      </c>
      <c r="BB247" s="274">
        <f>'CC70 - Valores'!AS97</f>
        <v>5.5042015127723873E-2</v>
      </c>
      <c r="BC247" s="274">
        <f>'CC70 - Valores'!AT97</f>
        <v>5.5293898875898952E-2</v>
      </c>
      <c r="BD247" s="274">
        <f>'CC70 - Valores'!AU97</f>
        <v>5.5535310084038635E-2</v>
      </c>
      <c r="BE247" s="274">
        <f>'CC70 - Valores'!AV97</f>
        <v>5.5766217135794625E-2</v>
      </c>
      <c r="BF247" s="274">
        <f>'CC70 - Valores'!AW97</f>
        <v>5.5985802775975584E-2</v>
      </c>
      <c r="BG247" s="274">
        <f>'CC70 - Valores'!AX97</f>
        <v>5.6193924262459435E-2</v>
      </c>
      <c r="BH247" s="274">
        <f>'CC70 - Valores'!AY97</f>
        <v>5.6390176812018987E-2</v>
      </c>
      <c r="BI247" s="274">
        <f>'CC70 - Valores'!AZ97</f>
        <v>5.6575015529470044E-2</v>
      </c>
      <c r="BJ247" s="274">
        <f>'CC70 - Valores'!BA97</f>
        <v>5.6748249353532433E-2</v>
      </c>
      <c r="BK247" s="274">
        <f>'CC70 - Valores'!BB97</f>
        <v>5.6909684268669977E-2</v>
      </c>
    </row>
    <row r="248" spans="1:63" x14ac:dyDescent="0.3">
      <c r="A248" s="386"/>
      <c r="B248" t="s">
        <v>442</v>
      </c>
      <c r="C248" s="286"/>
      <c r="D248" s="286"/>
      <c r="E248" s="286"/>
      <c r="F248" s="286"/>
      <c r="G248" s="286"/>
      <c r="H248" s="287"/>
      <c r="I248" s="287"/>
      <c r="J248" s="287"/>
      <c r="K248" s="82">
        <f t="shared" si="138"/>
        <v>0.16350400000000001</v>
      </c>
      <c r="L248" s="82">
        <f t="shared" si="138"/>
        <v>0.195711</v>
      </c>
      <c r="M248" s="82">
        <f t="shared" si="139"/>
        <v>0.186835</v>
      </c>
      <c r="N248" s="82">
        <f t="shared" si="139"/>
        <v>0.17084299999999999</v>
      </c>
      <c r="O248" s="82">
        <f t="shared" ref="O248" si="150">O232</f>
        <v>0.17689230288687302</v>
      </c>
      <c r="P248" s="274">
        <f>'CC70 - Valores'!G98</f>
        <v>0.14541205997338172</v>
      </c>
      <c r="Q248" s="274">
        <f>'CC70 - Valores'!H98</f>
        <v>0.15395453274484105</v>
      </c>
      <c r="R248" s="274">
        <f>'CC70 - Valores'!I98</f>
        <v>0.15388230683150206</v>
      </c>
      <c r="S248" s="274">
        <f>'CC70 - Valores'!J98</f>
        <v>0.16281740440943268</v>
      </c>
      <c r="T248" s="274">
        <f>'CC70 - Valores'!K98</f>
        <v>0.16654283840487227</v>
      </c>
      <c r="U248" s="274">
        <f>'CC70 - Valores'!L98</f>
        <v>0.1704475569512745</v>
      </c>
      <c r="V248" s="274">
        <f>'CC70 - Valores'!M98</f>
        <v>0.17388243137901144</v>
      </c>
      <c r="W248" s="274">
        <f>'CC70 - Valores'!N98</f>
        <v>0.1779556938355428</v>
      </c>
      <c r="X248" s="274">
        <f>'CC70 - Valores'!O98</f>
        <v>0.17535823819238733</v>
      </c>
      <c r="Y248" s="274">
        <f>'CC70 - Valores'!P98</f>
        <v>0.1783094073660203</v>
      </c>
      <c r="Z248" s="274">
        <f>'CC70 - Valores'!Q98</f>
        <v>0.18195027752135387</v>
      </c>
      <c r="AA248" s="274">
        <f>'CC70 - Valores'!R98</f>
        <v>0.18451039676099074</v>
      </c>
      <c r="AB248" s="274">
        <f>'CC70 - Valores'!S98</f>
        <v>0.18694271570145096</v>
      </c>
      <c r="AC248" s="274">
        <f>'CC70 - Valores'!T98</f>
        <v>0.1892803930892778</v>
      </c>
      <c r="AD248" s="274">
        <f>'CC70 - Valores'!U98</f>
        <v>0.19125020787977379</v>
      </c>
      <c r="AE248" s="274">
        <f>'CC70 - Valores'!V98</f>
        <v>0.19292291137968343</v>
      </c>
      <c r="AF248" s="274">
        <f>'CC70 - Valores'!W98</f>
        <v>0.19548201592199632</v>
      </c>
      <c r="AG248" s="274">
        <f>'CC70 - Valores'!X98</f>
        <v>0.1978279370309694</v>
      </c>
      <c r="AH248" s="274">
        <f>'CC70 - Valores'!Y98</f>
        <v>0.20002654934125369</v>
      </c>
      <c r="AI248" s="274">
        <f>'CC70 - Valores'!Z98</f>
        <v>0.20214086127196437</v>
      </c>
      <c r="AJ248" s="274">
        <f>'CC70 - Valores'!AA98</f>
        <v>0.20392488554308533</v>
      </c>
      <c r="AK248" s="274">
        <f>'CC70 - Valores'!AB98</f>
        <v>0.20595843293712535</v>
      </c>
      <c r="AL248" s="274">
        <f>'CC70 - Valores'!AC98</f>
        <v>0.20780237350212657</v>
      </c>
      <c r="AM248" s="274">
        <f>'CC70 - Valores'!AD98</f>
        <v>0.20998137274649487</v>
      </c>
      <c r="AN248" s="274">
        <f>'CC70 - Valores'!AE98</f>
        <v>0.21184230536488802</v>
      </c>
      <c r="AO248" s="274">
        <f>'CC70 - Valores'!AF98</f>
        <v>0.21363181466561235</v>
      </c>
      <c r="AP248" s="274">
        <f>'CC70 - Valores'!AG98</f>
        <v>0.21542306968672237</v>
      </c>
      <c r="AQ248" s="274">
        <f>'CC70 - Valores'!AH98</f>
        <v>0.21718897774364315</v>
      </c>
      <c r="AR248" s="274">
        <f>'CC70 - Valores'!AI98</f>
        <v>0.21908382719111813</v>
      </c>
      <c r="AS248" s="274">
        <f>'CC70 - Valores'!AJ98</f>
        <v>0.2208309717086889</v>
      </c>
      <c r="AT248" s="274">
        <f>'CC70 - Valores'!AK98</f>
        <v>0.22254727141164046</v>
      </c>
      <c r="AU248" s="274">
        <f>'CC70 - Valores'!AL98</f>
        <v>0.22425795429955178</v>
      </c>
      <c r="AV248" s="274">
        <f>'CC70 - Valores'!AM98</f>
        <v>0.22593906668473038</v>
      </c>
      <c r="AW248" s="274">
        <f>'CC70 - Valores'!AN98</f>
        <v>0.22761562582846076</v>
      </c>
      <c r="AX248" s="274">
        <f>'CC70 - Valores'!AO98</f>
        <v>0.22921565978441297</v>
      </c>
      <c r="AY248" s="274">
        <f>'CC70 - Valores'!AP98</f>
        <v>0.23078967104324269</v>
      </c>
      <c r="AZ248" s="274">
        <f>'CC70 - Valores'!AQ98</f>
        <v>0.23233595235801638</v>
      </c>
      <c r="BA248" s="274">
        <f>'CC70 - Valores'!AR98</f>
        <v>0.23384747141837051</v>
      </c>
      <c r="BB248" s="274">
        <f>'CC70 - Valores'!AS98</f>
        <v>0.23531801200031385</v>
      </c>
      <c r="BC248" s="274">
        <f>'CC70 - Valores'!AT98</f>
        <v>0.23675123011277877</v>
      </c>
      <c r="BD248" s="274">
        <f>'CC70 - Valores'!AU98</f>
        <v>0.23814838942269168</v>
      </c>
      <c r="BE248" s="274">
        <f>'CC70 - Valores'!AV98</f>
        <v>0.23950928472073985</v>
      </c>
      <c r="BF248" s="274">
        <f>'CC70 - Valores'!AW98</f>
        <v>0.24083007244747248</v>
      </c>
      <c r="BG248" s="274">
        <f>'CC70 - Valores'!AX98</f>
        <v>0.24210998671966091</v>
      </c>
      <c r="BH248" s="274">
        <f>'CC70 - Valores'!AY98</f>
        <v>0.24334702859539853</v>
      </c>
      <c r="BI248" s="274">
        <f>'CC70 - Valores'!AZ98</f>
        <v>0.24454319145319472</v>
      </c>
      <c r="BJ248" s="274">
        <f>'CC70 - Valores'!BA98</f>
        <v>0.24569746281473037</v>
      </c>
      <c r="BK248" s="274">
        <f>'CC70 - Valores'!BB98</f>
        <v>0.24680879993116997</v>
      </c>
    </row>
    <row r="249" spans="1:63" x14ac:dyDescent="0.3">
      <c r="A249" s="386"/>
      <c r="B249" t="s">
        <v>443</v>
      </c>
      <c r="C249" s="286"/>
      <c r="D249" s="286"/>
      <c r="E249" s="286"/>
      <c r="F249" s="286"/>
      <c r="G249" s="286"/>
      <c r="H249" s="287"/>
      <c r="I249" s="287"/>
      <c r="J249" s="287"/>
      <c r="K249" s="82">
        <f t="shared" si="138"/>
        <v>2.2915999999999999E-2</v>
      </c>
      <c r="L249" s="82">
        <f t="shared" si="138"/>
        <v>1.8966E-2</v>
      </c>
      <c r="M249" s="82">
        <f t="shared" si="139"/>
        <v>1.7247999999999999E-2</v>
      </c>
      <c r="N249" s="82">
        <f t="shared" si="139"/>
        <v>1.3710999999999999E-2</v>
      </c>
      <c r="O249" s="82">
        <f t="shared" ref="O249" si="151">O233</f>
        <v>1.5923912236602625E-2</v>
      </c>
      <c r="P249" s="274">
        <f>'CC70 - Valores'!G99</f>
        <v>1.530548786697831E-2</v>
      </c>
      <c r="Q249" s="274">
        <f>'CC70 - Valores'!H99</f>
        <v>1.6223030380731057E-2</v>
      </c>
      <c r="R249" s="274">
        <f>'CC70 - Valores'!I99</f>
        <v>1.6227869423244199E-2</v>
      </c>
      <c r="S249" s="274">
        <f>'CC70 - Valores'!J99</f>
        <v>1.7196034821123741E-2</v>
      </c>
      <c r="T249" s="274">
        <f>'CC70 - Valores'!K99</f>
        <v>1.7611140107276716E-2</v>
      </c>
      <c r="U249" s="274">
        <f>'CC70 - Valores'!L99</f>
        <v>1.8048056184248613E-2</v>
      </c>
      <c r="V249" s="274">
        <f>'CC70 - Valores'!M99</f>
        <v>1.8436563833689391E-2</v>
      </c>
      <c r="W249" s="274">
        <f>'CC70 - Valores'!N99</f>
        <v>1.88971119841445E-2</v>
      </c>
      <c r="X249" s="274">
        <f>'CC70 - Valores'!O99</f>
        <v>1.8627628734595562E-2</v>
      </c>
      <c r="Y249" s="274">
        <f>'CC70 - Valores'!P99</f>
        <v>1.8966725475932821E-2</v>
      </c>
      <c r="Z249" s="274">
        <f>'CC70 - Valores'!Q99</f>
        <v>1.938393160695185E-2</v>
      </c>
      <c r="AA249" s="274">
        <f>'CC70 - Valores'!R99</f>
        <v>1.9683687703529917E-2</v>
      </c>
      <c r="AB249" s="274">
        <f>'CC70 - Valores'!S99</f>
        <v>1.9970718766427423E-2</v>
      </c>
      <c r="AC249" s="274">
        <f>'CC70 - Valores'!T99</f>
        <v>2.0248588464316066E-2</v>
      </c>
      <c r="AD249" s="274">
        <f>'CC70 - Valores'!U99</f>
        <v>2.0486396020889322E-2</v>
      </c>
      <c r="AE249" s="274">
        <f>'CC70 - Valores'!V99</f>
        <v>2.06916389288298E-2</v>
      </c>
      <c r="AF249" s="274">
        <f>'CC70 - Valores'!W99</f>
        <v>2.099847467823477E-2</v>
      </c>
      <c r="AG249" s="274">
        <f>'CC70 - Valores'!X99</f>
        <v>2.1282733129784074E-2</v>
      </c>
      <c r="AH249" s="274">
        <f>'CC70 - Valores'!Y99</f>
        <v>2.1551670692685165E-2</v>
      </c>
      <c r="AI249" s="274">
        <f>'CC70 - Valores'!Z99</f>
        <v>2.1812361190021272E-2</v>
      </c>
      <c r="AJ249" s="274">
        <f>'CC70 - Valores'!AA99</f>
        <v>2.2036217636458442E-2</v>
      </c>
      <c r="AK249" s="274">
        <f>'CC70 - Valores'!AB99</f>
        <v>2.229023946844607E-2</v>
      </c>
      <c r="AL249" s="274">
        <f>'CC70 - Valores'!AC99</f>
        <v>2.2523533660742921E-2</v>
      </c>
      <c r="AM249" s="274">
        <f>'CC70 - Valores'!AD99</f>
        <v>2.279744833311435E-2</v>
      </c>
      <c r="AN249" s="274">
        <f>'CC70 - Valores'!AE99</f>
        <v>2.3035520569163821E-2</v>
      </c>
      <c r="AO249" s="274">
        <f>'CC70 - Valores'!AF99</f>
        <v>2.3266516322063377E-2</v>
      </c>
      <c r="AP249" s="274">
        <f>'CC70 - Valores'!AG99</f>
        <v>2.3499070594222966E-2</v>
      </c>
      <c r="AQ249" s="274">
        <f>'CC70 - Valores'!AH99</f>
        <v>2.3729982748448383E-2</v>
      </c>
      <c r="AR249" s="274">
        <f>'CC70 - Valores'!AI99</f>
        <v>2.3977796984923763E-2</v>
      </c>
      <c r="AS249" s="274">
        <f>'CC70 - Valores'!AJ99</f>
        <v>2.4209391786480062E-2</v>
      </c>
      <c r="AT249" s="274">
        <f>'CC70 - Valores'!AK99</f>
        <v>2.4438744461951611E-2</v>
      </c>
      <c r="AU249" s="274">
        <f>'CC70 - Valores'!AL99</f>
        <v>2.4668931483209561E-2</v>
      </c>
      <c r="AV249" s="274">
        <f>'CC70 - Valores'!AM99</f>
        <v>2.4897068506988689E-2</v>
      </c>
      <c r="AW249" s="274">
        <f>'CC70 - Valores'!AN99</f>
        <v>2.5126238706796877E-2</v>
      </c>
      <c r="AX249" s="274">
        <f>'CC70 - Valores'!AO99</f>
        <v>2.5347604420465474E-2</v>
      </c>
      <c r="AY249" s="274">
        <f>'CC70 - Valores'!AP99</f>
        <v>2.5567361002376138E-2</v>
      </c>
      <c r="AZ249" s="274">
        <f>'CC70 - Valores'!AQ99</f>
        <v>2.578531174716445E-2</v>
      </c>
      <c r="BA249" s="274">
        <f>'CC70 - Valores'!AR99</f>
        <v>2.6000590043041741E-2</v>
      </c>
      <c r="BB249" s="274">
        <f>'CC70 - Valores'!AS99</f>
        <v>2.6212416420001161E-2</v>
      </c>
      <c r="BC249" s="274">
        <f>'CC70 - Valores'!AT99</f>
        <v>2.6421245309565897E-2</v>
      </c>
      <c r="BD249" s="274">
        <f>'CC70 - Valores'!AU99</f>
        <v>2.662723642177374E-2</v>
      </c>
      <c r="BE249" s="274">
        <f>'CC70 - Valores'!AV99</f>
        <v>2.683036557284401E-2</v>
      </c>
      <c r="BF249" s="274">
        <f>'CC70 - Valores'!AW99</f>
        <v>2.703014229975903E-2</v>
      </c>
      <c r="BG249" s="274">
        <f>'CC70 - Valores'!AX99</f>
        <v>2.7226463695277141E-2</v>
      </c>
      <c r="BH249" s="274">
        <f>'CC70 - Valores'!AY99</f>
        <v>2.7419065852493495E-2</v>
      </c>
      <c r="BI249" s="274">
        <f>'CC70 - Valores'!AZ99</f>
        <v>2.7608199143800152E-2</v>
      </c>
      <c r="BJ249" s="274">
        <f>'CC70 - Valores'!BA99</f>
        <v>2.779372650789266E-2</v>
      </c>
      <c r="BK249" s="274">
        <f>'CC70 - Valores'!BB99</f>
        <v>2.7975504627212235E-2</v>
      </c>
    </row>
    <row r="250" spans="1:63" x14ac:dyDescent="0.3">
      <c r="A250" s="386"/>
      <c r="B250" t="s">
        <v>444</v>
      </c>
      <c r="C250" s="286"/>
      <c r="D250" s="286"/>
      <c r="E250" s="286"/>
      <c r="F250" s="286"/>
      <c r="G250" s="286"/>
      <c r="H250" s="287"/>
      <c r="I250" s="287"/>
      <c r="J250" s="287"/>
      <c r="K250" s="82">
        <f t="shared" si="138"/>
        <v>7.5079999999999999E-3</v>
      </c>
      <c r="L250" s="82">
        <f t="shared" si="138"/>
        <v>9.3159999999999996E-3</v>
      </c>
      <c r="M250" s="82">
        <f t="shared" si="139"/>
        <v>5.2180000000000004E-3</v>
      </c>
      <c r="N250" s="82">
        <f t="shared" si="139"/>
        <v>7.4640000000000001E-3</v>
      </c>
      <c r="O250" s="82">
        <f t="shared" ref="O250" si="152">O234</f>
        <v>7.8539999999999999E-3</v>
      </c>
      <c r="P250" s="274">
        <f>'CC70 - Valores'!G100</f>
        <v>7.0811578637346448E-3</v>
      </c>
      <c r="Q250" s="274">
        <f>'CC70 - Valores'!H100</f>
        <v>7.5014828555120244E-3</v>
      </c>
      <c r="R250" s="274">
        <f>'CC70 - Valores'!I100</f>
        <v>7.5026419548749213E-3</v>
      </c>
      <c r="S250" s="274">
        <f>'CC70 - Valores'!J100</f>
        <v>7.9428518279694368E-3</v>
      </c>
      <c r="T250" s="274">
        <f>'CC70 - Valores'!K100</f>
        <v>8.1295812134799007E-3</v>
      </c>
      <c r="U250" s="274">
        <f>'CC70 - Valores'!L100</f>
        <v>8.3253371300083603E-3</v>
      </c>
      <c r="V250" s="274">
        <f>'CC70 - Valores'!M100</f>
        <v>8.4984736968030522E-3</v>
      </c>
      <c r="W250" s="274">
        <f>'CC70 - Valores'!N100</f>
        <v>8.703028412641289E-3</v>
      </c>
      <c r="X250" s="274">
        <f>'CC70 - Valores'!O100</f>
        <v>8.5824207691675234E-3</v>
      </c>
      <c r="Y250" s="274">
        <f>'CC70 - Valores'!P100</f>
        <v>8.7327143978991363E-3</v>
      </c>
      <c r="Z250" s="274">
        <f>'CC70 - Valores'!Q100</f>
        <v>8.9169584892997856E-3</v>
      </c>
      <c r="AA250" s="274">
        <f>'CC70 - Valores'!R100</f>
        <v>9.0486966871702965E-3</v>
      </c>
      <c r="AB250" s="274">
        <f>'CC70 - Valores'!S100</f>
        <v>9.1744456267759608E-3</v>
      </c>
      <c r="AC250" s="274">
        <f>'CC70 - Valores'!T100</f>
        <v>9.2958197430164612E-3</v>
      </c>
      <c r="AD250" s="274">
        <f>'CC70 - Valores'!U100</f>
        <v>9.3994534627189971E-3</v>
      </c>
      <c r="AE250" s="274">
        <f>'CC70 - Valores'!V100</f>
        <v>9.4887873892130926E-3</v>
      </c>
      <c r="AF250" s="274">
        <f>'CC70 - Valores'!W100</f>
        <v>9.621722226031847E-3</v>
      </c>
      <c r="AG250" s="274">
        <f>'CC70 - Valores'!X100</f>
        <v>9.7444740528004597E-3</v>
      </c>
      <c r="AH250" s="274">
        <f>'CC70 - Valores'!Y100</f>
        <v>9.8602572934595491E-3</v>
      </c>
      <c r="AI250" s="274">
        <f>'CC70 - Valores'!Z100</f>
        <v>9.9721498887088596E-3</v>
      </c>
      <c r="AJ250" s="274">
        <f>'CC70 - Valores'!AA100</f>
        <v>1.0068091008782689E-2</v>
      </c>
      <c r="AK250" s="274">
        <f>'CC70 - Valores'!AB100</f>
        <v>1.0176486375500719E-2</v>
      </c>
      <c r="AL250" s="274">
        <f>'CC70 - Valores'!AC100</f>
        <v>1.0275811446297689E-2</v>
      </c>
      <c r="AM250" s="274">
        <f>'CC70 - Valores'!AD100</f>
        <v>1.0391795738810838E-2</v>
      </c>
      <c r="AN250" s="274">
        <f>'CC70 - Valores'!AE100</f>
        <v>1.0492399910843421E-2</v>
      </c>
      <c r="AO250" s="274">
        <f>'CC70 - Valores'!AF100</f>
        <v>1.0589714253522703E-2</v>
      </c>
      <c r="AP250" s="274">
        <f>'CC70 - Valores'!AG100</f>
        <v>1.0687326883739022E-2</v>
      </c>
      <c r="AQ250" s="274">
        <f>'CC70 - Valores'!AH100</f>
        <v>1.078390489531772E-2</v>
      </c>
      <c r="AR250" s="274">
        <f>'CC70 - Valores'!AI100</f>
        <v>1.0887028418900902E-2</v>
      </c>
      <c r="AS250" s="274">
        <f>'CC70 - Valores'!AJ100</f>
        <v>1.0983098097119568E-2</v>
      </c>
      <c r="AT250" s="274">
        <f>'CC70 - Valores'!AK100</f>
        <v>1.1077851426073699E-2</v>
      </c>
      <c r="AU250" s="274">
        <f>'CC70 - Valores'!AL100</f>
        <v>1.1172525045154171E-2</v>
      </c>
      <c r="AV250" s="274">
        <f>'CC70 - Valores'!AM100</f>
        <v>1.1265936139172601E-2</v>
      </c>
      <c r="AW250" s="274">
        <f>'CC70 - Valores'!AN100</f>
        <v>1.1359311586201655E-2</v>
      </c>
      <c r="AX250" s="274">
        <f>'CC70 - Valores'!AO100</f>
        <v>1.1449101834548255E-2</v>
      </c>
      <c r="AY250" s="274">
        <f>'CC70 - Valores'!AP100</f>
        <v>1.1537787729835176E-2</v>
      </c>
      <c r="AZ250" s="274">
        <f>'CC70 - Valores'!AQ100</f>
        <v>1.1625279656059388E-2</v>
      </c>
      <c r="BA250" s="274">
        <f>'CC70 - Valores'!AR100</f>
        <v>1.1711225086033143E-2</v>
      </c>
      <c r="BB250" s="274">
        <f>'CC70 - Valores'!AS100</f>
        <v>1.179531109081482E-2</v>
      </c>
      <c r="BC250" s="274">
        <f>'CC70 - Valores'!AT100</f>
        <v>1.1877711353058061E-2</v>
      </c>
      <c r="BD250" s="274">
        <f>'CC70 - Valores'!AU100</f>
        <v>1.1958481541975702E-2</v>
      </c>
      <c r="BE250" s="274">
        <f>'CC70 - Valores'!AV100</f>
        <v>1.2037604713446372E-2</v>
      </c>
      <c r="BF250" s="274">
        <f>'CC70 - Valores'!AW100</f>
        <v>1.2114884012109426E-2</v>
      </c>
      <c r="BG250" s="274">
        <f>'CC70 - Valores'!AX100</f>
        <v>1.2190274268929385E-2</v>
      </c>
      <c r="BH250" s="274">
        <f>'CC70 - Valores'!AY100</f>
        <v>1.2263669163742389E-2</v>
      </c>
      <c r="BI250" s="274">
        <f>'CC70 - Valores'!AZ100</f>
        <v>1.2335159528986997E-2</v>
      </c>
      <c r="BJ250" s="274">
        <f>'CC70 - Valores'!BA100</f>
        <v>1.2404687500114153E-2</v>
      </c>
      <c r="BK250" s="274">
        <f>'CC70 - Valores'!BB100</f>
        <v>1.2472193518443159E-2</v>
      </c>
    </row>
    <row r="251" spans="1:63" x14ac:dyDescent="0.3">
      <c r="A251" s="386"/>
      <c r="B251" t="s">
        <v>445</v>
      </c>
      <c r="C251" s="286"/>
      <c r="D251" s="286"/>
      <c r="E251" s="286"/>
      <c r="F251" s="286"/>
      <c r="G251" s="286"/>
      <c r="H251" s="287"/>
      <c r="I251" s="287"/>
      <c r="J251" s="287"/>
      <c r="K251" s="82">
        <f t="shared" si="138"/>
        <v>0.29829800000000001</v>
      </c>
      <c r="L251" s="82">
        <f t="shared" si="138"/>
        <v>0.25727299999999997</v>
      </c>
      <c r="M251" s="82">
        <f t="shared" si="139"/>
        <v>0.31287599999999999</v>
      </c>
      <c r="N251" s="82">
        <f t="shared" si="139"/>
        <v>0.340281</v>
      </c>
      <c r="O251" s="82">
        <f t="shared" ref="O251" si="153">O235</f>
        <v>0.340281</v>
      </c>
      <c r="P251" s="274">
        <f>'CC70 - Valores'!G101</f>
        <v>0.33859962296013391</v>
      </c>
      <c r="Q251" s="274">
        <f>'CC70 - Valores'!H101</f>
        <v>0.35768621504711873</v>
      </c>
      <c r="R251" s="274">
        <f>'CC70 - Valores'!I101</f>
        <v>0.35680837087661565</v>
      </c>
      <c r="S251" s="274">
        <f>'CC70 - Valores'!J101</f>
        <v>0.3766954493683583</v>
      </c>
      <c r="T251" s="274">
        <f>'CC70 - Valores'!K101</f>
        <v>0.38454986776844197</v>
      </c>
      <c r="U251" s="274">
        <f>'CC70 - Valores'!L101</f>
        <v>0.39280497478963922</v>
      </c>
      <c r="V251" s="274">
        <f>'CC70 - Valores'!M101</f>
        <v>0.39998045975233593</v>
      </c>
      <c r="W251" s="274">
        <f>'CC70 - Valores'!N101</f>
        <v>0.40860014079927559</v>
      </c>
      <c r="X251" s="274">
        <f>'CC70 - Valores'!O101</f>
        <v>0.40214015542983844</v>
      </c>
      <c r="Y251" s="274">
        <f>'CC70 - Valores'!P101</f>
        <v>0.4082597977190936</v>
      </c>
      <c r="Z251" s="274">
        <f>'CC70 - Valores'!Q101</f>
        <v>0.41593494890595967</v>
      </c>
      <c r="AA251" s="274">
        <f>'CC70 - Valores'!R101</f>
        <v>0.42118401791223087</v>
      </c>
      <c r="AB251" s="274">
        <f>'CC70 - Valores'!S101</f>
        <v>0.42615845556826876</v>
      </c>
      <c r="AC251" s="274">
        <f>'CC70 - Valores'!T101</f>
        <v>0.43093465363352157</v>
      </c>
      <c r="AD251" s="274">
        <f>'CC70 - Valores'!U101</f>
        <v>0.43490753951152145</v>
      </c>
      <c r="AE251" s="274">
        <f>'CC70 - Valores'!V101</f>
        <v>0.43824035729123079</v>
      </c>
      <c r="AF251" s="274">
        <f>'CC70 - Valores'!W101</f>
        <v>0.44355291672792868</v>
      </c>
      <c r="AG251" s="274">
        <f>'CC70 - Valores'!X101</f>
        <v>0.44840627031562474</v>
      </c>
      <c r="AH251" s="274">
        <f>'CC70 - Valores'!Y101</f>
        <v>0.4529489400775053</v>
      </c>
      <c r="AI251" s="274">
        <f>'CC70 - Valores'!Z101</f>
        <v>0.45732140171830576</v>
      </c>
      <c r="AJ251" s="274">
        <f>'CC70 - Valores'!AA101</f>
        <v>0.46098704557768355</v>
      </c>
      <c r="AK251" s="274">
        <f>'CC70 - Valores'!AB101</f>
        <v>0.46521540982668019</v>
      </c>
      <c r="AL251" s="274">
        <f>'CC70 - Valores'!AC101</f>
        <v>0.46904675484204283</v>
      </c>
      <c r="AM251" s="274">
        <f>'CC70 - Valores'!AD101</f>
        <v>0.47362258472652313</v>
      </c>
      <c r="AN251" s="274">
        <f>'CC70 - Valores'!AE101</f>
        <v>0.47752307458046639</v>
      </c>
      <c r="AO251" s="274">
        <f>'CC70 - Valores'!AF101</f>
        <v>0.4812855210335002</v>
      </c>
      <c r="AP251" s="274">
        <f>'CC70 - Valores'!AG101</f>
        <v>0.48506835815848359</v>
      </c>
      <c r="AQ251" s="274">
        <f>'CC70 - Valores'!AH101</f>
        <v>0.48881295795728841</v>
      </c>
      <c r="AR251" s="274">
        <f>'CC70 - Valores'!AI101</f>
        <v>0.49285034950986684</v>
      </c>
      <c r="AS251" s="274">
        <f>'CC70 - Valores'!AJ101</f>
        <v>0.49658578012069915</v>
      </c>
      <c r="AT251" s="274">
        <f>'CC70 - Valores'!AK101</f>
        <v>0.50027052258009419</v>
      </c>
      <c r="AU251" s="274">
        <f>'CC70 - Valores'!AL101</f>
        <v>0.50395825382630666</v>
      </c>
      <c r="AV251" s="274">
        <f>'CC70 - Valores'!AM101</f>
        <v>0.50759751579597223</v>
      </c>
      <c r="AW251" s="274">
        <f>'CC70 - Valores'!AN101</f>
        <v>0.51124124208522126</v>
      </c>
      <c r="AX251" s="274">
        <f>'CC70 - Valores'!AO101</f>
        <v>0.51473636427407143</v>
      </c>
      <c r="AY251" s="274">
        <f>'CC70 - Valores'!AP101</f>
        <v>0.51819004833880145</v>
      </c>
      <c r="AZ251" s="274">
        <f>'CC70 - Valores'!AQ101</f>
        <v>0.52159836606869536</v>
      </c>
      <c r="BA251" s="274">
        <f>'CC70 - Valores'!AR101</f>
        <v>0.52494617453186376</v>
      </c>
      <c r="BB251" s="274">
        <f>'CC70 - Valores'!AS101</f>
        <v>0.52822013690657199</v>
      </c>
      <c r="BC251" s="274">
        <f>'CC70 - Valores'!AT101</f>
        <v>0.53142770578672061</v>
      </c>
      <c r="BD251" s="274">
        <f>'CC70 - Valores'!AU101</f>
        <v>0.53457123679363971</v>
      </c>
      <c r="BE251" s="274">
        <f>'CC70 - Valores'!AV101</f>
        <v>0.5376499690512716</v>
      </c>
      <c r="BF251" s="274">
        <f>'CC70 - Valores'!AW101</f>
        <v>0.5406555291951749</v>
      </c>
      <c r="BG251" s="274">
        <f>'CC70 - Valores'!AX101</f>
        <v>0.54358598901885069</v>
      </c>
      <c r="BH251" s="274">
        <f>'CC70 - Valores'!AY101</f>
        <v>0.54643684511688251</v>
      </c>
      <c r="BI251" s="274">
        <f>'CC70 - Valores'!AZ101</f>
        <v>0.54921188441782531</v>
      </c>
      <c r="BJ251" s="274">
        <f>'CC70 - Valores'!BA101</f>
        <v>0.55190861579600614</v>
      </c>
      <c r="BK251" s="274">
        <f>'CC70 - Valores'!BB101</f>
        <v>0.55452447935442195</v>
      </c>
    </row>
    <row r="252" spans="1:63" x14ac:dyDescent="0.3">
      <c r="A252" s="357"/>
      <c r="C252" s="286"/>
      <c r="D252" s="286"/>
      <c r="E252" s="286"/>
      <c r="F252" s="286"/>
      <c r="G252" s="286"/>
      <c r="H252" s="287"/>
      <c r="I252" s="287"/>
      <c r="J252" s="287"/>
      <c r="L252"/>
      <c r="M252" s="89"/>
      <c r="N252" s="89"/>
      <c r="O252" s="89"/>
      <c r="P252" s="89"/>
      <c r="Q252" s="89"/>
      <c r="R252" s="89"/>
      <c r="S252" s="89"/>
    </row>
    <row r="253" spans="1:63" x14ac:dyDescent="0.3">
      <c r="B253" t="s">
        <v>674</v>
      </c>
      <c r="C253" s="103"/>
      <c r="D253" s="103"/>
      <c r="E253" s="103"/>
      <c r="F253" s="103"/>
      <c r="G253" s="286"/>
      <c r="H253" s="287"/>
      <c r="I253" s="287"/>
      <c r="J253" s="287"/>
      <c r="K253">
        <f>SUM(K221:K235)</f>
        <v>2.2781445956460122</v>
      </c>
      <c r="L253">
        <f t="shared" ref="L253:BI253" si="154">SUM(L221:L235)</f>
        <v>2.250021537752239</v>
      </c>
      <c r="M253">
        <f t="shared" si="154"/>
        <v>2.3025207753948012</v>
      </c>
      <c r="N253">
        <f t="shared" si="154"/>
        <v>2.3349424556610385</v>
      </c>
      <c r="O253">
        <f t="shared" si="154"/>
        <v>2.2401273537985005</v>
      </c>
      <c r="P253">
        <f t="shared" si="154"/>
        <v>2.2290308289585319</v>
      </c>
      <c r="Q253">
        <f t="shared" si="154"/>
        <v>2.3648563195233696</v>
      </c>
      <c r="R253">
        <f t="shared" si="154"/>
        <v>2.3689389489077994</v>
      </c>
      <c r="S253">
        <f t="shared" si="154"/>
        <v>2.5243819131732259</v>
      </c>
      <c r="T253">
        <f t="shared" si="154"/>
        <v>2.5970807873626613</v>
      </c>
      <c r="U253">
        <f t="shared" si="154"/>
        <v>2.6693829896116097</v>
      </c>
      <c r="V253">
        <f t="shared" si="154"/>
        <v>2.7364018146749833</v>
      </c>
      <c r="W253">
        <f t="shared" si="154"/>
        <v>2.8131142510991682</v>
      </c>
      <c r="X253">
        <f t="shared" si="154"/>
        <v>2.7995931250796566</v>
      </c>
      <c r="Y253">
        <f t="shared" si="154"/>
        <v>2.8625244084207511</v>
      </c>
      <c r="Z253">
        <f t="shared" si="154"/>
        <v>2.9360178812829396</v>
      </c>
      <c r="AA253">
        <f t="shared" si="154"/>
        <v>2.9955022032779599</v>
      </c>
      <c r="AB253">
        <f t="shared" si="154"/>
        <v>3.0541202396951381</v>
      </c>
      <c r="AC253">
        <f t="shared" si="154"/>
        <v>3.0931902673248763</v>
      </c>
      <c r="AD253">
        <f t="shared" si="154"/>
        <v>3.1270827875815637</v>
      </c>
      <c r="AE253">
        <f t="shared" si="154"/>
        <v>3.1567902823460083</v>
      </c>
      <c r="AF253">
        <f t="shared" si="154"/>
        <v>3.1989888748096931</v>
      </c>
      <c r="AG253">
        <f t="shared" si="154"/>
        <v>3.2381739452301272</v>
      </c>
      <c r="AH253">
        <f t="shared" si="154"/>
        <v>3.2752707156954894</v>
      </c>
      <c r="AI253">
        <f t="shared" si="154"/>
        <v>3.3111631118528471</v>
      </c>
      <c r="AJ253">
        <f t="shared" si="154"/>
        <v>3.3423845319191869</v>
      </c>
      <c r="AK253">
        <f t="shared" si="154"/>
        <v>3.3770938219090807</v>
      </c>
      <c r="AL253">
        <f t="shared" si="154"/>
        <v>3.4091052215612807</v>
      </c>
      <c r="AM253">
        <f t="shared" si="154"/>
        <v>3.4457950468488026</v>
      </c>
      <c r="AN253">
        <f t="shared" si="154"/>
        <v>3.4779726184791531</v>
      </c>
      <c r="AO253">
        <f t="shared" si="154"/>
        <v>3.5091040563903593</v>
      </c>
      <c r="AP253">
        <f t="shared" si="154"/>
        <v>3.5402139071395409</v>
      </c>
      <c r="AQ253">
        <f t="shared" si="154"/>
        <v>3.5709179463245531</v>
      </c>
      <c r="AR253">
        <f t="shared" si="154"/>
        <v>3.6033752578229836</v>
      </c>
      <c r="AS253">
        <f t="shared" si="154"/>
        <v>3.6337006900235096</v>
      </c>
      <c r="AT253">
        <f t="shared" si="154"/>
        <v>3.6635296621278197</v>
      </c>
      <c r="AU253">
        <f t="shared" si="154"/>
        <v>3.6932108580352372</v>
      </c>
      <c r="AV253">
        <f t="shared" si="154"/>
        <v>3.7224043503270829</v>
      </c>
      <c r="AW253">
        <f t="shared" si="154"/>
        <v>3.7514551563374319</v>
      </c>
      <c r="AX253">
        <f t="shared" si="154"/>
        <v>3.779353894370824</v>
      </c>
      <c r="AY253">
        <f t="shared" si="154"/>
        <v>3.8068019823558421</v>
      </c>
      <c r="AZ253">
        <f t="shared" si="154"/>
        <v>3.8337712029621871</v>
      </c>
      <c r="BA253">
        <f t="shared" si="154"/>
        <v>3.8601593709043742</v>
      </c>
      <c r="BB253">
        <f t="shared" si="154"/>
        <v>3.8858760751083414</v>
      </c>
      <c r="BC253">
        <f t="shared" si="154"/>
        <v>3.9109683032313916</v>
      </c>
      <c r="BD253">
        <f t="shared" si="154"/>
        <v>3.935449684993773</v>
      </c>
      <c r="BE253">
        <f t="shared" si="154"/>
        <v>3.9593134634703229</v>
      </c>
      <c r="BF253">
        <f t="shared" si="154"/>
        <v>3.9825026400463033</v>
      </c>
      <c r="BG253">
        <f t="shared" si="154"/>
        <v>4.0050030173579678</v>
      </c>
      <c r="BH253">
        <f t="shared" si="154"/>
        <v>4.0267835115724138</v>
      </c>
      <c r="BI253">
        <f t="shared" si="154"/>
        <v>4.0478681950580881</v>
      </c>
      <c r="BJ253">
        <f>SUM(BJ221:BJ235)</f>
        <v>4.0682397326611008</v>
      </c>
      <c r="BK253">
        <f t="shared" ref="BK253" si="155">SUM(BK221:BK235)</f>
        <v>4.0878805185244822</v>
      </c>
    </row>
    <row r="254" spans="1:63" x14ac:dyDescent="0.3">
      <c r="B254" t="s">
        <v>447</v>
      </c>
      <c r="C254" s="103"/>
      <c r="D254" s="103"/>
      <c r="E254" s="103"/>
      <c r="F254" s="103"/>
      <c r="G254" s="103"/>
      <c r="H254" s="359"/>
      <c r="I254" s="359"/>
      <c r="J254" s="359"/>
      <c r="K254">
        <f>SUM(K237:K251)</f>
        <v>2.2781445956460122</v>
      </c>
      <c r="L254">
        <f t="shared" ref="L254:BI254" si="156">SUM(L237:L251)</f>
        <v>2.250021537752239</v>
      </c>
      <c r="M254">
        <f t="shared" si="156"/>
        <v>2.3025207753948012</v>
      </c>
      <c r="N254">
        <f t="shared" si="156"/>
        <v>2.3349424556610385</v>
      </c>
      <c r="O254">
        <f t="shared" si="156"/>
        <v>2.2401273537985005</v>
      </c>
      <c r="P254">
        <f t="shared" si="156"/>
        <v>2.0211034178432778</v>
      </c>
      <c r="Q254">
        <f t="shared" si="156"/>
        <v>2.1340940548881466</v>
      </c>
      <c r="R254">
        <f t="shared" si="156"/>
        <v>2.1281746570635294</v>
      </c>
      <c r="S254">
        <f t="shared" si="156"/>
        <v>2.2456985243124494</v>
      </c>
      <c r="T254">
        <f t="shared" si="156"/>
        <v>2.2947792902947923</v>
      </c>
      <c r="U254">
        <f t="shared" si="156"/>
        <v>2.3461291567105573</v>
      </c>
      <c r="V254">
        <f t="shared" si="156"/>
        <v>2.3923072449443263</v>
      </c>
      <c r="W254">
        <f t="shared" si="156"/>
        <v>2.4460358262780622</v>
      </c>
      <c r="X254">
        <f t="shared" si="156"/>
        <v>2.4191875153090652</v>
      </c>
      <c r="Y254">
        <f t="shared" si="156"/>
        <v>2.4561486047669523</v>
      </c>
      <c r="Z254">
        <f t="shared" si="156"/>
        <v>2.5012689639863468</v>
      </c>
      <c r="AA254">
        <f t="shared" si="156"/>
        <v>2.5342949778900867</v>
      </c>
      <c r="AB254">
        <f t="shared" si="156"/>
        <v>2.5661452673800209</v>
      </c>
      <c r="AC254">
        <f t="shared" si="156"/>
        <v>2.5975815186188589</v>
      </c>
      <c r="AD254">
        <f t="shared" si="156"/>
        <v>2.6113881245515409</v>
      </c>
      <c r="AE254">
        <f t="shared" si="156"/>
        <v>2.6218102399399346</v>
      </c>
      <c r="AF254">
        <f t="shared" si="156"/>
        <v>2.6436652480688316</v>
      </c>
      <c r="AG254">
        <f t="shared" si="156"/>
        <v>2.6630880632610543</v>
      </c>
      <c r="AH254">
        <f t="shared" si="156"/>
        <v>2.6808706491852852</v>
      </c>
      <c r="AI254">
        <f t="shared" si="156"/>
        <v>2.6977605490168757</v>
      </c>
      <c r="AJ254">
        <f t="shared" si="156"/>
        <v>2.7109157674136384</v>
      </c>
      <c r="AK254">
        <f t="shared" si="156"/>
        <v>2.737457797818049</v>
      </c>
      <c r="AL254">
        <f t="shared" si="156"/>
        <v>2.761927927545587</v>
      </c>
      <c r="AM254">
        <f t="shared" si="156"/>
        <v>2.7904257034602646</v>
      </c>
      <c r="AN254">
        <f t="shared" si="156"/>
        <v>2.8153547348089307</v>
      </c>
      <c r="AO254">
        <f t="shared" si="156"/>
        <v>2.8395791725934139</v>
      </c>
      <c r="AP254">
        <f t="shared" si="156"/>
        <v>2.8639526891788796</v>
      </c>
      <c r="AQ254">
        <f t="shared" si="156"/>
        <v>2.8881590237596919</v>
      </c>
      <c r="AR254">
        <f t="shared" si="156"/>
        <v>2.9140121369935787</v>
      </c>
      <c r="AS254">
        <f t="shared" si="156"/>
        <v>2.93826407913618</v>
      </c>
      <c r="AT254">
        <f t="shared" si="156"/>
        <v>2.9622856975732916</v>
      </c>
      <c r="AU254">
        <f t="shared" si="156"/>
        <v>2.9863751522711621</v>
      </c>
      <c r="AV254">
        <f t="shared" si="156"/>
        <v>3.0102500660959715</v>
      </c>
      <c r="AW254">
        <f t="shared" si="156"/>
        <v>3.0342075387460232</v>
      </c>
      <c r="AX254">
        <f t="shared" si="156"/>
        <v>3.0573922470698038</v>
      </c>
      <c r="AY254">
        <f t="shared" si="156"/>
        <v>3.0804030620212677</v>
      </c>
      <c r="AZ254">
        <f t="shared" si="156"/>
        <v>3.103219656489574</v>
      </c>
      <c r="BA254">
        <f t="shared" si="156"/>
        <v>3.1257576656171357</v>
      </c>
      <c r="BB254">
        <f t="shared" si="156"/>
        <v>3.1479417390920772</v>
      </c>
      <c r="BC254">
        <f t="shared" si="156"/>
        <v>3.1698147662756169</v>
      </c>
      <c r="BD254">
        <f t="shared" si="156"/>
        <v>3.1913911488392559</v>
      </c>
      <c r="BE254">
        <f t="shared" si="156"/>
        <v>3.2126676416682667</v>
      </c>
      <c r="BF254">
        <f t="shared" si="156"/>
        <v>3.2335967895374411</v>
      </c>
      <c r="BG254">
        <f t="shared" si="156"/>
        <v>3.254168117215583</v>
      </c>
      <c r="BH254">
        <f t="shared" si="156"/>
        <v>3.2743559846001915</v>
      </c>
      <c r="BI254">
        <f t="shared" si="156"/>
        <v>3.2941833353564043</v>
      </c>
      <c r="BJ254">
        <f>SUM(BJ237:BJ251)</f>
        <v>3.3136364657012223</v>
      </c>
      <c r="BK254">
        <f t="shared" ref="BK254" si="157">SUM(BK237:BK251)</f>
        <v>3.332701146601897</v>
      </c>
    </row>
    <row r="255" spans="1:63" x14ac:dyDescent="0.3">
      <c r="C255" s="103"/>
      <c r="D255" s="103"/>
      <c r="E255" s="103"/>
      <c r="F255" s="103"/>
      <c r="G255" s="103"/>
      <c r="H255" s="359"/>
      <c r="I255" s="359"/>
      <c r="J255" s="359"/>
      <c r="K255"/>
      <c r="L255"/>
      <c r="M255"/>
      <c r="N255"/>
      <c r="O255"/>
      <c r="P255"/>
      <c r="Q255"/>
      <c r="R255"/>
      <c r="S255"/>
    </row>
    <row r="256" spans="1:63" x14ac:dyDescent="0.3">
      <c r="C256" s="103"/>
      <c r="D256" s="103"/>
      <c r="E256" s="103"/>
      <c r="F256" s="103"/>
      <c r="G256" s="103"/>
      <c r="H256" s="359"/>
      <c r="I256" s="359"/>
      <c r="J256" s="359"/>
      <c r="K256"/>
      <c r="L256"/>
      <c r="M256"/>
      <c r="N256"/>
      <c r="O256"/>
      <c r="P256"/>
      <c r="Q256"/>
      <c r="R256"/>
      <c r="S256"/>
    </row>
    <row r="257" spans="1:64" x14ac:dyDescent="0.3">
      <c r="C257" s="103"/>
      <c r="D257" s="103"/>
      <c r="E257" s="103"/>
      <c r="F257" s="103"/>
      <c r="G257" s="103"/>
      <c r="H257" s="359"/>
      <c r="I257" s="359"/>
      <c r="J257" s="359"/>
      <c r="K257"/>
      <c r="L257"/>
      <c r="M257"/>
      <c r="N257"/>
      <c r="O257"/>
      <c r="P257"/>
      <c r="Q257"/>
      <c r="R257"/>
      <c r="S257"/>
    </row>
    <row r="258" spans="1:64" s="85" customFormat="1" ht="19.8" x14ac:dyDescent="0.4">
      <c r="B258" s="85" t="s">
        <v>448</v>
      </c>
      <c r="C258" s="103"/>
      <c r="D258" s="103"/>
      <c r="E258" s="103"/>
      <c r="F258" s="103"/>
      <c r="G258" s="103"/>
      <c r="H258" s="359"/>
      <c r="I258" s="359"/>
      <c r="J258" s="359"/>
      <c r="K258" s="86"/>
      <c r="L258" s="86"/>
      <c r="M258" s="86"/>
      <c r="N258" s="86"/>
      <c r="O258" s="86"/>
      <c r="P258" s="86"/>
      <c r="Q258" s="86"/>
      <c r="R258" s="86"/>
      <c r="S258" s="86"/>
    </row>
    <row r="259" spans="1:64" s="80" customFormat="1" ht="25.8" x14ac:dyDescent="0.3">
      <c r="C259" s="104"/>
      <c r="D259" s="103"/>
      <c r="E259" s="103"/>
      <c r="F259" s="103"/>
      <c r="G259" s="103"/>
      <c r="H259" s="359"/>
      <c r="I259" s="359"/>
      <c r="J259" s="359"/>
      <c r="K259" s="81">
        <v>2018</v>
      </c>
      <c r="L259" s="81">
        <v>2020</v>
      </c>
      <c r="M259" s="81">
        <v>2022</v>
      </c>
      <c r="N259" s="81">
        <v>2025</v>
      </c>
      <c r="O259" s="81">
        <v>2030</v>
      </c>
      <c r="P259" s="81">
        <v>2040</v>
      </c>
      <c r="Q259" s="81">
        <v>2050</v>
      </c>
      <c r="R259" s="81">
        <v>2060</v>
      </c>
      <c r="S259" s="81">
        <v>2070</v>
      </c>
    </row>
    <row r="260" spans="1:64" x14ac:dyDescent="0.3">
      <c r="A260" s="389" t="s">
        <v>674</v>
      </c>
      <c r="B260" t="s">
        <v>449</v>
      </c>
      <c r="C260" s="103"/>
      <c r="D260" s="103"/>
      <c r="E260" s="103"/>
      <c r="F260" s="103"/>
      <c r="G260" s="103"/>
      <c r="H260" s="359"/>
      <c r="I260" s="359"/>
      <c r="J260" s="359"/>
      <c r="K260">
        <v>0.21360000000000001</v>
      </c>
      <c r="L260">
        <v>0.215</v>
      </c>
      <c r="M260">
        <v>0.217</v>
      </c>
      <c r="N260">
        <v>0.21709041666666665</v>
      </c>
      <c r="O260">
        <v>0.21731645833333327</v>
      </c>
      <c r="P260">
        <v>0.21781374999999983</v>
      </c>
      <c r="Q260">
        <v>0.21822062499999975</v>
      </c>
      <c r="R260">
        <v>0.21867270833333299</v>
      </c>
      <c r="S260">
        <v>0.21912479166666624</v>
      </c>
    </row>
    <row r="261" spans="1:64" x14ac:dyDescent="0.3">
      <c r="A261" s="389"/>
      <c r="B261" t="s">
        <v>450</v>
      </c>
      <c r="C261" s="103"/>
      <c r="D261" s="103"/>
      <c r="E261" s="103"/>
      <c r="F261" s="103"/>
      <c r="G261" s="103"/>
      <c r="H261" s="359"/>
      <c r="I261" s="359"/>
      <c r="J261" s="359"/>
      <c r="K261">
        <v>2.1920000000000002</v>
      </c>
      <c r="L261">
        <v>2.3321593319999998</v>
      </c>
      <c r="M261">
        <v>2.4605273799999998</v>
      </c>
      <c r="N261">
        <v>2.4759056761249996</v>
      </c>
      <c r="O261">
        <v>2.5015361696666658</v>
      </c>
      <c r="P261">
        <v>2.5579232554583315</v>
      </c>
      <c r="Q261">
        <v>2.6040581438333308</v>
      </c>
      <c r="R261">
        <v>2.6553191309166633</v>
      </c>
      <c r="S261">
        <v>2.7065801179999958</v>
      </c>
    </row>
    <row r="262" spans="1:64" x14ac:dyDescent="0.3">
      <c r="A262" s="358"/>
      <c r="C262" s="276"/>
      <c r="D262" s="276"/>
      <c r="E262" s="276"/>
      <c r="F262" s="276"/>
      <c r="G262" s="276"/>
      <c r="H262" s="128"/>
      <c r="I262" s="359"/>
      <c r="J262" s="359"/>
      <c r="M262" s="84"/>
      <c r="N262" s="84"/>
      <c r="O262" s="84"/>
      <c r="P262" s="84"/>
      <c r="Q262" s="84"/>
      <c r="R262" s="84"/>
      <c r="S262" s="84"/>
    </row>
    <row r="263" spans="1:64" x14ac:dyDescent="0.3">
      <c r="A263" s="389" t="s">
        <v>451</v>
      </c>
      <c r="B263" t="s">
        <v>449</v>
      </c>
      <c r="C263" s="276"/>
      <c r="D263" s="276"/>
      <c r="E263" s="276"/>
      <c r="F263" s="276"/>
      <c r="G263" s="276"/>
      <c r="H263" s="128"/>
      <c r="I263" s="359"/>
      <c r="J263" s="359"/>
      <c r="K263" s="82">
        <f>K260</f>
        <v>0.21360000000000001</v>
      </c>
      <c r="L263" s="82">
        <f t="shared" ref="L263:M263" si="158">L260</f>
        <v>0.215</v>
      </c>
      <c r="M263" s="82">
        <f t="shared" si="158"/>
        <v>0.217</v>
      </c>
      <c r="N263" s="84">
        <f>'CC70 - Valores'!I140</f>
        <v>0.21709041666666665</v>
      </c>
      <c r="O263" s="84">
        <f>'CC70 - Valores'!N140</f>
        <v>0.21731645833333327</v>
      </c>
      <c r="P263" s="84">
        <f>'CC70 - Valores'!X140</f>
        <v>0.21776854166666651</v>
      </c>
      <c r="Q263" s="84">
        <f>'CC70 - Valores'!AH140</f>
        <v>0.21822062499999975</v>
      </c>
      <c r="R263" s="84">
        <f>'CC70 - Valores'!AR140</f>
        <v>0.21867270833333299</v>
      </c>
      <c r="S263" s="84">
        <f>'CC70 - Valores'!BB140</f>
        <v>0.21912479166666624</v>
      </c>
    </row>
    <row r="264" spans="1:64" x14ac:dyDescent="0.3">
      <c r="A264" s="389"/>
      <c r="B264" t="s">
        <v>450</v>
      </c>
      <c r="C264" s="277"/>
      <c r="D264" s="277"/>
      <c r="E264" s="277"/>
      <c r="F264" s="277"/>
      <c r="G264" s="277"/>
      <c r="H264" s="356"/>
      <c r="I264" s="356"/>
      <c r="J264" s="356"/>
      <c r="K264" s="82">
        <f>K261</f>
        <v>2.1920000000000002</v>
      </c>
      <c r="L264" s="82">
        <f t="shared" ref="L264:M264" si="159">L261</f>
        <v>2.3321593319999998</v>
      </c>
      <c r="M264" s="82">
        <f t="shared" si="159"/>
        <v>2.4605273799999998</v>
      </c>
      <c r="N264" s="84">
        <f>'CC70 - Valores'!I141</f>
        <v>2.4759056761249996</v>
      </c>
      <c r="O264" s="84">
        <f>'CC70 - Valores'!N141</f>
        <v>2.5015361696666658</v>
      </c>
      <c r="P264" s="84">
        <f>'CC70 - Valores'!X141</f>
        <v>2.7377473107565353</v>
      </c>
      <c r="Q264" s="84">
        <f>'CC70 - Valores'!AH141</f>
        <v>3.0541044925413261</v>
      </c>
      <c r="R264" s="84">
        <f>'CC70 - Valores'!AR141</f>
        <v>3.1507352977674397</v>
      </c>
      <c r="S264" s="84">
        <f>'CC70 - Valores'!BB141</f>
        <v>3.2487757801383443</v>
      </c>
    </row>
    <row r="265" spans="1:64" x14ac:dyDescent="0.3">
      <c r="C265" s="278"/>
      <c r="D265" s="278"/>
      <c r="E265" s="278"/>
      <c r="F265" s="278"/>
      <c r="G265" s="278"/>
      <c r="H265" s="279"/>
      <c r="I265" s="279"/>
      <c r="J265" s="279"/>
    </row>
    <row r="266" spans="1:64" s="85" customFormat="1" ht="19.8" x14ac:dyDescent="0.4">
      <c r="B266" s="85" t="s">
        <v>452</v>
      </c>
      <c r="C266" s="280"/>
      <c r="D266" s="280"/>
      <c r="E266" s="280"/>
      <c r="F266" s="280"/>
      <c r="G266" s="280"/>
      <c r="H266" s="281"/>
      <c r="I266" s="279"/>
      <c r="J266" s="279"/>
      <c r="K266" s="86"/>
      <c r="L266" s="86"/>
      <c r="M266" s="86"/>
      <c r="N266" s="86"/>
      <c r="O266" s="86"/>
      <c r="P266" s="86"/>
      <c r="Q266" s="86"/>
      <c r="R266" s="86"/>
      <c r="S266" s="86"/>
      <c r="BL266" s="85">
        <v>2030</v>
      </c>
    </row>
    <row r="267" spans="1:64" s="80" customFormat="1" ht="15.6" x14ac:dyDescent="0.3">
      <c r="C267" s="278"/>
      <c r="D267" s="278"/>
      <c r="E267" s="278"/>
      <c r="F267" s="278"/>
      <c r="G267" s="278"/>
      <c r="H267" s="279"/>
      <c r="I267" s="279"/>
      <c r="J267" s="279"/>
      <c r="K267" s="81">
        <v>2018</v>
      </c>
      <c r="L267" s="81">
        <v>2020</v>
      </c>
      <c r="M267" s="81">
        <v>2022</v>
      </c>
      <c r="N267" s="81">
        <v>2025</v>
      </c>
      <c r="O267" s="81">
        <v>2030</v>
      </c>
      <c r="P267" s="81">
        <v>2040</v>
      </c>
      <c r="Q267" s="81">
        <v>2050</v>
      </c>
      <c r="R267" s="81">
        <v>2060</v>
      </c>
      <c r="S267" s="81">
        <v>2070</v>
      </c>
      <c r="BL267" s="80">
        <v>8.0221531565577597E-2</v>
      </c>
    </row>
    <row r="268" spans="1:64" x14ac:dyDescent="0.3">
      <c r="A268" s="389" t="s">
        <v>674</v>
      </c>
      <c r="B268" t="s">
        <v>453</v>
      </c>
      <c r="C268" s="278"/>
      <c r="D268" s="278"/>
      <c r="E268" s="278"/>
      <c r="F268" s="278"/>
      <c r="G268" s="278"/>
      <c r="H268" s="279"/>
      <c r="I268" s="279"/>
      <c r="J268" s="279"/>
      <c r="K268" s="82">
        <v>0.21200243409</v>
      </c>
      <c r="L268" s="82">
        <v>0.231745866391</v>
      </c>
      <c r="M268" s="82">
        <v>0.25271801427996654</v>
      </c>
      <c r="N268" s="82">
        <v>0.26272339255672117</v>
      </c>
      <c r="O268" s="82">
        <v>0.27880424012075711</v>
      </c>
      <c r="P268" s="82">
        <v>0.31008663406455744</v>
      </c>
      <c r="Q268" s="82">
        <v>0.33038990977470151</v>
      </c>
      <c r="R268" s="82">
        <v>0.34658416676470993</v>
      </c>
      <c r="S268" s="82">
        <v>0.35515607731544269</v>
      </c>
      <c r="BL268">
        <v>3.4810849866446563</v>
      </c>
    </row>
    <row r="269" spans="1:64" x14ac:dyDescent="0.3">
      <c r="A269" s="389"/>
      <c r="B269" t="s">
        <v>454</v>
      </c>
      <c r="C269" s="280"/>
      <c r="D269" s="280"/>
      <c r="E269" s="280"/>
      <c r="F269" s="280"/>
      <c r="G269" s="280"/>
      <c r="H269" s="281"/>
      <c r="I269" s="279"/>
      <c r="J269" s="279"/>
      <c r="K269" s="82">
        <v>1.8666670008000001</v>
      </c>
      <c r="L269" s="82">
        <v>1.7874890300000001</v>
      </c>
      <c r="M269" s="82">
        <v>2.0055361503869946</v>
      </c>
      <c r="N269" s="82">
        <v>2.097177726728642</v>
      </c>
      <c r="O269" s="82">
        <v>2.2460851440772194</v>
      </c>
      <c r="P269" s="82">
        <v>2.5481470889107802</v>
      </c>
      <c r="Q269" s="82">
        <v>2.7585341558575847</v>
      </c>
      <c r="R269" s="82">
        <v>2.9444109913044518</v>
      </c>
      <c r="S269" s="82">
        <v>3.0690660633869054</v>
      </c>
      <c r="BL269">
        <v>8.0221531565577597E-2</v>
      </c>
    </row>
    <row r="270" spans="1:64" x14ac:dyDescent="0.3">
      <c r="C270" s="279"/>
      <c r="D270" s="279"/>
      <c r="E270" s="279"/>
      <c r="F270" s="279"/>
      <c r="G270" s="279"/>
      <c r="H270" s="279"/>
      <c r="I270" s="279"/>
      <c r="J270" s="279"/>
      <c r="BL270">
        <v>3.4810849866446563</v>
      </c>
    </row>
    <row r="271" spans="1:64" x14ac:dyDescent="0.3">
      <c r="A271" s="389" t="s">
        <v>451</v>
      </c>
      <c r="B271" t="s">
        <v>453</v>
      </c>
      <c r="C271" s="280"/>
      <c r="D271" s="280"/>
      <c r="E271" s="280"/>
      <c r="F271" s="280"/>
      <c r="G271" s="280"/>
      <c r="H271" s="281"/>
      <c r="I271" s="279"/>
      <c r="J271" s="279"/>
      <c r="K271" s="82">
        <f>K268</f>
        <v>0.21200243409</v>
      </c>
      <c r="L271" s="82">
        <f t="shared" ref="L271:M271" si="160">L268</f>
        <v>0.231745866391</v>
      </c>
      <c r="M271" s="82">
        <f t="shared" si="160"/>
        <v>0.25271801427996654</v>
      </c>
      <c r="N271" s="83">
        <f>'CC70 - Valores'!I143</f>
        <v>0.26272339255672111</v>
      </c>
      <c r="O271" s="83">
        <f>'CC70 - Valores'!N143</f>
        <v>0.27880424012075711</v>
      </c>
      <c r="P271" s="83">
        <f>'CC70 - Valores'!X143</f>
        <v>0.3054580062495913</v>
      </c>
      <c r="Q271" s="83">
        <f>'CC70 - Valores'!AH143</f>
        <v>0.32514858086355347</v>
      </c>
      <c r="R271" s="83">
        <f>'CC70 - Valores'!AR143</f>
        <v>0.34022811637421074</v>
      </c>
      <c r="S271" s="83">
        <f>'CC70 - Valores'!BB143</f>
        <v>0.34776358646737177</v>
      </c>
    </row>
    <row r="272" spans="1:64" x14ac:dyDescent="0.3">
      <c r="A272" s="389"/>
      <c r="B272" t="s">
        <v>454</v>
      </c>
      <c r="C272" s="278"/>
      <c r="D272" s="278"/>
      <c r="E272" s="278"/>
      <c r="F272" s="278"/>
      <c r="G272" s="278"/>
      <c r="H272" s="279"/>
      <c r="I272" s="279"/>
      <c r="J272" s="279"/>
      <c r="K272" s="82">
        <f>K269</f>
        <v>1.8666670008000001</v>
      </c>
      <c r="L272" s="82">
        <f t="shared" ref="L272:M272" si="161">L269</f>
        <v>1.7874890300000001</v>
      </c>
      <c r="M272" s="82">
        <f t="shared" si="161"/>
        <v>2.0055361503869946</v>
      </c>
      <c r="N272" s="83">
        <f>'CC70 - Valores'!I144</f>
        <v>2.097176466847988</v>
      </c>
      <c r="O272" s="83">
        <f>'CC70 - Valores'!N144</f>
        <v>2.2460837947763204</v>
      </c>
      <c r="P272" s="83">
        <f>'CC70 - Valores'!X144</f>
        <v>2.6869938822667176</v>
      </c>
      <c r="Q272" s="83">
        <f>'CC70 - Valores'!AH144</f>
        <v>3.1834596993645321</v>
      </c>
      <c r="R272" s="83">
        <f>'CC70 - Valores'!AR144</f>
        <v>3.4290718690841957</v>
      </c>
      <c r="S272" s="83">
        <f>'CC70 - Valores'!BB144</f>
        <v>3.6064542028152151</v>
      </c>
    </row>
    <row r="273" spans="1:19" x14ac:dyDescent="0.3">
      <c r="C273" s="278"/>
      <c r="D273" s="278"/>
      <c r="E273" s="278"/>
      <c r="F273" s="278"/>
      <c r="G273" s="278"/>
      <c r="H273" s="279"/>
      <c r="I273" s="279"/>
      <c r="J273" s="279"/>
    </row>
    <row r="274" spans="1:19" s="85" customFormat="1" ht="19.8" x14ac:dyDescent="0.4">
      <c r="B274" s="85" t="s">
        <v>455</v>
      </c>
      <c r="C274" s="280"/>
      <c r="D274" s="280"/>
      <c r="E274" s="280"/>
      <c r="F274" s="280"/>
      <c r="G274" s="280"/>
      <c r="H274" s="281"/>
      <c r="I274" s="279"/>
      <c r="J274" s="279"/>
      <c r="K274" s="86"/>
      <c r="L274" s="86"/>
      <c r="M274" s="86"/>
      <c r="N274" s="86"/>
      <c r="O274" s="86"/>
      <c r="P274" s="86"/>
      <c r="Q274" s="86"/>
      <c r="R274" s="86"/>
      <c r="S274" s="86"/>
    </row>
    <row r="275" spans="1:19" s="80" customFormat="1" ht="15.6" x14ac:dyDescent="0.3">
      <c r="C275" s="278"/>
      <c r="D275" s="278"/>
      <c r="E275" s="278"/>
      <c r="F275" s="278"/>
      <c r="G275" s="278"/>
      <c r="H275" s="279"/>
      <c r="I275" s="279"/>
      <c r="J275" s="279"/>
      <c r="K275" s="81">
        <v>2018</v>
      </c>
      <c r="L275" s="81">
        <v>2020</v>
      </c>
      <c r="M275" s="81">
        <v>2022</v>
      </c>
      <c r="N275" s="81">
        <v>2025</v>
      </c>
      <c r="O275" s="81">
        <v>2030</v>
      </c>
      <c r="P275" s="81">
        <v>2040</v>
      </c>
      <c r="Q275" s="81">
        <v>2050</v>
      </c>
      <c r="R275" s="81">
        <v>2060</v>
      </c>
      <c r="S275" s="81">
        <v>2070</v>
      </c>
    </row>
    <row r="276" spans="1:19" x14ac:dyDescent="0.3">
      <c r="A276" s="389" t="s">
        <v>674</v>
      </c>
      <c r="B276" t="s">
        <v>675</v>
      </c>
      <c r="C276" s="278"/>
      <c r="D276" s="278"/>
      <c r="E276" s="278"/>
      <c r="F276" s="278"/>
      <c r="G276" s="278"/>
      <c r="H276" s="279"/>
      <c r="I276" s="279"/>
      <c r="J276" s="279"/>
      <c r="K276" s="82">
        <v>39.299999999999997</v>
      </c>
      <c r="L276" s="82">
        <v>39.299999999999997</v>
      </c>
      <c r="M276" s="82">
        <v>39.299999999999997</v>
      </c>
      <c r="N276" s="82">
        <v>39.299999999999997</v>
      </c>
      <c r="O276" s="82">
        <v>39.299999999999997</v>
      </c>
      <c r="P276" s="82">
        <v>39.299999999999997</v>
      </c>
      <c r="Q276" s="82">
        <v>39.299999999999997</v>
      </c>
      <c r="R276" s="82">
        <v>39.299999999999997</v>
      </c>
      <c r="S276" s="82">
        <v>39.299999999999997</v>
      </c>
    </row>
    <row r="277" spans="1:19" x14ac:dyDescent="0.3">
      <c r="A277" s="389"/>
      <c r="B277" t="s">
        <v>676</v>
      </c>
      <c r="C277" s="280"/>
      <c r="D277" s="280"/>
      <c r="E277" s="280"/>
      <c r="F277" s="280"/>
      <c r="G277" s="280"/>
      <c r="H277" s="281"/>
      <c r="I277" s="279"/>
      <c r="J277" s="279"/>
      <c r="K277" s="82">
        <v>24.8</v>
      </c>
      <c r="L277" s="82">
        <v>24.8</v>
      </c>
      <c r="M277" s="82">
        <v>24.8</v>
      </c>
      <c r="N277" s="82">
        <v>24.8</v>
      </c>
      <c r="O277" s="82">
        <v>24.8</v>
      </c>
      <c r="P277" s="82">
        <v>24.8</v>
      </c>
      <c r="Q277" s="82">
        <v>24.8</v>
      </c>
      <c r="R277" s="82">
        <v>24.8</v>
      </c>
      <c r="S277" s="82">
        <v>24.8</v>
      </c>
    </row>
    <row r="278" spans="1:19" x14ac:dyDescent="0.3">
      <c r="A278" s="389"/>
      <c r="B278" t="s">
        <v>677</v>
      </c>
      <c r="C278" s="278"/>
      <c r="D278" s="278"/>
      <c r="E278" s="278"/>
      <c r="F278" s="278"/>
      <c r="G278" s="278"/>
      <c r="H278" s="279"/>
      <c r="I278" s="279"/>
      <c r="J278" s="279"/>
      <c r="K278" s="82">
        <v>35.9</v>
      </c>
      <c r="L278" s="82">
        <v>35.9</v>
      </c>
      <c r="M278" s="82">
        <v>35.9</v>
      </c>
      <c r="N278" s="82">
        <v>35.9</v>
      </c>
      <c r="O278" s="82">
        <v>35.9</v>
      </c>
      <c r="P278" s="82">
        <v>35.9</v>
      </c>
      <c r="Q278" s="82">
        <v>35.9</v>
      </c>
      <c r="R278" s="82">
        <v>35.9</v>
      </c>
      <c r="S278" s="82">
        <v>35.9</v>
      </c>
    </row>
    <row r="279" spans="1:19" x14ac:dyDescent="0.3">
      <c r="C279" s="103"/>
      <c r="D279" s="103"/>
      <c r="E279" s="103"/>
      <c r="F279" s="103"/>
      <c r="G279" s="103"/>
      <c r="H279" s="359"/>
      <c r="I279" s="359"/>
      <c r="J279" s="359"/>
    </row>
    <row r="280" spans="1:19" x14ac:dyDescent="0.3">
      <c r="A280" s="389" t="s">
        <v>451</v>
      </c>
      <c r="B280" t="s">
        <v>456</v>
      </c>
      <c r="C280" s="103"/>
      <c r="D280" s="103"/>
      <c r="E280" s="103"/>
      <c r="F280" s="103"/>
      <c r="G280" s="103"/>
      <c r="H280" s="359"/>
      <c r="I280" s="359"/>
      <c r="J280" s="359"/>
      <c r="K280" s="82">
        <f>K276</f>
        <v>39.299999999999997</v>
      </c>
      <c r="L280" s="82">
        <f t="shared" ref="L280:M280" si="162">L276</f>
        <v>39.299999999999997</v>
      </c>
      <c r="M280" s="82">
        <f t="shared" si="162"/>
        <v>39.299999999999997</v>
      </c>
      <c r="N280" s="82">
        <f>100*('CC70 - Valores'!I158/'CC70 - Valores'!$I155)</f>
        <v>39.299999999999997</v>
      </c>
      <c r="O280" s="82">
        <f>100*('CC70 - Valores'!N158/'CC70 - Valores'!$N155)</f>
        <v>39.299999999999997</v>
      </c>
      <c r="P280" s="82">
        <f>100*('CC70 - Valores'!X158/'CC70 - Valores'!X155)</f>
        <v>38.049999999999997</v>
      </c>
      <c r="Q280" s="82">
        <f>100*('CC70 - Valores'!AH158/'CC70 - Valores'!AH155)</f>
        <v>36.799999999999997</v>
      </c>
      <c r="R280" s="82">
        <f>100*('CC70 - Valores'!AR158/'CC70 - Valores'!AR155)</f>
        <v>35.549999999999997</v>
      </c>
      <c r="S280" s="82">
        <f>100*('CC70 - Valores'!BB158/'CC70 - Valores'!BB155)</f>
        <v>34.299999999999997</v>
      </c>
    </row>
    <row r="281" spans="1:19" ht="25.8" x14ac:dyDescent="0.3">
      <c r="A281" s="389"/>
      <c r="B281" t="s">
        <v>457</v>
      </c>
      <c r="C281" s="104"/>
      <c r="D281" s="103"/>
      <c r="E281" s="103"/>
      <c r="F281" s="103"/>
      <c r="G281" s="103"/>
      <c r="H281" s="359"/>
      <c r="I281" s="359"/>
      <c r="J281" s="359"/>
      <c r="K281" s="82">
        <f t="shared" ref="K281:M282" si="163">K277</f>
        <v>24.8</v>
      </c>
      <c r="L281" s="82">
        <f t="shared" si="163"/>
        <v>24.8</v>
      </c>
      <c r="M281" s="82">
        <f t="shared" si="163"/>
        <v>24.8</v>
      </c>
      <c r="N281" s="82">
        <f>100*'CC70 - Valores'!I157/'CC70 - Valores'!$I155</f>
        <v>24.8</v>
      </c>
      <c r="O281" s="82">
        <f>100*'CC70 - Valores'!N157/'CC70 - Valores'!$N155</f>
        <v>24.8</v>
      </c>
      <c r="P281" s="82">
        <f>100*'CC70 - Valores'!X157/'CC70 - Valores'!X155</f>
        <v>23.55</v>
      </c>
      <c r="Q281" s="82">
        <f>100*'CC70 - Valores'!AH157/'CC70 - Valores'!AH155</f>
        <v>22.3</v>
      </c>
      <c r="R281" s="82">
        <f>100*'CC70 - Valores'!AR157/'CC70 - Valores'!AR155</f>
        <v>21.05</v>
      </c>
      <c r="S281" s="82">
        <f>100*'CC70 - Valores'!BB157/'CC70 - Valores'!BB155</f>
        <v>19.8</v>
      </c>
    </row>
    <row r="282" spans="1:19" x14ac:dyDescent="0.3">
      <c r="A282" s="389"/>
      <c r="B282" t="s">
        <v>458</v>
      </c>
      <c r="C282" s="103"/>
      <c r="D282" s="103"/>
      <c r="E282" s="103"/>
      <c r="F282" s="103"/>
      <c r="G282" s="103"/>
      <c r="H282" s="359"/>
      <c r="I282" s="359"/>
      <c r="J282" s="359"/>
      <c r="K282" s="82">
        <f t="shared" si="163"/>
        <v>35.9</v>
      </c>
      <c r="L282" s="82">
        <f t="shared" si="163"/>
        <v>35.9</v>
      </c>
      <c r="M282" s="82">
        <f t="shared" si="163"/>
        <v>35.9</v>
      </c>
      <c r="N282" s="82">
        <f>100*'CC70 - Valores'!I156/'CC70 - Valores'!$I155</f>
        <v>35.9</v>
      </c>
      <c r="O282" s="82">
        <f>100*'CC70 - Valores'!N156/'CC70 - Valores'!$N155</f>
        <v>35.9</v>
      </c>
      <c r="P282" s="82">
        <f>100*'CC70 - Valores'!X156/'CC70 - Valores'!X155</f>
        <v>38.4</v>
      </c>
      <c r="Q282" s="82">
        <f>100*'CC70 - Valores'!AH156/'CC70 - Valores'!AH155</f>
        <v>40.9</v>
      </c>
      <c r="R282" s="82">
        <f>100*'CC70 - Valores'!AR156/'CC70 - Valores'!AR155</f>
        <v>43.4</v>
      </c>
      <c r="S282" s="82">
        <f>100*'CC70 - Valores'!BB156/'CC70 - Valores'!BB155</f>
        <v>45.900000000000006</v>
      </c>
    </row>
    <row r="283" spans="1:19" x14ac:dyDescent="0.3">
      <c r="C283" s="103"/>
      <c r="D283" s="103"/>
      <c r="E283" s="103"/>
      <c r="F283" s="103"/>
      <c r="G283" s="103"/>
      <c r="H283" s="359"/>
      <c r="I283" s="359"/>
      <c r="J283" s="359"/>
    </row>
    <row r="284" spans="1:19" ht="15.6" x14ac:dyDescent="0.3">
      <c r="C284" s="276"/>
      <c r="D284" s="276"/>
      <c r="E284" s="276"/>
      <c r="F284" s="276"/>
      <c r="G284" s="276"/>
      <c r="H284" s="128"/>
      <c r="I284" s="359"/>
      <c r="J284" s="359"/>
      <c r="K284" s="81">
        <v>2018</v>
      </c>
      <c r="L284" s="81">
        <v>2020</v>
      </c>
      <c r="M284" s="81">
        <v>2022</v>
      </c>
      <c r="N284" s="81">
        <v>2025</v>
      </c>
      <c r="O284" s="81">
        <v>2030</v>
      </c>
      <c r="P284" s="81">
        <v>2040</v>
      </c>
      <c r="Q284" s="81">
        <v>2050</v>
      </c>
      <c r="R284" s="81">
        <v>2060</v>
      </c>
      <c r="S284" s="81">
        <v>2070</v>
      </c>
    </row>
    <row r="285" spans="1:19" x14ac:dyDescent="0.3">
      <c r="B285" t="s">
        <v>678</v>
      </c>
      <c r="C285" s="276"/>
      <c r="D285" s="276"/>
      <c r="E285" s="276"/>
      <c r="F285" s="276"/>
      <c r="G285" s="276"/>
      <c r="H285" s="128"/>
      <c r="I285" s="359"/>
      <c r="J285" s="359"/>
      <c r="K285" s="82">
        <v>4056796</v>
      </c>
      <c r="L285">
        <v>4335924</v>
      </c>
      <c r="M285">
        <v>4121602.7900505415</v>
      </c>
      <c r="N285">
        <v>4282716.7792041115</v>
      </c>
      <c r="O285">
        <v>4539688.6294608563</v>
      </c>
      <c r="P285">
        <v>4996062.2612221111</v>
      </c>
      <c r="Q285">
        <v>5355913.1652984759</v>
      </c>
      <c r="R285">
        <v>5606444.7196411341</v>
      </c>
      <c r="S285">
        <v>5733122.061097567</v>
      </c>
    </row>
    <row r="286" spans="1:19" x14ac:dyDescent="0.3">
      <c r="B286" t="s">
        <v>459</v>
      </c>
      <c r="C286" s="103"/>
      <c r="D286" s="103"/>
      <c r="E286" s="103"/>
      <c r="F286" s="103"/>
      <c r="G286" s="103"/>
      <c r="H286" s="359"/>
      <c r="I286" s="359"/>
      <c r="J286" s="359"/>
      <c r="K286" s="82">
        <f>K285</f>
        <v>4056796</v>
      </c>
      <c r="L286" s="82">
        <f t="shared" ref="L286:M286" si="164">L285</f>
        <v>4335924</v>
      </c>
      <c r="M286" s="82">
        <f t="shared" si="164"/>
        <v>4121602.7900505415</v>
      </c>
      <c r="N286">
        <f>'CC70 - Valores'!I155</f>
        <v>4282716.7792041115</v>
      </c>
      <c r="O286">
        <f>'CC70 - Valores'!N155</f>
        <v>4539688.6294608563</v>
      </c>
      <c r="P286">
        <f>'CC70 - Valores'!X155</f>
        <v>4962258.903962682</v>
      </c>
      <c r="Q286">
        <f>'CC70 - Valores'!AH155</f>
        <v>5270132.8600430554</v>
      </c>
      <c r="R286">
        <f>'CC70 - Valores'!AR155</f>
        <v>5502635.7892122595</v>
      </c>
      <c r="S286">
        <f>'CC70 - Valores'!BB155</f>
        <v>5612634.7678615404</v>
      </c>
    </row>
    <row r="287" spans="1:19" x14ac:dyDescent="0.3">
      <c r="C287" s="103"/>
      <c r="D287" s="103"/>
      <c r="E287" s="103"/>
      <c r="F287" s="103"/>
      <c r="G287" s="103"/>
      <c r="H287" s="359"/>
      <c r="I287" s="359"/>
      <c r="J287" s="359"/>
      <c r="K287"/>
      <c r="L287"/>
      <c r="M287"/>
      <c r="N287"/>
      <c r="O287"/>
      <c r="P287"/>
      <c r="Q287"/>
      <c r="R287"/>
      <c r="S287"/>
    </row>
    <row r="288" spans="1:19" x14ac:dyDescent="0.3">
      <c r="C288" s="284"/>
      <c r="D288" s="284"/>
      <c r="E288" s="284"/>
      <c r="F288" s="284"/>
      <c r="G288" s="284"/>
      <c r="H288" s="285"/>
      <c r="I288" s="285"/>
      <c r="J288" s="285"/>
    </row>
    <row r="289" spans="2:19" x14ac:dyDescent="0.3">
      <c r="C289" s="284"/>
      <c r="D289" s="284"/>
      <c r="E289" s="284"/>
      <c r="F289" s="284"/>
      <c r="G289" s="284"/>
      <c r="H289" s="285"/>
      <c r="I289" s="285"/>
      <c r="J289" s="285"/>
    </row>
    <row r="290" spans="2:19" x14ac:dyDescent="0.3">
      <c r="C290" s="284"/>
      <c r="D290" s="284"/>
      <c r="E290" s="284"/>
      <c r="F290" s="284"/>
      <c r="G290" s="284"/>
      <c r="H290" s="284"/>
      <c r="I290" s="284"/>
      <c r="J290" s="284"/>
    </row>
    <row r="291" spans="2:19" x14ac:dyDescent="0.3">
      <c r="C291" s="276"/>
      <c r="D291" s="276"/>
      <c r="E291" s="276"/>
      <c r="F291" s="276"/>
      <c r="G291" s="276"/>
      <c r="H291" s="128"/>
      <c r="I291" s="359"/>
      <c r="J291" s="359"/>
    </row>
    <row r="292" spans="2:19" x14ac:dyDescent="0.3">
      <c r="C292" s="103"/>
      <c r="D292" s="103"/>
      <c r="E292" s="103"/>
      <c r="F292" s="103"/>
      <c r="G292" s="103"/>
      <c r="H292" s="359"/>
      <c r="I292" s="359"/>
      <c r="J292" s="359"/>
    </row>
    <row r="293" spans="2:19" x14ac:dyDescent="0.3">
      <c r="C293" s="103"/>
      <c r="D293" s="103"/>
      <c r="E293" s="103"/>
      <c r="F293" s="103"/>
      <c r="G293" s="103"/>
      <c r="H293" s="359"/>
      <c r="I293" s="359"/>
      <c r="J293" s="359"/>
    </row>
    <row r="294" spans="2:19" ht="19.8" x14ac:dyDescent="0.4">
      <c r="B294" s="85"/>
      <c r="C294" s="103"/>
      <c r="D294" s="103"/>
      <c r="E294" s="103"/>
      <c r="F294" s="103"/>
      <c r="G294" s="103"/>
      <c r="H294" s="359"/>
      <c r="I294" s="359"/>
      <c r="J294" s="359"/>
    </row>
    <row r="295" spans="2:19" ht="15.6" x14ac:dyDescent="0.3">
      <c r="C295" s="103"/>
      <c r="D295" s="103"/>
      <c r="E295" s="103"/>
      <c r="F295" s="103"/>
      <c r="G295" s="103"/>
      <c r="H295" s="359"/>
      <c r="I295" s="359"/>
      <c r="J295" s="359"/>
      <c r="K295" s="81"/>
      <c r="L295" s="81"/>
      <c r="M295" s="81"/>
      <c r="N295" s="81"/>
      <c r="O295" s="81"/>
      <c r="P295" s="81"/>
      <c r="Q295" s="81"/>
      <c r="R295" s="81"/>
      <c r="S295" s="81"/>
    </row>
    <row r="296" spans="2:19" x14ac:dyDescent="0.3">
      <c r="C296" s="103"/>
      <c r="D296" s="103"/>
      <c r="E296" s="103"/>
      <c r="F296" s="103"/>
      <c r="G296" s="103"/>
      <c r="H296" s="359"/>
      <c r="I296" s="359"/>
      <c r="J296" s="359"/>
      <c r="K296"/>
      <c r="L296"/>
      <c r="M296"/>
      <c r="N296"/>
      <c r="O296"/>
      <c r="P296"/>
      <c r="Q296"/>
      <c r="R296"/>
      <c r="S296"/>
    </row>
    <row r="297" spans="2:19" x14ac:dyDescent="0.3">
      <c r="C297" s="276"/>
      <c r="D297" s="276"/>
      <c r="E297" s="276"/>
      <c r="F297" s="276"/>
      <c r="G297" s="276"/>
      <c r="H297" s="128"/>
      <c r="I297" s="359"/>
      <c r="J297" s="359"/>
      <c r="K297"/>
      <c r="L297"/>
      <c r="M297"/>
      <c r="N297"/>
      <c r="O297"/>
      <c r="P297"/>
      <c r="Q297"/>
      <c r="R297"/>
      <c r="S297"/>
    </row>
    <row r="298" spans="2:19" x14ac:dyDescent="0.3">
      <c r="C298" s="103"/>
      <c r="D298" s="103"/>
      <c r="E298" s="103"/>
      <c r="F298" s="103"/>
      <c r="G298" s="103"/>
      <c r="H298" s="288"/>
      <c r="I298" s="288"/>
      <c r="J298" s="288"/>
    </row>
    <row r="299" spans="2:19" x14ac:dyDescent="0.3">
      <c r="C299" s="103"/>
      <c r="D299" s="103"/>
      <c r="E299" s="103"/>
      <c r="F299" s="103"/>
      <c r="G299" s="103"/>
      <c r="H299" s="288"/>
      <c r="I299" s="288"/>
      <c r="J299" s="288"/>
    </row>
    <row r="300" spans="2:19" x14ac:dyDescent="0.3">
      <c r="C300" s="103"/>
      <c r="D300" s="103"/>
      <c r="E300" s="103"/>
      <c r="F300" s="103"/>
      <c r="G300" s="103"/>
      <c r="H300" s="288"/>
      <c r="I300" s="288"/>
      <c r="J300" s="288"/>
    </row>
    <row r="301" spans="2:19" x14ac:dyDescent="0.3">
      <c r="C301" s="359"/>
      <c r="D301" s="359"/>
      <c r="E301" s="359"/>
      <c r="F301" s="359"/>
      <c r="G301" s="359"/>
      <c r="H301" s="359"/>
      <c r="I301" s="359"/>
      <c r="J301" s="359"/>
    </row>
    <row r="302" spans="2:19" x14ac:dyDescent="0.3">
      <c r="C302" s="276"/>
      <c r="D302" s="276"/>
      <c r="E302" s="276"/>
      <c r="F302" s="276"/>
      <c r="G302" s="276"/>
      <c r="H302" s="128"/>
      <c r="I302" s="359"/>
      <c r="J302" s="359"/>
    </row>
    <row r="303" spans="2:19" x14ac:dyDescent="0.3">
      <c r="C303" s="284"/>
      <c r="D303" s="284"/>
      <c r="E303" s="284"/>
      <c r="F303" s="284"/>
      <c r="G303" s="284"/>
      <c r="H303" s="285"/>
      <c r="I303" s="285"/>
      <c r="J303" s="285"/>
    </row>
    <row r="304" spans="2:19" ht="19.8" x14ac:dyDescent="0.4">
      <c r="B304" s="85" t="s">
        <v>460</v>
      </c>
      <c r="C304" s="284"/>
      <c r="D304" s="284"/>
      <c r="E304" s="284"/>
      <c r="F304" s="284"/>
      <c r="G304" s="284"/>
      <c r="H304" s="285"/>
      <c r="I304" s="285"/>
      <c r="J304" s="285"/>
    </row>
    <row r="305" spans="2:19" ht="15.6" x14ac:dyDescent="0.3">
      <c r="C305" s="284"/>
      <c r="D305" s="284"/>
      <c r="E305" s="284"/>
      <c r="F305" s="284"/>
      <c r="G305" s="284"/>
      <c r="H305" s="285"/>
      <c r="I305" s="285"/>
      <c r="J305" s="285"/>
      <c r="K305" s="81">
        <v>2018</v>
      </c>
      <c r="L305" s="81">
        <v>2020</v>
      </c>
      <c r="M305" s="81">
        <v>2022</v>
      </c>
      <c r="N305" s="81">
        <v>2025</v>
      </c>
      <c r="O305" s="81">
        <v>2030</v>
      </c>
      <c r="P305" s="81">
        <v>2040</v>
      </c>
      <c r="Q305" s="81">
        <v>2050</v>
      </c>
      <c r="R305" s="81">
        <v>2060</v>
      </c>
      <c r="S305" s="81">
        <v>2070</v>
      </c>
    </row>
    <row r="306" spans="2:19" x14ac:dyDescent="0.3">
      <c r="B306" t="s">
        <v>674</v>
      </c>
      <c r="C306" s="276"/>
      <c r="D306" s="276"/>
      <c r="E306" s="276"/>
      <c r="F306" s="276"/>
      <c r="G306" s="276"/>
      <c r="H306" s="128"/>
      <c r="I306" s="359"/>
      <c r="J306" s="359"/>
      <c r="K306" s="82">
        <v>1.3110481641332572</v>
      </c>
      <c r="L306" s="82">
        <v>1.4904615321154371</v>
      </c>
      <c r="M306" s="82">
        <v>1.3454671170381349</v>
      </c>
      <c r="N306" s="82">
        <v>1.3454671170381349</v>
      </c>
      <c r="O306" s="82">
        <v>1.3454671170381349</v>
      </c>
      <c r="P306" s="82">
        <v>1.3454671170381349</v>
      </c>
      <c r="Q306" s="82">
        <v>1.3454671170381349</v>
      </c>
      <c r="R306" s="82">
        <v>1.3454671170381349</v>
      </c>
      <c r="S306" s="82">
        <v>1.3454671170381349</v>
      </c>
    </row>
    <row r="307" spans="2:19" x14ac:dyDescent="0.3">
      <c r="B307" t="s">
        <v>447</v>
      </c>
      <c r="C307" s="276"/>
      <c r="D307" s="276"/>
      <c r="E307" s="276"/>
      <c r="F307" s="276"/>
      <c r="G307" s="276"/>
      <c r="H307" s="128"/>
      <c r="I307" s="359"/>
      <c r="J307" s="359"/>
      <c r="K307" s="82">
        <f>K306</f>
        <v>1.3110481641332572</v>
      </c>
      <c r="L307" s="82">
        <f t="shared" ref="L307:M307" si="165">L306</f>
        <v>1.4904615321154371</v>
      </c>
      <c r="M307" s="82">
        <f t="shared" si="165"/>
        <v>1.3454671170381349</v>
      </c>
      <c r="N307" s="91">
        <f>'CC70 - Valores'!I159</f>
        <v>1.3863754222232514</v>
      </c>
      <c r="O307" s="91">
        <f>'CC70 - Valores'!N159</f>
        <v>1.4545559308651121</v>
      </c>
      <c r="P307" s="91">
        <f>'CC70 - Valores'!W159</f>
        <v>1.5772808464204615</v>
      </c>
      <c r="Q307" s="91">
        <f>'CC70 - Valores'!AH159</f>
        <v>1.7272779654325552</v>
      </c>
      <c r="R307" s="91">
        <f>'CC70 - Valores'!AR159</f>
        <v>1.8636389827162767</v>
      </c>
      <c r="S307" s="91">
        <f>'CC70 - Valores'!BB159</f>
        <v>1.9999999999999982</v>
      </c>
    </row>
    <row r="308" spans="2:19" x14ac:dyDescent="0.3">
      <c r="C308" s="285"/>
      <c r="D308" s="285"/>
      <c r="E308" s="285"/>
      <c r="F308" s="285"/>
      <c r="G308" s="285"/>
      <c r="H308" s="285"/>
      <c r="I308" s="285"/>
      <c r="J308" s="285"/>
    </row>
    <row r="309" spans="2:19" x14ac:dyDescent="0.3">
      <c r="C309" s="285"/>
      <c r="D309" s="285"/>
      <c r="E309" s="285"/>
      <c r="F309" s="285"/>
      <c r="G309" s="285"/>
      <c r="H309" s="285"/>
      <c r="I309" s="285"/>
      <c r="J309" s="285"/>
    </row>
    <row r="310" spans="2:19" x14ac:dyDescent="0.3">
      <c r="C310" s="285"/>
      <c r="D310" s="285"/>
      <c r="E310" s="285"/>
      <c r="F310" s="285"/>
      <c r="G310" s="285"/>
      <c r="H310" s="285"/>
      <c r="I310" s="285"/>
      <c r="J310" s="285"/>
    </row>
    <row r="311" spans="2:19" x14ac:dyDescent="0.3">
      <c r="C311" s="289"/>
      <c r="D311" s="289"/>
      <c r="E311" s="289"/>
      <c r="F311" s="289"/>
      <c r="G311" s="289"/>
      <c r="H311" s="290"/>
      <c r="I311" s="290"/>
      <c r="J311" s="290"/>
    </row>
    <row r="312" spans="2:19" x14ac:dyDescent="0.3">
      <c r="C312" s="276"/>
      <c r="D312" s="276"/>
      <c r="E312" s="276"/>
      <c r="F312" s="276"/>
      <c r="G312" s="276"/>
      <c r="H312" s="128"/>
      <c r="I312" s="359"/>
      <c r="J312" s="359"/>
    </row>
    <row r="313" spans="2:19" x14ac:dyDescent="0.3">
      <c r="C313" s="276"/>
      <c r="D313" s="276"/>
      <c r="E313" s="276"/>
      <c r="F313" s="276"/>
      <c r="G313" s="276"/>
      <c r="H313" s="128"/>
      <c r="I313" s="359"/>
      <c r="J313" s="359"/>
    </row>
    <row r="314" spans="2:19" ht="19.8" x14ac:dyDescent="0.4">
      <c r="B314" s="85" t="s">
        <v>461</v>
      </c>
      <c r="C314" s="286"/>
      <c r="D314" s="286"/>
      <c r="E314" s="286"/>
      <c r="F314" s="286"/>
      <c r="G314" s="286"/>
      <c r="H314" s="287"/>
      <c r="I314" s="287"/>
      <c r="J314" s="287"/>
      <c r="K314"/>
      <c r="L314"/>
      <c r="M314"/>
      <c r="N314"/>
      <c r="O314"/>
      <c r="P314"/>
      <c r="Q314"/>
      <c r="R314"/>
      <c r="S314"/>
    </row>
    <row r="315" spans="2:19" ht="15.6" x14ac:dyDescent="0.3">
      <c r="C315" s="289"/>
      <c r="D315" s="289"/>
      <c r="E315" s="289"/>
      <c r="F315" s="289"/>
      <c r="G315" s="289"/>
      <c r="H315" s="290"/>
      <c r="I315" s="290"/>
      <c r="J315" s="290"/>
      <c r="K315" s="81">
        <v>2018</v>
      </c>
      <c r="L315" s="81">
        <v>2020</v>
      </c>
      <c r="M315" s="81">
        <v>2022</v>
      </c>
      <c r="N315" s="81">
        <v>2025</v>
      </c>
      <c r="O315" s="81">
        <v>2030</v>
      </c>
      <c r="P315" s="81">
        <v>2040</v>
      </c>
      <c r="Q315" s="81">
        <v>2050</v>
      </c>
      <c r="R315" s="81">
        <v>2060</v>
      </c>
      <c r="S315" s="81">
        <v>2070</v>
      </c>
    </row>
    <row r="316" spans="2:19" x14ac:dyDescent="0.3">
      <c r="B316" t="s">
        <v>674</v>
      </c>
      <c r="C316" s="276"/>
      <c r="D316" s="276"/>
      <c r="E316" s="276"/>
      <c r="F316" s="276"/>
      <c r="G316" s="276"/>
      <c r="H316" s="128"/>
      <c r="I316" s="359"/>
      <c r="J316" s="359"/>
      <c r="K316" s="82">
        <v>3.0943149999999999</v>
      </c>
      <c r="L316">
        <v>2.9091149999999999</v>
      </c>
      <c r="M316">
        <v>3.0633248021131103</v>
      </c>
      <c r="N316">
        <v>3.1830705670696262</v>
      </c>
      <c r="O316">
        <v>3.3740613739073542</v>
      </c>
      <c r="P316">
        <v>3.743430167052209</v>
      </c>
      <c r="Q316">
        <v>3.980709076776844</v>
      </c>
      <c r="R316">
        <v>4.1669132219172837</v>
      </c>
      <c r="S316">
        <v>4.2610644203020476</v>
      </c>
    </row>
    <row r="317" spans="2:19" x14ac:dyDescent="0.3">
      <c r="B317" t="s">
        <v>447</v>
      </c>
      <c r="C317" s="276"/>
      <c r="D317" s="276"/>
      <c r="E317" s="276"/>
      <c r="F317" s="276"/>
      <c r="G317" s="276"/>
      <c r="H317" s="128"/>
      <c r="I317" s="359"/>
      <c r="J317" s="359"/>
      <c r="K317" s="82">
        <f>K316</f>
        <v>3.0943149999999999</v>
      </c>
      <c r="L317" s="82">
        <f t="shared" ref="L317:M317" si="166">L316</f>
        <v>2.9091149999999999</v>
      </c>
      <c r="M317" s="82">
        <f t="shared" si="166"/>
        <v>3.0633248021131103</v>
      </c>
      <c r="N317">
        <f>'CC70 - Valores'!I160</f>
        <v>3.1830705670696262</v>
      </c>
      <c r="O317">
        <f>'CC70 - Valores'!N160</f>
        <v>3.3685066634648599</v>
      </c>
      <c r="P317">
        <f>'CC70 - Valores'!W160</f>
        <v>3.5430090101373604</v>
      </c>
      <c r="Q317">
        <f>'CC70 - Valores'!AH160</f>
        <v>3.5178258027898512</v>
      </c>
      <c r="R317">
        <f>'CC70 - Valores'!AR160</f>
        <v>3.3159562613388114</v>
      </c>
      <c r="S317">
        <f>'CC70 - Valores'!BB160</f>
        <v>2.9428370345821939</v>
      </c>
    </row>
    <row r="318" spans="2:19" x14ac:dyDescent="0.3">
      <c r="C318" s="289"/>
      <c r="D318" s="289"/>
      <c r="E318" s="289"/>
      <c r="F318" s="289"/>
      <c r="G318" s="289"/>
      <c r="H318" s="290"/>
      <c r="I318" s="290"/>
      <c r="J318" s="290"/>
    </row>
    <row r="319" spans="2:19" x14ac:dyDescent="0.3">
      <c r="C319" s="176"/>
      <c r="D319" s="176"/>
      <c r="E319" s="176"/>
      <c r="F319" s="176"/>
      <c r="G319" s="176"/>
      <c r="H319" s="197"/>
      <c r="I319" s="197"/>
      <c r="J319" s="197"/>
    </row>
    <row r="320" spans="2:19" x14ac:dyDescent="0.3">
      <c r="C320" s="176"/>
      <c r="D320" s="176"/>
      <c r="E320" s="176"/>
      <c r="F320" s="176"/>
      <c r="G320" s="176"/>
      <c r="H320" s="197"/>
      <c r="I320" s="197"/>
      <c r="J320" s="197"/>
    </row>
    <row r="321" spans="1:19" ht="25.8" x14ac:dyDescent="0.3">
      <c r="C321" s="104"/>
      <c r="D321" s="103"/>
      <c r="E321" s="103"/>
      <c r="F321" s="103"/>
      <c r="G321" s="103"/>
      <c r="H321" s="359"/>
      <c r="I321" s="359"/>
      <c r="J321" s="359"/>
    </row>
    <row r="322" spans="1:19" x14ac:dyDescent="0.3">
      <c r="C322" s="103"/>
      <c r="D322" s="103"/>
      <c r="E322" s="103"/>
      <c r="F322" s="103"/>
      <c r="G322" s="103"/>
      <c r="H322" s="359"/>
      <c r="I322" s="359"/>
      <c r="J322" s="359"/>
    </row>
    <row r="323" spans="1:19" x14ac:dyDescent="0.3">
      <c r="C323" s="103"/>
      <c r="D323" s="103"/>
      <c r="E323" s="103"/>
      <c r="F323" s="103"/>
      <c r="G323" s="103"/>
      <c r="H323" s="359"/>
      <c r="I323" s="359"/>
      <c r="J323" s="359"/>
    </row>
    <row r="324" spans="1:19" x14ac:dyDescent="0.3">
      <c r="C324" s="276"/>
      <c r="D324" s="276"/>
      <c r="E324" s="276"/>
      <c r="F324" s="276"/>
      <c r="G324" s="276"/>
      <c r="H324" s="128"/>
      <c r="I324" s="359"/>
      <c r="J324" s="359"/>
    </row>
    <row r="325" spans="1:19" x14ac:dyDescent="0.3">
      <c r="C325" s="276"/>
      <c r="D325" s="276"/>
      <c r="E325" s="276"/>
      <c r="F325" s="276"/>
      <c r="G325" s="276"/>
      <c r="H325" s="128"/>
      <c r="I325" s="359"/>
      <c r="J325" s="359"/>
    </row>
    <row r="326" spans="1:19" x14ac:dyDescent="0.3">
      <c r="C326" s="289"/>
      <c r="D326" s="289"/>
      <c r="E326" s="289"/>
      <c r="F326" s="289"/>
      <c r="G326" s="289"/>
      <c r="H326" s="290"/>
      <c r="I326" s="290"/>
      <c r="J326" s="290"/>
    </row>
    <row r="327" spans="1:19" x14ac:dyDescent="0.3">
      <c r="C327" s="103"/>
      <c r="D327" s="103"/>
      <c r="E327" s="103"/>
      <c r="F327" s="103"/>
      <c r="G327" s="103"/>
      <c r="H327" s="359"/>
      <c r="I327" s="359"/>
      <c r="J327" s="359"/>
    </row>
    <row r="328" spans="1:19" x14ac:dyDescent="0.3">
      <c r="C328" s="176"/>
      <c r="D328" s="176"/>
      <c r="E328" s="176"/>
      <c r="F328" s="176"/>
      <c r="G328" s="176"/>
      <c r="H328" s="197"/>
      <c r="I328" s="197"/>
      <c r="J328" s="197"/>
    </row>
    <row r="329" spans="1:19" x14ac:dyDescent="0.3">
      <c r="C329" s="276"/>
      <c r="D329" s="276"/>
      <c r="E329" s="276"/>
      <c r="F329" s="276"/>
      <c r="G329" s="276"/>
      <c r="H329" s="128"/>
      <c r="I329" s="359"/>
      <c r="J329" s="359"/>
    </row>
    <row r="330" spans="1:19" ht="19.8" x14ac:dyDescent="0.4">
      <c r="B330" s="85" t="s">
        <v>462</v>
      </c>
      <c r="C330" s="276"/>
      <c r="D330" s="276"/>
      <c r="E330" s="276"/>
      <c r="F330" s="276"/>
      <c r="G330" s="276"/>
      <c r="H330" s="128"/>
      <c r="I330" s="359"/>
      <c r="J330" s="359"/>
    </row>
    <row r="331" spans="1:19" ht="15.6" x14ac:dyDescent="0.3">
      <c r="C331" s="286"/>
      <c r="D331" s="286"/>
      <c r="E331" s="286"/>
      <c r="F331" s="286"/>
      <c r="G331" s="286"/>
      <c r="H331" s="286"/>
      <c r="I331" s="286"/>
      <c r="J331" s="286"/>
      <c r="K331" s="81">
        <v>2018</v>
      </c>
      <c r="L331" s="81">
        <v>2020</v>
      </c>
      <c r="M331" s="81">
        <v>2022</v>
      </c>
      <c r="N331" s="81">
        <v>2025</v>
      </c>
      <c r="O331" s="81">
        <v>2030</v>
      </c>
      <c r="P331" s="81">
        <v>2040</v>
      </c>
      <c r="Q331" s="81">
        <v>2050</v>
      </c>
      <c r="R331" s="81">
        <v>2060</v>
      </c>
      <c r="S331" s="81">
        <v>2070</v>
      </c>
    </row>
    <row r="332" spans="1:19" x14ac:dyDescent="0.3">
      <c r="A332" s="389" t="s">
        <v>463</v>
      </c>
      <c r="B332" t="s">
        <v>674</v>
      </c>
      <c r="C332" s="276"/>
      <c r="D332" s="276"/>
      <c r="E332" s="276"/>
      <c r="F332" s="276"/>
      <c r="G332" s="276"/>
      <c r="H332" s="128"/>
      <c r="I332" s="359"/>
      <c r="J332" s="359"/>
      <c r="K332">
        <v>4.0414416395978439</v>
      </c>
      <c r="L332">
        <v>3.991049201860855</v>
      </c>
      <c r="M332">
        <v>4.1897270315984407</v>
      </c>
      <c r="N332">
        <v>4.7331785547309799</v>
      </c>
      <c r="O332">
        <v>6.0014497210449491</v>
      </c>
      <c r="P332">
        <v>7.8775787339009735</v>
      </c>
      <c r="Q332">
        <v>10.629365382717374</v>
      </c>
      <c r="R332">
        <v>13.964972507813904</v>
      </c>
      <c r="S332">
        <v>18.103516884873734</v>
      </c>
    </row>
    <row r="333" spans="1:19" x14ac:dyDescent="0.3">
      <c r="A333" s="389"/>
      <c r="B333" t="s">
        <v>447</v>
      </c>
      <c r="C333" s="291"/>
      <c r="D333" s="291"/>
      <c r="E333" s="291"/>
      <c r="F333" s="291"/>
      <c r="G333" s="291"/>
      <c r="H333" s="291"/>
      <c r="I333" s="291"/>
      <c r="J333" s="291"/>
      <c r="K333">
        <v>4.0414416395978439</v>
      </c>
      <c r="L333">
        <v>3.991049201860855</v>
      </c>
      <c r="M333">
        <v>4.1897270315984407</v>
      </c>
      <c r="N333">
        <v>4.2218314736517373</v>
      </c>
      <c r="O333">
        <v>4.9217620516980141</v>
      </c>
      <c r="P333">
        <v>5.4937965145851688</v>
      </c>
      <c r="Q333">
        <v>6.6326229538496824</v>
      </c>
      <c r="R333">
        <v>8.4386817199494075</v>
      </c>
      <c r="S333">
        <v>10.613443620337684</v>
      </c>
    </row>
    <row r="334" spans="1:19" x14ac:dyDescent="0.3">
      <c r="C334" s="291"/>
      <c r="D334" s="291"/>
      <c r="E334" s="291"/>
      <c r="F334" s="291"/>
      <c r="G334" s="291"/>
      <c r="H334" s="291"/>
      <c r="I334" s="291"/>
      <c r="J334" s="291"/>
      <c r="K334"/>
      <c r="L334"/>
      <c r="M334"/>
      <c r="N334"/>
      <c r="O334"/>
      <c r="P334"/>
      <c r="Q334"/>
      <c r="R334"/>
      <c r="S334"/>
    </row>
    <row r="335" spans="1:19" x14ac:dyDescent="0.3">
      <c r="A335" s="389" t="s">
        <v>115</v>
      </c>
      <c r="B335" t="s">
        <v>674</v>
      </c>
      <c r="C335" s="176"/>
      <c r="D335" s="176"/>
      <c r="E335" s="176"/>
      <c r="F335" s="176"/>
      <c r="G335" s="176"/>
      <c r="H335" s="197"/>
      <c r="I335" s="197"/>
      <c r="J335" s="197"/>
      <c r="K335">
        <v>8.3907282497500013</v>
      </c>
      <c r="L335">
        <v>9.1715130412499999</v>
      </c>
      <c r="M335">
        <v>8.5591038011102132</v>
      </c>
      <c r="N335">
        <v>8.8936802819649916</v>
      </c>
      <c r="O335">
        <v>9.4273194636979465</v>
      </c>
      <c r="P335">
        <v>10.375045260022517</v>
      </c>
      <c r="Q335">
        <v>11.12232766393296</v>
      </c>
      <c r="R335">
        <v>11.642592640521352</v>
      </c>
      <c r="S335">
        <v>11.905656446036925</v>
      </c>
    </row>
    <row r="336" spans="1:19" x14ac:dyDescent="0.3">
      <c r="A336" s="389"/>
      <c r="B336" t="s">
        <v>447</v>
      </c>
      <c r="C336" s="276"/>
      <c r="D336" s="276"/>
      <c r="E336" s="276"/>
      <c r="F336" s="276"/>
      <c r="G336" s="276"/>
      <c r="H336" s="128"/>
      <c r="I336" s="359"/>
      <c r="J336" s="359"/>
      <c r="K336">
        <v>8.3907282497500013</v>
      </c>
      <c r="L336">
        <v>9.1715130412499999</v>
      </c>
      <c r="M336" s="90">
        <f>M335</f>
        <v>8.5591038011102132</v>
      </c>
      <c r="N336" s="90">
        <f>'CC70 - Valores'!I168</f>
        <v>9.216674178645949</v>
      </c>
      <c r="O336" s="90">
        <f>'CC70 - Valores'!N168</f>
        <v>9.7696936611391028</v>
      </c>
      <c r="P336" s="90">
        <f>'CC70 - Valores'!W168</f>
        <v>10.49151697393839</v>
      </c>
      <c r="Q336" s="90">
        <f>'CC70 - Valores'!AH168</f>
        <v>10.581531631619205</v>
      </c>
      <c r="R336" s="90">
        <f>'CC70 - Valores'!AR168</f>
        <v>10.221650073584314</v>
      </c>
      <c r="S336" s="90">
        <f>'CC70 - Valores'!BB168</f>
        <v>9.2874288052321337</v>
      </c>
    </row>
    <row r="337" spans="1:19" x14ac:dyDescent="0.3">
      <c r="C337" s="276"/>
      <c r="D337" s="276"/>
      <c r="E337" s="276"/>
      <c r="F337" s="276"/>
      <c r="G337" s="276"/>
      <c r="H337" s="128"/>
      <c r="I337" s="359"/>
      <c r="J337" s="359"/>
    </row>
    <row r="338" spans="1:19" ht="19.8" x14ac:dyDescent="0.4">
      <c r="B338" s="85" t="s">
        <v>464</v>
      </c>
      <c r="C338" s="289"/>
      <c r="D338" s="289"/>
      <c r="E338" s="289"/>
      <c r="F338" s="289"/>
      <c r="G338" s="289"/>
      <c r="H338" s="290"/>
      <c r="I338" s="290"/>
      <c r="J338" s="290"/>
    </row>
    <row r="339" spans="1:19" ht="15.6" x14ac:dyDescent="0.3">
      <c r="C339" s="289"/>
      <c r="D339" s="292"/>
      <c r="E339" s="289"/>
      <c r="F339" s="289"/>
      <c r="G339" s="289"/>
      <c r="H339" s="290"/>
      <c r="I339" s="290"/>
      <c r="J339" s="290"/>
      <c r="K339" s="81">
        <v>2018</v>
      </c>
      <c r="L339" s="81">
        <v>2020</v>
      </c>
      <c r="M339" s="81">
        <v>2022</v>
      </c>
      <c r="N339" s="81">
        <v>2025</v>
      </c>
      <c r="O339" s="81">
        <v>2030</v>
      </c>
      <c r="P339" s="81">
        <v>2040</v>
      </c>
      <c r="Q339" s="81">
        <v>2050</v>
      </c>
      <c r="R339" s="81">
        <v>2060</v>
      </c>
      <c r="S339" s="81">
        <v>2070</v>
      </c>
    </row>
    <row r="340" spans="1:19" x14ac:dyDescent="0.3">
      <c r="A340" s="390" t="s">
        <v>465</v>
      </c>
      <c r="B340" t="s">
        <v>674</v>
      </c>
      <c r="C340" s="276"/>
      <c r="D340" s="276"/>
      <c r="E340" s="276"/>
      <c r="F340" s="276"/>
      <c r="G340" s="276"/>
      <c r="H340" s="128"/>
      <c r="I340" s="359"/>
      <c r="J340" s="359"/>
      <c r="K340" s="82">
        <v>85</v>
      </c>
      <c r="L340" s="82">
        <v>85</v>
      </c>
      <c r="M340" s="82">
        <v>85</v>
      </c>
      <c r="N340" s="82">
        <v>85</v>
      </c>
      <c r="O340" s="82">
        <v>85</v>
      </c>
      <c r="P340" s="82">
        <v>85</v>
      </c>
      <c r="Q340" s="82">
        <v>85</v>
      </c>
      <c r="R340" s="82">
        <v>85</v>
      </c>
      <c r="S340" s="82">
        <v>85</v>
      </c>
    </row>
    <row r="341" spans="1:19" x14ac:dyDescent="0.3">
      <c r="A341" s="390"/>
      <c r="B341" t="s">
        <v>447</v>
      </c>
      <c r="C341" s="289"/>
      <c r="D341" s="289"/>
      <c r="E341" s="289"/>
      <c r="F341" s="289"/>
      <c r="G341" s="289"/>
      <c r="H341" s="290"/>
      <c r="I341" s="290"/>
      <c r="J341" s="290"/>
      <c r="K341" s="82">
        <v>85</v>
      </c>
      <c r="L341" s="82">
        <v>85</v>
      </c>
      <c r="M341" s="88">
        <f>M340</f>
        <v>85</v>
      </c>
      <c r="N341" s="88">
        <f>'CC70 - Valores'!I162</f>
        <v>85</v>
      </c>
      <c r="O341" s="88">
        <f>'CC70 - Valores'!N162</f>
        <v>85</v>
      </c>
      <c r="P341" s="88">
        <f>'CC70 - Valores'!W162</f>
        <v>80.954000000000008</v>
      </c>
      <c r="Q341" s="88">
        <f>'CC70 - Valores'!AH162</f>
        <v>72.4846</v>
      </c>
      <c r="R341" s="88">
        <f>'CC70 - Valores'!AR162</f>
        <v>67.690600000000003</v>
      </c>
      <c r="S341" s="88">
        <f>'CC70 - Valores'!BB162</f>
        <v>62.896600000000007</v>
      </c>
    </row>
    <row r="342" spans="1:19" x14ac:dyDescent="0.3">
      <c r="C342" s="289"/>
      <c r="D342" s="289"/>
      <c r="E342" s="289"/>
      <c r="F342" s="289"/>
      <c r="G342" s="289"/>
      <c r="H342" s="290"/>
      <c r="I342" s="290"/>
      <c r="J342" s="290"/>
    </row>
    <row r="343" spans="1:19" x14ac:dyDescent="0.3">
      <c r="A343" s="390" t="s">
        <v>466</v>
      </c>
      <c r="B343" t="s">
        <v>674</v>
      </c>
      <c r="C343" s="176"/>
      <c r="D343" s="176"/>
      <c r="E343" s="176"/>
      <c r="F343" s="176"/>
      <c r="G343" s="176"/>
      <c r="H343" s="197"/>
      <c r="I343" s="197"/>
      <c r="J343" s="197"/>
      <c r="K343" s="82">
        <v>1.0825</v>
      </c>
      <c r="L343" s="82">
        <v>1.0825</v>
      </c>
      <c r="M343" s="82">
        <v>1.0825</v>
      </c>
      <c r="N343" s="82">
        <v>1.0825</v>
      </c>
      <c r="O343" s="82">
        <v>1.0825</v>
      </c>
      <c r="P343" s="82">
        <v>1.0825</v>
      </c>
      <c r="Q343" s="82">
        <v>1.0825</v>
      </c>
      <c r="R343" s="82">
        <v>1.0825</v>
      </c>
      <c r="S343" s="82">
        <v>1.0825</v>
      </c>
    </row>
    <row r="344" spans="1:19" x14ac:dyDescent="0.3">
      <c r="A344" s="390"/>
      <c r="B344" t="s">
        <v>447</v>
      </c>
      <c r="C344" s="276"/>
      <c r="D344" s="276"/>
      <c r="E344" s="276"/>
      <c r="F344" s="276"/>
      <c r="G344" s="276"/>
      <c r="H344" s="128"/>
      <c r="I344" s="359"/>
      <c r="J344" s="359"/>
      <c r="K344" s="82">
        <v>1.0825</v>
      </c>
      <c r="L344" s="82">
        <v>1.0825</v>
      </c>
      <c r="M344" s="88">
        <f>M343</f>
        <v>1.0825</v>
      </c>
      <c r="N344" s="88">
        <f>'CC70 - Valores'!I163</f>
        <v>1.0825</v>
      </c>
      <c r="O344" s="88">
        <f>'CC70 - Valores'!N163</f>
        <v>1.0825</v>
      </c>
      <c r="P344" s="88">
        <f>'CC70 - Valores'!W163</f>
        <v>1.0309730000000001</v>
      </c>
      <c r="Q344" s="88">
        <f>'CC70 - Valores'!AH163</f>
        <v>0.92311270000000012</v>
      </c>
      <c r="R344" s="88">
        <f>'CC70 - Valores'!AR163</f>
        <v>0.8620597000000001</v>
      </c>
      <c r="S344" s="88">
        <f>'CC70 - Valores'!BB163</f>
        <v>0.80100670000000007</v>
      </c>
    </row>
    <row r="345" spans="1:19" x14ac:dyDescent="0.3">
      <c r="C345" s="276"/>
      <c r="D345" s="276"/>
      <c r="E345" s="276"/>
      <c r="F345" s="276"/>
      <c r="G345" s="276"/>
      <c r="H345" s="128"/>
      <c r="I345" s="359"/>
      <c r="J345" s="359"/>
    </row>
    <row r="346" spans="1:19" x14ac:dyDescent="0.3">
      <c r="C346" s="289"/>
      <c r="D346" s="289"/>
      <c r="E346" s="289"/>
      <c r="F346" s="289"/>
      <c r="G346" s="289"/>
      <c r="H346" s="290"/>
      <c r="I346" s="290"/>
      <c r="J346" s="290"/>
    </row>
    <row r="347" spans="1:19" x14ac:dyDescent="0.3">
      <c r="C347" s="289"/>
      <c r="D347" s="292"/>
      <c r="E347" s="289"/>
      <c r="F347" s="289"/>
      <c r="G347" s="289"/>
      <c r="H347" s="290"/>
      <c r="I347" s="290"/>
      <c r="J347" s="290"/>
    </row>
    <row r="348" spans="1:19" x14ac:dyDescent="0.3">
      <c r="C348" s="276"/>
      <c r="D348" s="276"/>
      <c r="E348" s="276"/>
      <c r="F348" s="276"/>
      <c r="G348" s="276"/>
      <c r="H348" s="128"/>
      <c r="I348" s="359"/>
      <c r="J348" s="359"/>
    </row>
    <row r="349" spans="1:19" x14ac:dyDescent="0.3">
      <c r="C349" s="289"/>
      <c r="D349" s="289"/>
      <c r="E349" s="289"/>
      <c r="F349" s="289"/>
      <c r="G349" s="289"/>
      <c r="H349" s="290"/>
      <c r="I349" s="290"/>
      <c r="J349" s="290"/>
    </row>
    <row r="350" spans="1:19" x14ac:dyDescent="0.3">
      <c r="C350" s="289"/>
      <c r="D350" s="289"/>
      <c r="E350" s="289"/>
      <c r="F350" s="289"/>
      <c r="G350" s="289"/>
      <c r="H350" s="290"/>
      <c r="I350" s="290"/>
      <c r="J350" s="290"/>
    </row>
    <row r="351" spans="1:19" x14ac:dyDescent="0.3">
      <c r="C351" s="103"/>
      <c r="D351" s="103"/>
      <c r="E351" s="103"/>
      <c r="F351" s="103"/>
      <c r="G351" s="103"/>
      <c r="H351" s="359"/>
      <c r="I351" s="359"/>
      <c r="J351" s="359"/>
    </row>
    <row r="352" spans="1:19" x14ac:dyDescent="0.3">
      <c r="C352" s="276"/>
      <c r="D352" s="276"/>
      <c r="E352" s="276"/>
      <c r="F352" s="276"/>
      <c r="G352" s="276"/>
      <c r="H352" s="128"/>
      <c r="I352" s="359"/>
      <c r="J352" s="359"/>
    </row>
    <row r="353" spans="3:103" x14ac:dyDescent="0.3">
      <c r="C353" s="276"/>
      <c r="D353" s="276"/>
      <c r="E353" s="276"/>
      <c r="F353" s="276"/>
      <c r="G353" s="276"/>
      <c r="H353" s="128"/>
      <c r="I353" s="359"/>
      <c r="J353" s="359"/>
    </row>
    <row r="354" spans="3:103" x14ac:dyDescent="0.3">
      <c r="C354" s="276"/>
      <c r="D354" s="276"/>
      <c r="E354" s="276"/>
      <c r="F354" s="276"/>
      <c r="G354" s="276"/>
      <c r="H354" s="128"/>
      <c r="I354" s="359"/>
      <c r="J354" s="359"/>
    </row>
    <row r="355" spans="3:103" x14ac:dyDescent="0.3">
      <c r="C355" s="289"/>
      <c r="D355" s="289"/>
      <c r="E355" s="289"/>
      <c r="F355" s="289"/>
      <c r="G355" s="289"/>
      <c r="H355" s="290"/>
      <c r="I355" s="290"/>
      <c r="J355" s="290"/>
    </row>
    <row r="356" spans="3:103" x14ac:dyDescent="0.3">
      <c r="C356" s="289"/>
      <c r="D356" s="289"/>
      <c r="E356" s="289"/>
      <c r="F356" s="289"/>
      <c r="G356" s="289"/>
      <c r="H356" s="290"/>
      <c r="I356" s="290"/>
      <c r="J356" s="290"/>
    </row>
    <row r="357" spans="3:103" x14ac:dyDescent="0.3">
      <c r="C357" s="176"/>
      <c r="D357" s="176"/>
      <c r="E357" s="176"/>
      <c r="F357" s="176"/>
      <c r="G357" s="176"/>
      <c r="H357" s="197"/>
      <c r="I357" s="197"/>
      <c r="J357" s="197"/>
    </row>
    <row r="358" spans="3:103" x14ac:dyDescent="0.3">
      <c r="C358" s="103"/>
      <c r="D358" s="103"/>
      <c r="E358" s="103"/>
      <c r="F358" s="103"/>
      <c r="G358" s="103"/>
      <c r="H358" s="359"/>
      <c r="I358" s="359"/>
      <c r="J358" s="359"/>
    </row>
    <row r="359" spans="3:103" ht="25.8" x14ac:dyDescent="0.3">
      <c r="C359" s="104"/>
      <c r="D359" s="103"/>
      <c r="E359" s="103"/>
      <c r="F359" s="103"/>
      <c r="G359" s="103"/>
      <c r="H359" s="359"/>
      <c r="I359" s="359"/>
      <c r="J359" s="359"/>
    </row>
    <row r="360" spans="3:103" x14ac:dyDescent="0.3">
      <c r="H360" s="38"/>
      <c r="I360" s="38"/>
      <c r="J360" s="38"/>
    </row>
    <row r="361" spans="3:103" x14ac:dyDescent="0.3">
      <c r="C361" s="103"/>
      <c r="D361" s="103"/>
      <c r="E361" s="103"/>
      <c r="F361" s="103"/>
      <c r="G361" s="103"/>
      <c r="H361" s="359"/>
      <c r="I361" s="359"/>
      <c r="J361" s="359"/>
    </row>
    <row r="362" spans="3:103" x14ac:dyDescent="0.3">
      <c r="C362" s="276"/>
      <c r="D362" s="276"/>
      <c r="E362" s="276"/>
      <c r="F362" s="276"/>
      <c r="G362" s="276"/>
      <c r="H362" s="128"/>
      <c r="I362" s="359"/>
      <c r="J362" s="359"/>
    </row>
    <row r="363" spans="3:103" x14ac:dyDescent="0.3">
      <c r="C363" s="276"/>
      <c r="D363" s="276"/>
      <c r="E363" s="276"/>
      <c r="F363" s="276"/>
      <c r="G363" s="276"/>
      <c r="H363" s="128"/>
      <c r="I363" s="359"/>
      <c r="J363" s="359"/>
    </row>
    <row r="364" spans="3:103" x14ac:dyDescent="0.3">
      <c r="C364" s="103"/>
      <c r="D364" s="103"/>
      <c r="E364" s="284"/>
      <c r="F364" s="103"/>
      <c r="G364" s="103"/>
      <c r="H364" s="359"/>
      <c r="I364" s="359"/>
      <c r="J364" s="359"/>
    </row>
    <row r="365" spans="3:103" x14ac:dyDescent="0.3">
      <c r="C365" s="103"/>
      <c r="D365" s="103"/>
      <c r="E365" s="277"/>
      <c r="F365" s="277"/>
      <c r="G365" s="277"/>
      <c r="H365" s="359"/>
      <c r="I365" s="359"/>
      <c r="J365" s="359"/>
      <c r="AY365">
        <v>1.8666670000000001</v>
      </c>
      <c r="AZ365">
        <v>1.851925</v>
      </c>
      <c r="BA365">
        <v>1.7874890000000001</v>
      </c>
      <c r="BB365">
        <v>2.3061861528766912</v>
      </c>
      <c r="BC365">
        <v>2.337188808775291</v>
      </c>
      <c r="BD365">
        <v>2.3679270843241786</v>
      </c>
      <c r="BE365">
        <v>2.4035965366285965</v>
      </c>
      <c r="BF365">
        <v>2.4391202126586458</v>
      </c>
      <c r="BG365">
        <v>2.4744626812188253</v>
      </c>
      <c r="BH365">
        <v>2.5096108802184429</v>
      </c>
      <c r="BI365">
        <v>2.5445416590735346</v>
      </c>
      <c r="BJ365">
        <v>2.5792489150741833</v>
      </c>
      <c r="BK365">
        <v>2.6136978762727248</v>
      </c>
      <c r="BL365">
        <v>2.6478709255924282</v>
      </c>
      <c r="BM365">
        <v>2.6817457971144161</v>
      </c>
      <c r="BN365">
        <v>2.7152968540360312</v>
      </c>
      <c r="BO365">
        <v>2.7485100885287781</v>
      </c>
      <c r="BP365">
        <v>2.7813628472906271</v>
      </c>
      <c r="BQ365">
        <v>2.8138405763930758</v>
      </c>
      <c r="BR365">
        <v>2.8459177587921367</v>
      </c>
      <c r="BS365">
        <v>2.8775823577279471</v>
      </c>
      <c r="BT365">
        <v>2.9088144428290148</v>
      </c>
      <c r="BU365">
        <v>2.939599045858583</v>
      </c>
      <c r="BV365">
        <v>2.9699297280263974</v>
      </c>
      <c r="BW365">
        <v>2.999794863676573</v>
      </c>
      <c r="BX365">
        <v>3.0291764986966001</v>
      </c>
      <c r="BY365">
        <v>3.0580680953914685</v>
      </c>
      <c r="BZ365">
        <v>3.0864514908023453</v>
      </c>
      <c r="CA365">
        <v>3.1143193046825091</v>
      </c>
      <c r="CB365">
        <v>3.1416712252273222</v>
      </c>
      <c r="CC365">
        <v>3.1684858302870853</v>
      </c>
      <c r="CD365">
        <v>3.1947646208880962</v>
      </c>
      <c r="CE365">
        <v>3.2205105050156591</v>
      </c>
      <c r="CF365">
        <v>3.2457069608682159</v>
      </c>
      <c r="CG365">
        <v>3.2703377170079255</v>
      </c>
      <c r="CH365">
        <v>3.2943867697340856</v>
      </c>
      <c r="CI365">
        <v>3.3178384002859906</v>
      </c>
      <c r="CJ365">
        <v>3.3406771918496037</v>
      </c>
      <c r="CK365">
        <v>3.3628880463424391</v>
      </c>
      <c r="CL365">
        <v>3.3844562009512797</v>
      </c>
      <c r="CM365">
        <v>3.4053672443975094</v>
      </c>
      <c r="CN365">
        <v>3.4256071329051392</v>
      </c>
      <c r="CO365">
        <v>3.4451622058468798</v>
      </c>
      <c r="CP365">
        <v>3.4640192010439894</v>
      </c>
      <c r="CQ365">
        <v>3.482165269696019</v>
      </c>
      <c r="CR365">
        <v>3.49958799091702</v>
      </c>
      <c r="CS365">
        <v>3.5162753858552906</v>
      </c>
      <c r="CT365">
        <v>3.5322159313742802</v>
      </c>
      <c r="CU365">
        <v>3.5473985732728384</v>
      </c>
      <c r="CV365">
        <v>3.5618127390236616</v>
      </c>
      <c r="CW365">
        <v>3.5754483500094425</v>
      </c>
      <c r="CX365">
        <v>3.5882958332369408</v>
      </c>
      <c r="CY365">
        <v>3.600346132510003</v>
      </c>
    </row>
    <row r="366" spans="3:103" x14ac:dyDescent="0.3">
      <c r="C366" s="103"/>
      <c r="D366" s="103"/>
      <c r="E366" s="103"/>
      <c r="F366" s="103"/>
      <c r="G366" s="103"/>
      <c r="H366" s="359"/>
      <c r="I366" s="359"/>
      <c r="J366" s="359"/>
      <c r="AY366">
        <v>1.8666670000000001</v>
      </c>
      <c r="AZ366">
        <v>1.851925</v>
      </c>
      <c r="BA366">
        <v>1.7874890000000001</v>
      </c>
      <c r="BB366">
        <v>2.3061861528766912</v>
      </c>
      <c r="BC366">
        <v>1.6838930363946238</v>
      </c>
      <c r="BD366">
        <v>1.7060392866047955</v>
      </c>
      <c r="BE366">
        <v>1.7317383410080616</v>
      </c>
      <c r="BF366">
        <v>1.7573323668178478</v>
      </c>
      <c r="BG366">
        <v>1.7827958366385284</v>
      </c>
      <c r="BH366">
        <v>1.8081193395215851</v>
      </c>
      <c r="BI366">
        <v>1.833286195981398</v>
      </c>
      <c r="BJ366">
        <v>1.8582920091499466</v>
      </c>
      <c r="BK366">
        <v>1.8831117266051443</v>
      </c>
      <c r="BL366">
        <v>1.9077326556314014</v>
      </c>
      <c r="BM366">
        <v>1.9321387541248003</v>
      </c>
      <c r="BN366">
        <v>1.956311551333936</v>
      </c>
      <c r="BO366">
        <v>1.9802409549270434</v>
      </c>
      <c r="BP366">
        <v>2.0352782243218233</v>
      </c>
      <c r="BQ366">
        <v>2.0731549230082544</v>
      </c>
      <c r="BR366">
        <v>2.1110274358860419</v>
      </c>
      <c r="BS366">
        <v>2.1488796528234602</v>
      </c>
      <c r="BT366">
        <v>2.1866893176186255</v>
      </c>
      <c r="BU366">
        <v>2.2244375614124836</v>
      </c>
      <c r="BV366">
        <v>2.2621117450983959</v>
      </c>
      <c r="BW366">
        <v>2.2996951568020076</v>
      </c>
      <c r="BX366">
        <v>2.3371660038635818</v>
      </c>
      <c r="BY366">
        <v>2.3745110368528448</v>
      </c>
      <c r="BZ366">
        <v>2.4117078275423771</v>
      </c>
      <c r="CA366">
        <v>2.4487421039203197</v>
      </c>
      <c r="CB366">
        <v>2.4856050771853329</v>
      </c>
      <c r="CC366">
        <v>2.5222711832375557</v>
      </c>
      <c r="CD366">
        <v>2.5587328362874229</v>
      </c>
      <c r="CE366">
        <v>2.5809810615670226</v>
      </c>
      <c r="CF366">
        <v>2.6028135463850739</v>
      </c>
      <c r="CG366">
        <v>2.6242163742061901</v>
      </c>
      <c r="CH366">
        <v>2.6451758118271473</v>
      </c>
      <c r="CI366">
        <v>2.6656783239317194</v>
      </c>
      <c r="CJ366">
        <v>2.6857105875383334</v>
      </c>
      <c r="CK366">
        <v>2.705259506319118</v>
      </c>
      <c r="CL366">
        <v>2.7243122247690366</v>
      </c>
      <c r="CM366">
        <v>2.7428561422037641</v>
      </c>
      <c r="CN366">
        <v>2.7608789265651597</v>
      </c>
      <c r="CO366">
        <v>2.7783685280132895</v>
      </c>
      <c r="CP366">
        <v>2.7953131922841514</v>
      </c>
      <c r="CQ366">
        <v>2.8117014737924935</v>
      </c>
      <c r="CR366">
        <v>2.8275222484593905</v>
      </c>
      <c r="CS366">
        <v>2.8427647262445301</v>
      </c>
      <c r="CT366">
        <v>2.8574184633635609</v>
      </c>
      <c r="CU366">
        <v>2.8714733741711842</v>
      </c>
      <c r="CV366">
        <v>2.8849197426911566</v>
      </c>
      <c r="CW366">
        <v>2.8977482337748044</v>
      </c>
      <c r="CX366">
        <v>2.9099499038701819</v>
      </c>
      <c r="CY366">
        <v>2.9215162113845157</v>
      </c>
    </row>
    <row r="367" spans="3:103" x14ac:dyDescent="0.3">
      <c r="C367" s="276"/>
      <c r="D367" s="276"/>
      <c r="E367" s="276"/>
      <c r="F367" s="276"/>
      <c r="G367" s="276"/>
      <c r="H367" s="128"/>
      <c r="I367" s="359"/>
      <c r="J367" s="359"/>
    </row>
    <row r="368" spans="3:103" x14ac:dyDescent="0.3">
      <c r="C368" s="276"/>
      <c r="D368" s="276"/>
      <c r="E368" s="276"/>
      <c r="F368" s="276"/>
      <c r="G368" s="276"/>
      <c r="H368" s="128"/>
      <c r="I368" s="359"/>
      <c r="J368" s="359"/>
    </row>
    <row r="369" spans="3:10" x14ac:dyDescent="0.3">
      <c r="C369" s="284"/>
      <c r="D369" s="284"/>
      <c r="E369" s="284"/>
      <c r="F369" s="284"/>
      <c r="G369" s="284"/>
      <c r="H369" s="285"/>
      <c r="I369" s="285"/>
      <c r="J369" s="285"/>
    </row>
    <row r="370" spans="3:10" x14ac:dyDescent="0.3">
      <c r="C370" s="284"/>
      <c r="D370" s="284"/>
      <c r="E370" s="284"/>
      <c r="F370" s="284"/>
      <c r="G370" s="284"/>
      <c r="H370" s="285"/>
      <c r="I370" s="285"/>
      <c r="J370" s="285"/>
    </row>
    <row r="371" spans="3:10" x14ac:dyDescent="0.3">
      <c r="C371" s="103"/>
      <c r="D371" s="103"/>
      <c r="E371" s="103"/>
      <c r="F371" s="103"/>
      <c r="G371" s="103"/>
      <c r="H371" s="359"/>
      <c r="I371" s="359"/>
      <c r="J371" s="359"/>
    </row>
    <row r="372" spans="3:10" x14ac:dyDescent="0.3">
      <c r="C372" s="103"/>
      <c r="D372" s="103"/>
      <c r="E372" s="103"/>
      <c r="F372" s="103"/>
      <c r="G372" s="103"/>
      <c r="H372" s="359"/>
      <c r="I372" s="359"/>
      <c r="J372" s="359"/>
    </row>
    <row r="373" spans="3:10" ht="25.8" x14ac:dyDescent="0.3">
      <c r="C373" s="104"/>
      <c r="D373" s="103"/>
      <c r="E373" s="103"/>
      <c r="F373" s="103"/>
      <c r="G373" s="103"/>
      <c r="H373" s="359"/>
      <c r="I373" s="359"/>
      <c r="J373" s="359"/>
    </row>
    <row r="374" spans="3:10" x14ac:dyDescent="0.3">
      <c r="H374" s="38"/>
      <c r="I374" s="38"/>
      <c r="J374" s="38"/>
    </row>
    <row r="375" spans="3:10" x14ac:dyDescent="0.3">
      <c r="C375" s="103"/>
      <c r="D375" s="103"/>
      <c r="E375" s="103"/>
      <c r="F375" s="103"/>
      <c r="G375" s="103"/>
      <c r="H375" s="359"/>
      <c r="I375" s="359"/>
      <c r="J375" s="359"/>
    </row>
    <row r="376" spans="3:10" x14ac:dyDescent="0.3">
      <c r="C376" s="276"/>
      <c r="D376" s="276"/>
      <c r="E376" s="276"/>
      <c r="F376" s="276"/>
      <c r="G376" s="276"/>
      <c r="H376" s="128"/>
      <c r="I376" s="359"/>
      <c r="J376" s="359"/>
    </row>
    <row r="377" spans="3:10" x14ac:dyDescent="0.3">
      <c r="C377" s="276"/>
      <c r="D377" s="276"/>
      <c r="E377" s="276"/>
      <c r="F377" s="276"/>
      <c r="G377" s="276"/>
      <c r="H377" s="128"/>
      <c r="I377" s="359"/>
      <c r="J377" s="359"/>
    </row>
    <row r="378" spans="3:10" x14ac:dyDescent="0.3">
      <c r="C378" s="103"/>
      <c r="D378" s="103"/>
      <c r="E378" s="103"/>
      <c r="F378" s="103"/>
      <c r="G378" s="103"/>
      <c r="H378" s="359"/>
      <c r="I378" s="359"/>
      <c r="J378" s="359"/>
    </row>
    <row r="379" spans="3:10" x14ac:dyDescent="0.3">
      <c r="C379" s="103"/>
      <c r="D379" s="103"/>
      <c r="E379" s="103"/>
      <c r="F379" s="103"/>
      <c r="G379" s="103"/>
      <c r="H379" s="359"/>
      <c r="I379" s="359"/>
      <c r="J379" s="359"/>
    </row>
    <row r="380" spans="3:10" x14ac:dyDescent="0.3">
      <c r="C380" s="103"/>
      <c r="D380" s="103"/>
      <c r="E380" s="103"/>
      <c r="F380" s="103"/>
      <c r="G380" s="103"/>
      <c r="H380" s="359"/>
      <c r="I380" s="359"/>
      <c r="J380" s="359"/>
    </row>
    <row r="381" spans="3:10" x14ac:dyDescent="0.3">
      <c r="C381" s="103"/>
      <c r="D381" s="103"/>
      <c r="E381" s="103"/>
      <c r="F381" s="103"/>
      <c r="G381" s="103"/>
      <c r="H381" s="359"/>
      <c r="I381" s="359"/>
      <c r="J381" s="359"/>
    </row>
    <row r="382" spans="3:10" x14ac:dyDescent="0.3">
      <c r="C382" s="103"/>
      <c r="D382" s="103"/>
      <c r="E382" s="103"/>
      <c r="F382" s="103"/>
      <c r="G382" s="103"/>
      <c r="H382" s="359"/>
      <c r="I382" s="359"/>
      <c r="J382" s="359"/>
    </row>
    <row r="383" spans="3:10" x14ac:dyDescent="0.3">
      <c r="C383" s="103"/>
      <c r="D383" s="103"/>
      <c r="E383" s="103"/>
      <c r="F383" s="103"/>
      <c r="G383" s="103"/>
      <c r="H383" s="359"/>
      <c r="I383" s="359"/>
      <c r="J383" s="359"/>
    </row>
    <row r="384" spans="3:10" x14ac:dyDescent="0.3">
      <c r="C384" s="103"/>
      <c r="D384" s="103"/>
      <c r="E384" s="103"/>
      <c r="F384" s="103"/>
      <c r="G384" s="103"/>
      <c r="H384" s="359"/>
      <c r="I384" s="359"/>
      <c r="J384" s="359"/>
    </row>
    <row r="385" spans="3:10" x14ac:dyDescent="0.3">
      <c r="C385" s="103"/>
      <c r="D385" s="103"/>
      <c r="E385" s="103"/>
      <c r="F385" s="103"/>
      <c r="G385" s="103"/>
      <c r="H385" s="359"/>
      <c r="I385" s="359"/>
      <c r="J385" s="359"/>
    </row>
    <row r="386" spans="3:10" x14ac:dyDescent="0.3">
      <c r="C386" s="103"/>
      <c r="D386" s="103"/>
      <c r="E386" s="103"/>
      <c r="F386" s="103"/>
      <c r="G386" s="103"/>
      <c r="H386" s="359"/>
      <c r="I386" s="359"/>
      <c r="J386" s="359"/>
    </row>
    <row r="387" spans="3:10" x14ac:dyDescent="0.3">
      <c r="C387" s="276"/>
      <c r="D387" s="276"/>
      <c r="E387" s="276"/>
      <c r="F387" s="276"/>
      <c r="G387" s="276"/>
      <c r="H387" s="128"/>
      <c r="I387" s="359"/>
      <c r="J387" s="359"/>
    </row>
    <row r="388" spans="3:10" x14ac:dyDescent="0.3">
      <c r="C388" s="276"/>
      <c r="D388" s="276"/>
      <c r="E388" s="276"/>
      <c r="F388" s="276"/>
      <c r="G388" s="276"/>
      <c r="H388" s="128"/>
      <c r="I388" s="359"/>
      <c r="J388" s="359"/>
    </row>
    <row r="389" spans="3:10" x14ac:dyDescent="0.3">
      <c r="C389" s="286"/>
      <c r="D389" s="286"/>
      <c r="E389" s="286"/>
      <c r="F389" s="286"/>
      <c r="G389" s="286"/>
      <c r="H389" s="287"/>
      <c r="I389" s="287"/>
      <c r="J389" s="287"/>
    </row>
    <row r="390" spans="3:10" x14ac:dyDescent="0.3">
      <c r="C390" s="289"/>
      <c r="D390" s="289"/>
      <c r="E390" s="289"/>
      <c r="F390" s="289"/>
      <c r="G390" s="289"/>
      <c r="H390" s="290"/>
      <c r="I390" s="290"/>
      <c r="J390" s="290"/>
    </row>
    <row r="391" spans="3:10" x14ac:dyDescent="0.3">
      <c r="C391" s="289"/>
      <c r="D391" s="289"/>
      <c r="E391" s="289"/>
      <c r="F391" s="289"/>
      <c r="G391" s="289"/>
      <c r="H391" s="290"/>
      <c r="I391" s="290"/>
      <c r="J391" s="290"/>
    </row>
    <row r="392" spans="3:10" x14ac:dyDescent="0.3">
      <c r="C392" s="278"/>
      <c r="D392" s="278"/>
      <c r="E392" s="278"/>
      <c r="F392" s="278"/>
      <c r="G392" s="278"/>
      <c r="H392" s="279"/>
      <c r="I392" s="279"/>
      <c r="J392" s="279"/>
    </row>
    <row r="393" spans="3:10" x14ac:dyDescent="0.3">
      <c r="C393" s="289"/>
      <c r="D393" s="289"/>
      <c r="E393" s="289"/>
      <c r="F393" s="289"/>
      <c r="G393" s="289"/>
      <c r="H393" s="290"/>
      <c r="I393" s="290"/>
      <c r="J393" s="290"/>
    </row>
    <row r="394" spans="3:10" x14ac:dyDescent="0.3">
      <c r="C394" s="286"/>
      <c r="D394" s="286"/>
      <c r="E394" s="286"/>
      <c r="F394" s="286"/>
      <c r="G394" s="286"/>
      <c r="H394" s="287"/>
      <c r="I394" s="287"/>
      <c r="J394" s="287"/>
    </row>
    <row r="395" spans="3:10" x14ac:dyDescent="0.3">
      <c r="C395" s="103"/>
      <c r="D395" s="103"/>
      <c r="E395" s="103"/>
      <c r="F395" s="103"/>
      <c r="G395" s="103"/>
      <c r="H395" s="359"/>
      <c r="I395" s="359"/>
      <c r="J395" s="359"/>
    </row>
    <row r="396" spans="3:10" x14ac:dyDescent="0.3">
      <c r="C396" s="276"/>
      <c r="D396" s="276"/>
      <c r="E396" s="276"/>
      <c r="F396" s="276"/>
      <c r="G396" s="276"/>
      <c r="H396" s="128"/>
      <c r="I396" s="359"/>
      <c r="J396" s="359"/>
    </row>
    <row r="397" spans="3:10" x14ac:dyDescent="0.3">
      <c r="C397" s="276"/>
      <c r="D397" s="276"/>
      <c r="E397" s="276"/>
      <c r="F397" s="276"/>
      <c r="G397" s="276"/>
      <c r="H397" s="128"/>
      <c r="I397" s="359"/>
      <c r="J397" s="359"/>
    </row>
    <row r="398" spans="3:10" x14ac:dyDescent="0.3">
      <c r="C398" s="286"/>
      <c r="D398" s="286"/>
      <c r="E398" s="286"/>
      <c r="F398" s="286"/>
      <c r="G398" s="286"/>
      <c r="H398" s="287"/>
      <c r="I398" s="287"/>
      <c r="J398" s="287"/>
    </row>
    <row r="399" spans="3:10" x14ac:dyDescent="0.3">
      <c r="C399" s="289"/>
      <c r="D399" s="289"/>
      <c r="E399" s="289"/>
      <c r="F399" s="289"/>
      <c r="G399" s="289"/>
      <c r="H399" s="290"/>
      <c r="I399" s="290"/>
      <c r="J399" s="290"/>
    </row>
    <row r="400" spans="3:10" x14ac:dyDescent="0.3">
      <c r="C400" s="289"/>
      <c r="D400" s="289"/>
      <c r="E400" s="289"/>
      <c r="F400" s="289"/>
      <c r="G400" s="289"/>
      <c r="H400" s="290"/>
      <c r="I400" s="290"/>
      <c r="J400" s="290"/>
    </row>
    <row r="401" spans="3:10" x14ac:dyDescent="0.3">
      <c r="C401" s="103"/>
      <c r="D401" s="103"/>
      <c r="E401" s="103"/>
      <c r="F401" s="103"/>
      <c r="G401" s="103"/>
      <c r="H401" s="359"/>
      <c r="I401" s="359"/>
      <c r="J401" s="359"/>
    </row>
    <row r="402" spans="3:10" x14ac:dyDescent="0.3">
      <c r="C402" s="103"/>
      <c r="D402" s="103"/>
      <c r="E402" s="103"/>
      <c r="F402" s="103"/>
      <c r="G402" s="103"/>
      <c r="H402" s="359"/>
      <c r="I402" s="359"/>
      <c r="J402" s="359"/>
    </row>
    <row r="403" spans="3:10" ht="25.8" x14ac:dyDescent="0.3">
      <c r="C403" s="104"/>
      <c r="D403" s="103"/>
      <c r="E403" s="103"/>
      <c r="F403" s="103"/>
      <c r="G403" s="103"/>
      <c r="H403" s="359"/>
      <c r="I403" s="359"/>
      <c r="J403" s="359"/>
    </row>
    <row r="404" spans="3:10" x14ac:dyDescent="0.3">
      <c r="C404" s="103"/>
      <c r="D404" s="103"/>
      <c r="E404" s="103"/>
      <c r="F404" s="103"/>
      <c r="G404" s="103"/>
      <c r="H404" s="359"/>
      <c r="I404" s="359"/>
      <c r="J404" s="359"/>
    </row>
    <row r="405" spans="3:10" x14ac:dyDescent="0.3">
      <c r="C405" s="103"/>
      <c r="D405" s="103"/>
      <c r="E405" s="103"/>
      <c r="F405" s="103"/>
      <c r="G405" s="103"/>
      <c r="H405" s="359"/>
      <c r="I405" s="359"/>
      <c r="J405" s="359"/>
    </row>
    <row r="406" spans="3:10" x14ac:dyDescent="0.3">
      <c r="C406" s="103"/>
      <c r="D406" s="103"/>
      <c r="E406" s="103"/>
      <c r="F406" s="103"/>
      <c r="G406" s="103"/>
      <c r="H406" s="359"/>
      <c r="I406" s="359"/>
      <c r="J406" s="359"/>
    </row>
    <row r="407" spans="3:10" x14ac:dyDescent="0.3">
      <c r="C407" s="103"/>
      <c r="D407" s="103"/>
      <c r="E407" s="103"/>
      <c r="F407" s="103"/>
      <c r="G407" s="103"/>
      <c r="H407" s="359"/>
      <c r="I407" s="359"/>
      <c r="J407" s="359"/>
    </row>
    <row r="408" spans="3:10" x14ac:dyDescent="0.3">
      <c r="C408" s="103"/>
      <c r="D408" s="103"/>
      <c r="E408" s="103"/>
      <c r="F408" s="103"/>
      <c r="G408" s="103"/>
      <c r="H408" s="359"/>
      <c r="I408" s="359"/>
      <c r="J408" s="359"/>
    </row>
    <row r="409" spans="3:10" x14ac:dyDescent="0.3">
      <c r="C409" s="103"/>
      <c r="D409" s="103"/>
      <c r="E409" s="103"/>
      <c r="F409" s="103"/>
      <c r="G409" s="103"/>
      <c r="H409" s="359"/>
      <c r="I409" s="359"/>
      <c r="J409" s="359"/>
    </row>
    <row r="410" spans="3:10" x14ac:dyDescent="0.3">
      <c r="C410" s="103"/>
      <c r="D410" s="103"/>
      <c r="E410" s="103"/>
      <c r="F410" s="103"/>
      <c r="G410" s="103"/>
      <c r="H410" s="359"/>
      <c r="I410" s="359"/>
      <c r="J410" s="359"/>
    </row>
    <row r="411" spans="3:10" x14ac:dyDescent="0.3">
      <c r="C411" s="103"/>
      <c r="D411" s="103"/>
      <c r="E411" s="103"/>
      <c r="F411" s="103"/>
      <c r="G411" s="103"/>
      <c r="H411" s="359"/>
      <c r="I411" s="359"/>
      <c r="J411" s="359"/>
    </row>
    <row r="412" spans="3:10" x14ac:dyDescent="0.3">
      <c r="C412" s="103"/>
      <c r="D412" s="103"/>
      <c r="E412" s="103"/>
      <c r="F412" s="103"/>
      <c r="G412" s="103"/>
      <c r="H412" s="359"/>
      <c r="I412" s="359"/>
      <c r="J412" s="359"/>
    </row>
    <row r="413" spans="3:10" x14ac:dyDescent="0.3">
      <c r="C413" s="103"/>
      <c r="D413" s="103"/>
      <c r="E413" s="103"/>
      <c r="F413" s="103"/>
      <c r="G413" s="103"/>
      <c r="H413" s="359"/>
      <c r="I413" s="359"/>
      <c r="J413" s="359"/>
    </row>
    <row r="414" spans="3:10" x14ac:dyDescent="0.3">
      <c r="C414" s="103"/>
      <c r="D414" s="103"/>
      <c r="E414" s="103"/>
      <c r="F414" s="103"/>
      <c r="G414" s="103"/>
      <c r="H414" s="359"/>
      <c r="I414" s="359"/>
      <c r="J414" s="359"/>
    </row>
    <row r="415" spans="3:10" x14ac:dyDescent="0.3">
      <c r="C415" s="103"/>
      <c r="D415" s="103"/>
      <c r="E415" s="103"/>
      <c r="F415" s="103"/>
      <c r="G415" s="103"/>
      <c r="H415" s="359"/>
      <c r="I415" s="359"/>
      <c r="J415" s="359"/>
    </row>
    <row r="416" spans="3:10" x14ac:dyDescent="0.3">
      <c r="C416" s="103"/>
      <c r="D416" s="103"/>
      <c r="E416" s="103"/>
      <c r="F416" s="103"/>
      <c r="G416" s="103"/>
      <c r="H416" s="359"/>
      <c r="I416" s="359"/>
      <c r="J416" s="359"/>
    </row>
    <row r="417" spans="3:10" x14ac:dyDescent="0.3">
      <c r="C417" s="103"/>
      <c r="D417" s="103"/>
      <c r="E417" s="103"/>
      <c r="F417" s="103"/>
      <c r="G417" s="103"/>
      <c r="H417" s="359"/>
      <c r="I417" s="359"/>
      <c r="J417" s="359"/>
    </row>
    <row r="418" spans="3:10" x14ac:dyDescent="0.3">
      <c r="C418" s="103"/>
      <c r="D418" s="103"/>
      <c r="E418" s="103"/>
      <c r="F418" s="103"/>
      <c r="G418" s="103"/>
      <c r="H418" s="359"/>
      <c r="I418" s="359"/>
      <c r="J418" s="359"/>
    </row>
    <row r="419" spans="3:10" x14ac:dyDescent="0.3">
      <c r="C419" s="103"/>
      <c r="D419" s="103"/>
      <c r="E419" s="103"/>
      <c r="F419" s="103"/>
      <c r="G419" s="103"/>
      <c r="H419" s="359"/>
      <c r="I419" s="359"/>
      <c r="J419" s="359"/>
    </row>
    <row r="420" spans="3:10" x14ac:dyDescent="0.3">
      <c r="C420" s="103"/>
      <c r="D420" s="103"/>
      <c r="E420" s="103"/>
      <c r="F420" s="103"/>
      <c r="G420" s="103"/>
      <c r="H420" s="359"/>
      <c r="I420" s="359"/>
      <c r="J420" s="359"/>
    </row>
    <row r="421" spans="3:10" x14ac:dyDescent="0.3">
      <c r="C421" s="103"/>
      <c r="D421" s="103"/>
      <c r="E421" s="103"/>
      <c r="F421" s="103"/>
      <c r="G421" s="103"/>
      <c r="H421" s="359"/>
      <c r="I421" s="359"/>
      <c r="J421" s="359"/>
    </row>
    <row r="422" spans="3:10" x14ac:dyDescent="0.3">
      <c r="C422" s="103"/>
      <c r="D422" s="103"/>
      <c r="E422" s="103"/>
      <c r="F422" s="103"/>
      <c r="G422" s="103"/>
      <c r="H422" s="359"/>
      <c r="I422" s="359"/>
      <c r="J422" s="359"/>
    </row>
    <row r="423" spans="3:10" x14ac:dyDescent="0.3">
      <c r="C423" s="103"/>
      <c r="D423" s="103"/>
      <c r="E423" s="103"/>
      <c r="F423" s="103"/>
      <c r="G423" s="103"/>
      <c r="H423" s="359"/>
      <c r="I423" s="359"/>
      <c r="J423" s="359"/>
    </row>
    <row r="424" spans="3:10" x14ac:dyDescent="0.3">
      <c r="C424" s="103"/>
      <c r="D424" s="103"/>
      <c r="E424" s="103"/>
      <c r="F424" s="103"/>
      <c r="G424" s="103"/>
      <c r="H424" s="359"/>
      <c r="I424" s="359"/>
      <c r="J424" s="359"/>
    </row>
    <row r="425" spans="3:10" x14ac:dyDescent="0.3">
      <c r="C425" s="103"/>
      <c r="D425" s="103"/>
      <c r="E425" s="103"/>
      <c r="F425" s="103"/>
      <c r="G425" s="103"/>
      <c r="H425" s="359"/>
      <c r="I425" s="359"/>
      <c r="J425" s="359"/>
    </row>
    <row r="426" spans="3:10" x14ac:dyDescent="0.3">
      <c r="C426" s="103"/>
      <c r="D426" s="103"/>
      <c r="E426" s="103"/>
      <c r="F426" s="103"/>
      <c r="G426" s="103"/>
      <c r="H426" s="359"/>
      <c r="I426" s="359"/>
      <c r="J426" s="359"/>
    </row>
    <row r="427" spans="3:10" x14ac:dyDescent="0.3">
      <c r="C427" s="103"/>
      <c r="D427" s="103"/>
      <c r="E427" s="103"/>
      <c r="F427" s="103"/>
      <c r="G427" s="103"/>
      <c r="H427" s="359"/>
      <c r="I427" s="359"/>
      <c r="J427" s="359"/>
    </row>
    <row r="428" spans="3:10" x14ac:dyDescent="0.3">
      <c r="C428" s="103"/>
      <c r="D428" s="103"/>
      <c r="E428" s="103"/>
      <c r="F428" s="103"/>
      <c r="G428" s="103"/>
      <c r="H428" s="359"/>
      <c r="I428" s="359"/>
      <c r="J428" s="359"/>
    </row>
    <row r="429" spans="3:10" x14ac:dyDescent="0.3">
      <c r="C429" s="103"/>
      <c r="D429" s="103"/>
      <c r="E429" s="103"/>
      <c r="F429" s="103"/>
      <c r="G429" s="103"/>
      <c r="H429" s="359"/>
      <c r="I429" s="359"/>
      <c r="J429" s="359"/>
    </row>
    <row r="430" spans="3:10" x14ac:dyDescent="0.3">
      <c r="C430" s="103"/>
      <c r="D430" s="103"/>
      <c r="E430" s="103"/>
      <c r="F430" s="103"/>
      <c r="G430" s="103"/>
      <c r="H430" s="359"/>
      <c r="I430" s="359"/>
      <c r="J430" s="359"/>
    </row>
    <row r="431" spans="3:10" x14ac:dyDescent="0.3">
      <c r="C431" s="103"/>
      <c r="D431" s="103"/>
      <c r="E431" s="103"/>
      <c r="F431" s="103"/>
      <c r="G431" s="103"/>
      <c r="H431" s="359"/>
      <c r="I431" s="359"/>
      <c r="J431" s="359"/>
    </row>
    <row r="432" spans="3:10" x14ac:dyDescent="0.3">
      <c r="C432" s="103"/>
      <c r="D432" s="103"/>
      <c r="E432" s="103"/>
      <c r="F432" s="103"/>
      <c r="G432" s="103"/>
      <c r="H432" s="359"/>
      <c r="I432" s="359"/>
      <c r="J432" s="359"/>
    </row>
    <row r="433" spans="3:10" x14ac:dyDescent="0.3">
      <c r="C433" s="103"/>
      <c r="D433" s="103"/>
      <c r="E433" s="103"/>
      <c r="F433" s="103"/>
      <c r="G433" s="103"/>
      <c r="H433" s="359"/>
      <c r="I433" s="359"/>
      <c r="J433" s="359"/>
    </row>
    <row r="434" spans="3:10" x14ac:dyDescent="0.3">
      <c r="C434" s="103"/>
      <c r="D434" s="103"/>
      <c r="E434" s="103"/>
      <c r="F434" s="103"/>
      <c r="G434" s="103"/>
      <c r="H434" s="359"/>
      <c r="I434" s="359"/>
      <c r="J434" s="359"/>
    </row>
    <row r="435" spans="3:10" x14ac:dyDescent="0.3">
      <c r="C435" s="103"/>
      <c r="D435" s="103"/>
      <c r="E435" s="103"/>
      <c r="F435" s="103"/>
      <c r="G435" s="103"/>
      <c r="H435" s="359"/>
      <c r="I435" s="359"/>
      <c r="J435" s="359"/>
    </row>
    <row r="436" spans="3:10" x14ac:dyDescent="0.3">
      <c r="C436" s="103"/>
      <c r="D436" s="103"/>
      <c r="E436" s="103"/>
      <c r="F436" s="103"/>
      <c r="G436" s="103"/>
      <c r="H436" s="359"/>
      <c r="I436" s="359"/>
      <c r="J436" s="359"/>
    </row>
    <row r="437" spans="3:10" x14ac:dyDescent="0.3">
      <c r="C437" s="103"/>
      <c r="D437" s="103"/>
      <c r="E437" s="103"/>
      <c r="F437" s="103"/>
      <c r="G437" s="103"/>
      <c r="H437" s="359"/>
      <c r="I437" s="359"/>
      <c r="J437" s="359"/>
    </row>
    <row r="438" spans="3:10" x14ac:dyDescent="0.3">
      <c r="C438" s="103"/>
      <c r="D438" s="103"/>
      <c r="E438" s="103"/>
      <c r="F438" s="103"/>
      <c r="G438" s="103"/>
      <c r="H438" s="359"/>
      <c r="I438" s="359"/>
      <c r="J438" s="359"/>
    </row>
    <row r="439" spans="3:10" x14ac:dyDescent="0.3">
      <c r="C439" s="103"/>
      <c r="D439" s="103"/>
      <c r="E439" s="103"/>
      <c r="F439" s="103"/>
      <c r="G439" s="103"/>
      <c r="H439" s="359"/>
      <c r="I439" s="359"/>
      <c r="J439" s="359"/>
    </row>
    <row r="440" spans="3:10" x14ac:dyDescent="0.3">
      <c r="C440" s="103"/>
      <c r="D440" s="103"/>
      <c r="E440" s="103"/>
      <c r="F440" s="103"/>
      <c r="G440" s="103"/>
      <c r="H440" s="359"/>
      <c r="I440" s="359"/>
      <c r="J440" s="359"/>
    </row>
    <row r="441" spans="3:10" x14ac:dyDescent="0.3">
      <c r="C441" s="103"/>
      <c r="D441" s="103"/>
      <c r="E441" s="103"/>
      <c r="F441" s="103"/>
      <c r="G441" s="103"/>
      <c r="H441" s="359"/>
      <c r="I441" s="359"/>
      <c r="J441" s="359"/>
    </row>
    <row r="442" spans="3:10" x14ac:dyDescent="0.3">
      <c r="C442" s="103"/>
      <c r="D442" s="103"/>
      <c r="E442" s="103"/>
      <c r="F442" s="103"/>
      <c r="G442" s="103"/>
      <c r="H442" s="359"/>
      <c r="I442" s="359"/>
      <c r="J442" s="359"/>
    </row>
    <row r="443" spans="3:10" x14ac:dyDescent="0.3">
      <c r="C443" s="103"/>
      <c r="D443" s="103"/>
      <c r="E443" s="103"/>
      <c r="F443" s="103"/>
      <c r="G443" s="103"/>
      <c r="H443" s="359"/>
      <c r="I443" s="359"/>
      <c r="J443" s="359"/>
    </row>
    <row r="444" spans="3:10" x14ac:dyDescent="0.3">
      <c r="C444" s="103"/>
      <c r="D444" s="103"/>
      <c r="E444" s="103"/>
      <c r="F444" s="103"/>
      <c r="G444" s="103"/>
      <c r="H444" s="359"/>
      <c r="I444" s="359"/>
      <c r="J444" s="359"/>
    </row>
    <row r="445" spans="3:10" x14ac:dyDescent="0.3">
      <c r="C445" s="103"/>
      <c r="D445" s="103"/>
      <c r="E445" s="103"/>
      <c r="F445" s="103"/>
      <c r="G445" s="103"/>
      <c r="H445" s="359"/>
      <c r="I445" s="359"/>
      <c r="J445" s="359"/>
    </row>
    <row r="446" spans="3:10" x14ac:dyDescent="0.3">
      <c r="C446" s="103"/>
      <c r="D446" s="103"/>
      <c r="E446" s="103"/>
      <c r="F446" s="103"/>
      <c r="G446" s="103"/>
      <c r="H446" s="359"/>
      <c r="I446" s="359"/>
      <c r="J446" s="359"/>
    </row>
    <row r="447" spans="3:10" x14ac:dyDescent="0.3">
      <c r="C447" s="103"/>
      <c r="D447" s="103"/>
      <c r="E447" s="103"/>
      <c r="F447" s="103"/>
      <c r="G447" s="103"/>
      <c r="H447" s="359"/>
      <c r="I447" s="359"/>
      <c r="J447" s="359"/>
    </row>
    <row r="448" spans="3:10" x14ac:dyDescent="0.3">
      <c r="C448" s="103"/>
      <c r="D448" s="103"/>
      <c r="E448" s="103"/>
      <c r="F448" s="103"/>
      <c r="G448" s="103"/>
      <c r="H448" s="359"/>
      <c r="I448" s="359"/>
      <c r="J448" s="359"/>
    </row>
    <row r="449" spans="3:10" x14ac:dyDescent="0.3">
      <c r="C449" s="103"/>
      <c r="D449" s="103"/>
      <c r="E449" s="103"/>
      <c r="F449" s="103"/>
      <c r="G449" s="103"/>
      <c r="H449" s="359"/>
      <c r="I449" s="359"/>
      <c r="J449" s="359"/>
    </row>
    <row r="450" spans="3:10" x14ac:dyDescent="0.3">
      <c r="C450" s="103"/>
      <c r="D450" s="103"/>
      <c r="E450" s="103"/>
      <c r="F450" s="103"/>
      <c r="G450" s="103"/>
      <c r="H450" s="359"/>
      <c r="I450" s="359"/>
      <c r="J450" s="359"/>
    </row>
    <row r="451" spans="3:10" x14ac:dyDescent="0.3">
      <c r="C451" s="103"/>
      <c r="D451" s="103"/>
      <c r="E451" s="103"/>
      <c r="F451" s="103"/>
      <c r="G451" s="103"/>
      <c r="H451" s="359"/>
      <c r="I451" s="359"/>
      <c r="J451" s="359"/>
    </row>
    <row r="452" spans="3:10" x14ac:dyDescent="0.3">
      <c r="C452" s="103"/>
      <c r="D452" s="103"/>
      <c r="E452" s="103"/>
      <c r="F452" s="103"/>
      <c r="G452" s="103"/>
      <c r="H452" s="359"/>
      <c r="I452" s="359"/>
      <c r="J452" s="359"/>
    </row>
    <row r="453" spans="3:10" x14ac:dyDescent="0.3">
      <c r="C453" s="103"/>
      <c r="D453" s="103"/>
      <c r="E453" s="103"/>
      <c r="F453" s="103"/>
      <c r="G453" s="103"/>
      <c r="H453" s="359"/>
      <c r="I453" s="359"/>
      <c r="J453" s="359"/>
    </row>
    <row r="454" spans="3:10" x14ac:dyDescent="0.3">
      <c r="C454" s="103"/>
      <c r="D454" s="103"/>
      <c r="E454" s="103"/>
      <c r="F454" s="103"/>
      <c r="G454" s="103"/>
      <c r="H454" s="359"/>
      <c r="I454" s="359"/>
      <c r="J454" s="359"/>
    </row>
    <row r="455" spans="3:10" x14ac:dyDescent="0.3">
      <c r="C455" s="103"/>
      <c r="D455" s="103"/>
      <c r="E455" s="103"/>
      <c r="F455" s="103"/>
      <c r="G455" s="103"/>
      <c r="H455" s="359"/>
      <c r="I455" s="359"/>
      <c r="J455" s="359"/>
    </row>
    <row r="456" spans="3:10" x14ac:dyDescent="0.3">
      <c r="C456" s="103"/>
      <c r="D456" s="103"/>
      <c r="E456" s="103"/>
      <c r="F456" s="103"/>
      <c r="G456" s="103"/>
      <c r="H456" s="359"/>
      <c r="I456" s="359"/>
      <c r="J456" s="359"/>
    </row>
    <row r="457" spans="3:10" x14ac:dyDescent="0.3">
      <c r="C457" s="103"/>
      <c r="D457" s="103"/>
      <c r="E457" s="103"/>
      <c r="F457" s="103"/>
      <c r="G457" s="103"/>
      <c r="H457" s="359"/>
      <c r="I457" s="359"/>
      <c r="J457" s="359"/>
    </row>
    <row r="458" spans="3:10" x14ac:dyDescent="0.3">
      <c r="C458" s="103"/>
      <c r="D458" s="103"/>
      <c r="E458" s="103"/>
      <c r="F458" s="103"/>
      <c r="G458" s="103"/>
      <c r="H458" s="359"/>
      <c r="I458" s="359"/>
      <c r="J458" s="359"/>
    </row>
    <row r="459" spans="3:10" x14ac:dyDescent="0.3">
      <c r="C459" s="103"/>
      <c r="D459" s="103"/>
      <c r="E459" s="103"/>
      <c r="F459" s="103"/>
      <c r="G459" s="103"/>
      <c r="H459" s="359"/>
      <c r="I459" s="359"/>
      <c r="J459" s="359"/>
    </row>
    <row r="460" spans="3:10" x14ac:dyDescent="0.3">
      <c r="C460" s="103"/>
      <c r="D460" s="103"/>
      <c r="E460" s="103"/>
      <c r="F460" s="103"/>
      <c r="G460" s="103"/>
      <c r="H460" s="359"/>
      <c r="I460" s="359"/>
      <c r="J460" s="359"/>
    </row>
    <row r="461" spans="3:10" x14ac:dyDescent="0.3">
      <c r="C461" s="103"/>
      <c r="D461" s="103"/>
      <c r="E461" s="103"/>
      <c r="F461" s="103"/>
      <c r="G461" s="103"/>
      <c r="H461" s="359"/>
      <c r="I461" s="359"/>
      <c r="J461" s="359"/>
    </row>
    <row r="462" spans="3:10" x14ac:dyDescent="0.3">
      <c r="C462" s="103"/>
      <c r="D462" s="103"/>
      <c r="E462" s="103"/>
      <c r="F462" s="103"/>
      <c r="G462" s="103"/>
      <c r="H462" s="359"/>
      <c r="I462" s="359"/>
      <c r="J462" s="359"/>
    </row>
    <row r="463" spans="3:10" x14ac:dyDescent="0.3">
      <c r="C463" s="103"/>
      <c r="D463" s="103"/>
      <c r="E463" s="103"/>
      <c r="F463" s="103"/>
      <c r="G463" s="103"/>
      <c r="H463" s="359"/>
      <c r="I463" s="359"/>
      <c r="J463" s="359"/>
    </row>
    <row r="464" spans="3:10" x14ac:dyDescent="0.3">
      <c r="C464" s="103"/>
      <c r="D464" s="103"/>
      <c r="E464" s="103"/>
      <c r="F464" s="103"/>
      <c r="G464" s="103"/>
      <c r="H464" s="359"/>
      <c r="I464" s="359"/>
      <c r="J464" s="359"/>
    </row>
    <row r="465" spans="3:10" x14ac:dyDescent="0.3">
      <c r="C465" s="103"/>
      <c r="D465" s="103"/>
      <c r="E465" s="103"/>
      <c r="F465" s="103"/>
      <c r="G465" s="103"/>
      <c r="H465" s="359"/>
      <c r="I465" s="359"/>
      <c r="J465" s="359"/>
    </row>
    <row r="466" spans="3:10" x14ac:dyDescent="0.3">
      <c r="C466" s="103"/>
      <c r="D466" s="103"/>
      <c r="E466" s="103"/>
      <c r="F466" s="103"/>
      <c r="G466" s="103"/>
      <c r="H466" s="359"/>
      <c r="I466" s="359"/>
      <c r="J466" s="359"/>
    </row>
    <row r="467" spans="3:10" x14ac:dyDescent="0.3">
      <c r="C467" s="103"/>
      <c r="D467" s="103"/>
      <c r="E467" s="103"/>
      <c r="F467" s="103"/>
      <c r="G467" s="103"/>
      <c r="H467" s="359"/>
      <c r="I467" s="359"/>
      <c r="J467" s="359"/>
    </row>
  </sheetData>
  <mergeCells count="24">
    <mergeCell ref="A197:A211"/>
    <mergeCell ref="A181:A195"/>
    <mergeCell ref="A221:A235"/>
    <mergeCell ref="A237:A251"/>
    <mergeCell ref="A268:A269"/>
    <mergeCell ref="A271:A272"/>
    <mergeCell ref="A276:A278"/>
    <mergeCell ref="A340:A341"/>
    <mergeCell ref="A343:A344"/>
    <mergeCell ref="A260:A261"/>
    <mergeCell ref="A263:A264"/>
    <mergeCell ref="A332:A333"/>
    <mergeCell ref="A335:A336"/>
    <mergeCell ref="A280:A282"/>
    <mergeCell ref="A165:A179"/>
    <mergeCell ref="A3:A17"/>
    <mergeCell ref="A19:A33"/>
    <mergeCell ref="A40:A54"/>
    <mergeCell ref="A56:A70"/>
    <mergeCell ref="A149:A163"/>
    <mergeCell ref="A74:A88"/>
    <mergeCell ref="A90:A104"/>
    <mergeCell ref="A111:A125"/>
    <mergeCell ref="A127:A141"/>
  </mergeCells>
  <conditionalFormatting sqref="C240:J253">
    <cfRule type="cellIs" dxfId="6" priority="4" operator="lessThan">
      <formula>0</formula>
    </cfRule>
  </conditionalFormatting>
  <conditionalFormatting sqref="C240:J253">
    <cfRule type="cellIs" dxfId="5" priority="3" operator="lessThan">
      <formula>0</formula>
    </cfRule>
  </conditionalFormatting>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3F993-67AA-43ED-B3BD-D11C3296842B}">
  <sheetPr>
    <tabColor rgb="FF92D050"/>
  </sheetPr>
  <dimension ref="A1:AG52"/>
  <sheetViews>
    <sheetView zoomScale="70" zoomScaleNormal="70" workbookViewId="0">
      <pane xSplit="3" ySplit="1" topLeftCell="D2" activePane="bottomRight" state="frozen"/>
      <selection pane="topRight" activeCell="D1" sqref="D1"/>
      <selection pane="bottomLeft" activeCell="A2" sqref="A2"/>
      <selection pane="bottomRight" activeCell="D45" sqref="D45"/>
    </sheetView>
  </sheetViews>
  <sheetFormatPr baseColWidth="10" defaultColWidth="11.44140625" defaultRowHeight="14.4" x14ac:dyDescent="0.3"/>
  <cols>
    <col min="1" max="1" width="4" customWidth="1"/>
    <col min="2" max="2" width="4.109375" customWidth="1"/>
    <col min="3" max="3" width="35.109375" bestFit="1" customWidth="1"/>
    <col min="6" max="6" width="12.5546875" customWidth="1"/>
    <col min="17" max="17" width="22.6640625" style="308" customWidth="1"/>
    <col min="18" max="18" width="21.5546875" customWidth="1"/>
    <col min="30" max="30" width="24.88671875" customWidth="1"/>
    <col min="31" max="31" width="20" customWidth="1"/>
    <col min="32" max="32" width="14.5546875" bestFit="1" customWidth="1"/>
    <col min="33" max="33" width="14.44140625" bestFit="1" customWidth="1"/>
  </cols>
  <sheetData>
    <row r="1" spans="1:19" x14ac:dyDescent="0.3">
      <c r="A1" t="s">
        <v>467</v>
      </c>
      <c r="D1" s="304">
        <v>2010</v>
      </c>
      <c r="E1" s="304">
        <f>D1+1</f>
        <v>2011</v>
      </c>
      <c r="F1" s="304">
        <f t="shared" ref="F1:O1" si="0">E1+1</f>
        <v>2012</v>
      </c>
      <c r="G1" s="304">
        <f t="shared" si="0"/>
        <v>2013</v>
      </c>
      <c r="H1" s="304">
        <f t="shared" si="0"/>
        <v>2014</v>
      </c>
      <c r="I1" s="304">
        <f t="shared" si="0"/>
        <v>2015</v>
      </c>
      <c r="J1" s="304">
        <f t="shared" si="0"/>
        <v>2016</v>
      </c>
      <c r="K1" s="304">
        <f t="shared" si="0"/>
        <v>2017</v>
      </c>
      <c r="L1" s="304">
        <f t="shared" si="0"/>
        <v>2018</v>
      </c>
      <c r="M1" s="304">
        <f t="shared" si="0"/>
        <v>2019</v>
      </c>
      <c r="N1" s="304">
        <f t="shared" si="0"/>
        <v>2020</v>
      </c>
      <c r="O1" s="304">
        <f t="shared" si="0"/>
        <v>2021</v>
      </c>
      <c r="P1" s="304">
        <v>2022</v>
      </c>
      <c r="Q1" s="308" t="s">
        <v>468</v>
      </c>
      <c r="R1" s="345">
        <v>2023</v>
      </c>
      <c r="S1" t="s">
        <v>469</v>
      </c>
    </row>
    <row r="2" spans="1:19" x14ac:dyDescent="0.3">
      <c r="C2" t="str">
        <f>'CC70-Tendencial'!B3</f>
        <v>Banano [ton/ha]</v>
      </c>
      <c r="D2" s="306">
        <f>Tendencial!G116</f>
        <v>36.777975116741715</v>
      </c>
      <c r="E2" s="306">
        <f>Tendencial!H116</f>
        <v>38.691774364103281</v>
      </c>
      <c r="F2" s="306">
        <f>Tendencial!I116</f>
        <v>33.250087721793889</v>
      </c>
      <c r="G2" s="306">
        <f>Tendencial!J116</f>
        <v>31.779871513532424</v>
      </c>
      <c r="H2" s="306">
        <f>Tendencial!K116</f>
        <v>37.091561283393744</v>
      </c>
      <c r="I2" s="306">
        <f>Tendencial!L116</f>
        <v>38.786294605070921</v>
      </c>
      <c r="J2" s="306">
        <f>Tendencial!M116</f>
        <v>36.208188003571095</v>
      </c>
      <c r="K2" s="306">
        <f>Tendencial!N116</f>
        <v>39.745819546113111</v>
      </c>
      <c r="L2" s="306">
        <f>Tendencial!O116</f>
        <v>40.26187779655038</v>
      </c>
      <c r="M2" s="306">
        <f>Tendencial!P116</f>
        <v>35.907197827071073</v>
      </c>
      <c r="N2" s="306">
        <f>Tendencial!Q116</f>
        <v>40.743049243603316</v>
      </c>
      <c r="O2" s="306">
        <f>Tendencial!R116</f>
        <v>40.740567388853336</v>
      </c>
      <c r="P2" s="306">
        <f>Tendencial!S116</f>
        <v>36.281746884400519</v>
      </c>
      <c r="Q2" s="330">
        <f>AVERAGE(D2:P2)</f>
        <v>37.405077791907601</v>
      </c>
      <c r="R2" s="346">
        <f>0.3128*2023-593.1</f>
        <v>39.694399999999973</v>
      </c>
      <c r="S2">
        <v>0.1898</v>
      </c>
    </row>
    <row r="3" spans="1:19" x14ac:dyDescent="0.3">
      <c r="C3" t="str">
        <f>'CC70-Tendencial'!B4</f>
        <v>Cacao - Almendra seca [ton/ha]</v>
      </c>
      <c r="D3" s="306">
        <f>Tendencial!G117</f>
        <v>0.36691896396083606</v>
      </c>
      <c r="E3" s="306">
        <f>Tendencial!H117</f>
        <v>0.5611552393564424</v>
      </c>
      <c r="F3" s="306">
        <f>Tendencial!I117</f>
        <v>0.34169964323792335</v>
      </c>
      <c r="G3" s="306">
        <f>Tendencial!J117</f>
        <v>0.31917283330931284</v>
      </c>
      <c r="H3" s="306">
        <f>Tendencial!K117</f>
        <v>0.41921763002600387</v>
      </c>
      <c r="I3" s="306">
        <f>Tendencial!L117</f>
        <v>0.4170203705675154</v>
      </c>
      <c r="J3" s="306">
        <f>Tendencial!M117</f>
        <v>0.3908602399082457</v>
      </c>
      <c r="K3" s="306">
        <f>Tendencial!N117</f>
        <v>0.44070854027265705</v>
      </c>
      <c r="L3" s="306">
        <f>Tendencial!O117</f>
        <v>0.46853670684331106</v>
      </c>
      <c r="M3" s="306">
        <f>Tendencial!P117</f>
        <v>0.53989551514459444</v>
      </c>
      <c r="N3" s="306">
        <f>Tendencial!Q117</f>
        <v>0.62179741233002173</v>
      </c>
      <c r="O3" s="306">
        <f>Tendencial!R117</f>
        <v>0.55578266460858028</v>
      </c>
      <c r="P3" s="306">
        <f>Tendencial!S117</f>
        <v>0.66214372409628941</v>
      </c>
      <c r="Q3" s="330">
        <f t="shared" ref="Q3:Q16" si="1">AVERAGE(D3:P3)</f>
        <v>0.46960842182013329</v>
      </c>
      <c r="R3" s="346">
        <f>0.0201*2023-39.954</f>
        <v>0.70830000000000126</v>
      </c>
      <c r="S3">
        <v>0.51219999999999999</v>
      </c>
    </row>
    <row r="4" spans="1:19" x14ac:dyDescent="0.3">
      <c r="C4" t="str">
        <f>'CC70-Tendencial'!B5</f>
        <v>Café - Grano Oro [ton/ha]</v>
      </c>
      <c r="D4" s="306">
        <f>Tendencial!G118</f>
        <v>0.21628913068977651</v>
      </c>
      <c r="E4" s="306">
        <f>Tendencial!H118</f>
        <v>0.24229513864174809</v>
      </c>
      <c r="F4" s="306">
        <f>Tendencial!I118</f>
        <v>9.3253716173294365E-2</v>
      </c>
      <c r="G4" s="306">
        <f>Tendencial!J118</f>
        <v>0.12590260762328201</v>
      </c>
      <c r="H4" s="306">
        <f>Tendencial!K118</f>
        <v>0.11907110447256432</v>
      </c>
      <c r="I4" s="306">
        <f>Tendencial!L118</f>
        <v>0.12031253548958594</v>
      </c>
      <c r="J4" s="306">
        <f>Tendencial!M118</f>
        <v>0.13072442420996253</v>
      </c>
      <c r="K4" s="306">
        <f>Tendencial!N118</f>
        <v>0.20300590445517983</v>
      </c>
      <c r="L4" s="306">
        <f>Tendencial!O118</f>
        <v>0.15865806289938603</v>
      </c>
      <c r="M4" s="306">
        <f>Tendencial!P118</f>
        <v>0.22584403695175742</v>
      </c>
      <c r="N4" s="306">
        <f>Tendencial!Q118</f>
        <v>0.19621687911107807</v>
      </c>
      <c r="O4" s="306">
        <f>Tendencial!R118</f>
        <v>0.16678538719853467</v>
      </c>
      <c r="P4" s="306">
        <f>Tendencial!S118</f>
        <v>0.26640852754761069</v>
      </c>
      <c r="Q4" s="330">
        <f t="shared" si="1"/>
        <v>0.17421288118952002</v>
      </c>
      <c r="R4" s="346">
        <f>0.0044*2023-8.6509</f>
        <v>0.25030000000000108</v>
      </c>
      <c r="S4">
        <v>0.09</v>
      </c>
    </row>
    <row r="5" spans="1:19" x14ac:dyDescent="0.3">
      <c r="C5" t="str">
        <f>'CC70-Tendencial'!B6</f>
        <v>Caña de azucar [ton/ha]</v>
      </c>
      <c r="D5" s="306">
        <f>Tendencial!G119</f>
        <v>78.063575490049388</v>
      </c>
      <c r="E5" s="306">
        <f>Tendencial!H119</f>
        <v>94.0584003238679</v>
      </c>
      <c r="F5" s="306">
        <f>Tendencial!I119</f>
        <v>77.477944959522887</v>
      </c>
      <c r="G5" s="306">
        <f>Tendencial!J119</f>
        <v>70.827627490946512</v>
      </c>
      <c r="H5" s="306">
        <f>Tendencial!K119</f>
        <v>85.159827436733678</v>
      </c>
      <c r="I5" s="306">
        <f>Tendencial!L119</f>
        <v>98.484690496608707</v>
      </c>
      <c r="J5" s="306">
        <f>Tendencial!M119</f>
        <v>82.758706681571937</v>
      </c>
      <c r="K5" s="306">
        <f>Tendencial!N119</f>
        <v>73.53564262163502</v>
      </c>
      <c r="L5" s="306">
        <f>Tendencial!O119</f>
        <v>67.989654963102979</v>
      </c>
      <c r="M5" s="306">
        <f>Tendencial!P119</f>
        <v>73.460684302118153</v>
      </c>
      <c r="N5" s="306">
        <f>Tendencial!Q119</f>
        <v>74.345460716546896</v>
      </c>
      <c r="O5" s="306">
        <f>Tendencial!R119</f>
        <v>77.713414431150085</v>
      </c>
      <c r="P5" s="306">
        <f>Tendencial!S119</f>
        <v>59.810931153196861</v>
      </c>
      <c r="Q5" s="330">
        <f t="shared" si="1"/>
        <v>77.975889312850086</v>
      </c>
      <c r="R5" s="346">
        <f>-1.402*2023+2904.4</f>
        <v>68.154000000000451</v>
      </c>
      <c r="S5">
        <v>0.27</v>
      </c>
    </row>
    <row r="6" spans="1:19" x14ac:dyDescent="0.3">
      <c r="C6" t="str">
        <f>'CC70-Tendencial'!B7</f>
        <v>Maíz [ton/ha]</v>
      </c>
      <c r="D6" s="306">
        <f>Tendencial!G120</f>
        <v>2.234824433513646</v>
      </c>
      <c r="E6" s="306">
        <f>Tendencial!H120</f>
        <v>1.6671662766708666</v>
      </c>
      <c r="F6" s="306">
        <f>Tendencial!I120</f>
        <v>2.7324016605696904</v>
      </c>
      <c r="G6" s="306">
        <f>Tendencial!J120</f>
        <v>2.3702330807084238</v>
      </c>
      <c r="H6" s="306">
        <f>Tendencial!K120</f>
        <v>3.4336375016471208</v>
      </c>
      <c r="I6" s="306">
        <f>Tendencial!L120</f>
        <v>3.7832567646121245</v>
      </c>
      <c r="J6" s="306">
        <f>Tendencial!M120</f>
        <v>3.1693472715979225</v>
      </c>
      <c r="K6" s="306">
        <f>Tendencial!N120</f>
        <v>3.5362070788060898</v>
      </c>
      <c r="L6" s="306">
        <f>Tendencial!O120</f>
        <v>3.3286540144375976</v>
      </c>
      <c r="M6" s="306">
        <f>Tendencial!P120</f>
        <v>4.1881683374567302</v>
      </c>
      <c r="N6" s="306">
        <f>Tendencial!Q120</f>
        <v>3.5239779883680322</v>
      </c>
      <c r="O6" s="306">
        <f>Tendencial!R120</f>
        <v>4.2089326354119247</v>
      </c>
      <c r="P6" s="306">
        <f>Tendencial!S120</f>
        <v>4.1731183803542979</v>
      </c>
      <c r="Q6" s="330">
        <f t="shared" si="1"/>
        <v>3.2576865710888048</v>
      </c>
      <c r="R6" s="346">
        <f>0.1786*2023-356.76</f>
        <v>4.547800000000052</v>
      </c>
      <c r="S6">
        <v>0.75219999999999998</v>
      </c>
    </row>
    <row r="7" spans="1:19" x14ac:dyDescent="0.3">
      <c r="C7" t="str">
        <f>'CC70-Tendencial'!B8</f>
        <v>Palma africana  (Fruta Fresca) [ton/ha]</v>
      </c>
      <c r="D7" s="306">
        <f>Tendencial!G121</f>
        <v>14.73093301361226</v>
      </c>
      <c r="E7" s="306">
        <f>Tendencial!H121</f>
        <v>10.349596103646171</v>
      </c>
      <c r="F7" s="306">
        <f>Tendencial!I121</f>
        <v>13.340103133277603</v>
      </c>
      <c r="G7" s="306">
        <f>Tendencial!J121</f>
        <v>10.587242326340178</v>
      </c>
      <c r="H7" s="306">
        <f>Tendencial!K121</f>
        <v>12.7513593200275</v>
      </c>
      <c r="I7" s="306">
        <f>Tendencial!L121</f>
        <v>14.381813923531821</v>
      </c>
      <c r="J7" s="306">
        <f>Tendencial!M121</f>
        <v>11.84081580054503</v>
      </c>
      <c r="K7" s="306">
        <f>Tendencial!N121</f>
        <v>12.585838212469072</v>
      </c>
      <c r="L7" s="306">
        <f>Tendencial!O121</f>
        <v>12.438520820496334</v>
      </c>
      <c r="M7" s="306">
        <f>Tendencial!P121</f>
        <v>11.328309474983575</v>
      </c>
      <c r="N7" s="306">
        <f>Tendencial!Q121</f>
        <v>12.979917121648652</v>
      </c>
      <c r="O7" s="306">
        <f>Tendencial!R121</f>
        <v>15.85832858013886</v>
      </c>
      <c r="P7" s="306">
        <f>Tendencial!S121</f>
        <v>16.242640757806406</v>
      </c>
      <c r="Q7" s="330">
        <f t="shared" si="1"/>
        <v>13.031955276040266</v>
      </c>
      <c r="R7" s="346">
        <f>0.1922*2023-374.38</f>
        <v>14.440600000000018</v>
      </c>
      <c r="S7">
        <v>0.16300000000000001</v>
      </c>
    </row>
    <row r="8" spans="1:19" x14ac:dyDescent="0.3">
      <c r="C8" t="str">
        <f>'CC70-Tendencial'!B9</f>
        <v>Soya [ton/ha]</v>
      </c>
      <c r="D8" s="306">
        <f>Tendencial!G122</f>
        <v>0</v>
      </c>
      <c r="E8" s="306">
        <f>Tendencial!H122</f>
        <v>0</v>
      </c>
      <c r="F8" s="306">
        <f>Tendencial!I122</f>
        <v>0</v>
      </c>
      <c r="G8" s="306">
        <f>Tendencial!J122</f>
        <v>0</v>
      </c>
      <c r="H8" s="306">
        <f>Tendencial!K122</f>
        <v>1.2324546517328507</v>
      </c>
      <c r="I8" s="306">
        <f>Tendencial!L122</f>
        <v>1.4536522473658471</v>
      </c>
      <c r="J8" s="306">
        <f>Tendencial!M122</f>
        <v>1.5901065449010654</v>
      </c>
      <c r="K8" s="306">
        <f>Tendencial!N122</f>
        <v>1.249277327718497</v>
      </c>
      <c r="L8" s="306">
        <f>Tendencial!O122</f>
        <v>1.1024466153713151</v>
      </c>
      <c r="M8" s="306">
        <f>Tendencial!P122</f>
        <v>1.4624352331606219</v>
      </c>
      <c r="N8" s="306">
        <f>Tendencial!Q122</f>
        <v>1.3839040747891473</v>
      </c>
      <c r="O8" s="306">
        <f>Tendencial!R122</f>
        <v>1.0675280480672091</v>
      </c>
      <c r="P8" s="306">
        <f>Tendencial!S122</f>
        <v>1.3319627503096654</v>
      </c>
      <c r="Q8" s="330">
        <f>AVERAGE(H8:P8)</f>
        <v>1.3193074992684688</v>
      </c>
      <c r="R8" s="346">
        <f>-0.016*2023+33.593</f>
        <v>1.2250000000000014</v>
      </c>
      <c r="S8" s="344">
        <v>6.4199999999999993E-2</v>
      </c>
    </row>
    <row r="9" spans="1:19" x14ac:dyDescent="0.3">
      <c r="C9" t="str">
        <f>'CC70-Tendencial'!B10</f>
        <v>Palmito [ton/ha]</v>
      </c>
      <c r="D9" s="306">
        <f>Tendencial!G123</f>
        <v>0</v>
      </c>
      <c r="E9" s="306">
        <f>Tendencial!H123</f>
        <v>0</v>
      </c>
      <c r="F9" s="306">
        <f>Tendencial!I123</f>
        <v>0</v>
      </c>
      <c r="G9" s="306">
        <f>Tendencial!J123</f>
        <v>0</v>
      </c>
      <c r="H9" s="306">
        <f>Tendencial!K123</f>
        <v>0</v>
      </c>
      <c r="I9" s="306">
        <f>Tendencial!L123</f>
        <v>6.047940658034979</v>
      </c>
      <c r="J9" s="306">
        <f>Tendencial!M123</f>
        <v>6.093985677686832</v>
      </c>
      <c r="K9" s="306">
        <f>Tendencial!N123</f>
        <v>8.9120786323933672</v>
      </c>
      <c r="L9" s="306">
        <f>Tendencial!O123</f>
        <v>7.2669508271541199</v>
      </c>
      <c r="M9" s="306">
        <f>Tendencial!P123</f>
        <v>6.6780970695565829</v>
      </c>
      <c r="N9" s="306">
        <f>Tendencial!Q123</f>
        <v>6.8088875134981564</v>
      </c>
      <c r="O9" s="306">
        <f>Tendencial!R123</f>
        <v>6.5500556145042585</v>
      </c>
      <c r="P9" s="306">
        <f>Tendencial!S123</f>
        <v>6.0555524976594723</v>
      </c>
      <c r="Q9" s="330">
        <f>AVERAGE(I9:P9)</f>
        <v>6.8016935613109712</v>
      </c>
      <c r="R9" s="346">
        <f>-0.0543*2023+116.49</f>
        <v>6.6410999999999945</v>
      </c>
      <c r="S9">
        <v>1.9E-2</v>
      </c>
    </row>
    <row r="10" spans="1:19" x14ac:dyDescent="0.3">
      <c r="C10" t="str">
        <f>'CC70-Tendencial'!B11</f>
        <v>Legumbres (Pulses) [ton/ha]</v>
      </c>
      <c r="D10" s="306">
        <f>Tendencial!G124</f>
        <v>0.56324422784393136</v>
      </c>
      <c r="E10" s="306">
        <f>Tendencial!H124</f>
        <v>0.47573853669445859</v>
      </c>
      <c r="F10" s="306">
        <f>Tendencial!I124</f>
        <v>0.44091837615444374</v>
      </c>
      <c r="G10" s="306">
        <f>Tendencial!J124</f>
        <v>0.47152204764954853</v>
      </c>
      <c r="H10" s="306">
        <f>Tendencial!K124</f>
        <v>1.0091035634743875</v>
      </c>
      <c r="I10" s="306">
        <f>Tendencial!L124</f>
        <v>0.92935231023102294</v>
      </c>
      <c r="J10" s="306">
        <f>Tendencial!M124</f>
        <v>1.2240164464413019</v>
      </c>
      <c r="K10" s="306">
        <f>Tendencial!N124</f>
        <v>0.89776575095986288</v>
      </c>
      <c r="L10" s="306">
        <f>Tendencial!O124</f>
        <v>1.5238912143461654</v>
      </c>
      <c r="M10" s="306">
        <f>Tendencial!P124</f>
        <v>1.3219387271175187</v>
      </c>
      <c r="N10" s="306">
        <f>Tendencial!Q124</f>
        <v>1.7401309130170726</v>
      </c>
      <c r="O10" s="306">
        <f>Tendencial!R124</f>
        <v>1.4155396702730552</v>
      </c>
      <c r="P10" s="306">
        <f>Tendencial!S124</f>
        <v>1.5271258192396591</v>
      </c>
      <c r="Q10" s="330">
        <f t="shared" si="1"/>
        <v>1.0415605848801868</v>
      </c>
      <c r="R10" s="346">
        <f>0.1057*2023-211.95</f>
        <v>1.8811000000000035</v>
      </c>
      <c r="S10">
        <v>0.82</v>
      </c>
    </row>
    <row r="11" spans="1:19" x14ac:dyDescent="0.3">
      <c r="C11" t="str">
        <f>'CC70-Tendencial'!B12</f>
        <v>Cereales  y pseudocereales [ton/ha]</v>
      </c>
      <c r="D11" s="306">
        <f>Tendencial!G125</f>
        <v>0.75451915088664168</v>
      </c>
      <c r="E11" s="306">
        <f>Tendencial!H125</f>
        <v>0.86984045875205818</v>
      </c>
      <c r="F11" s="306">
        <f>Tendencial!I125</f>
        <v>0.62762476138532863</v>
      </c>
      <c r="G11" s="306">
        <f>Tendencial!J125</f>
        <v>0.78062719387311064</v>
      </c>
      <c r="H11" s="306">
        <f>Tendencial!K125</f>
        <v>0.97859439595774</v>
      </c>
      <c r="I11" s="306">
        <f>Tendencial!L125</f>
        <v>1.1661005267562643</v>
      </c>
      <c r="J11" s="306">
        <f>Tendencial!M125</f>
        <v>1.505259203606311</v>
      </c>
      <c r="K11" s="306">
        <f>Tendencial!N125</f>
        <v>1.2425064833242869</v>
      </c>
      <c r="L11" s="306">
        <f>Tendencial!O125</f>
        <v>1.4456936494957755</v>
      </c>
      <c r="M11" s="306">
        <f>Tendencial!P125</f>
        <v>1.5515429187441045</v>
      </c>
      <c r="N11" s="306">
        <f>Tendencial!Q125</f>
        <v>1.4557525951557093</v>
      </c>
      <c r="O11" s="306">
        <f>Tendencial!R125</f>
        <v>1.4921974083264409</v>
      </c>
      <c r="P11" s="306">
        <f>Tendencial!S125</f>
        <v>1.5130165472497585</v>
      </c>
      <c r="Q11" s="330">
        <f t="shared" si="1"/>
        <v>1.18332886873181</v>
      </c>
      <c r="R11" s="346">
        <f>0.0786*2023-157.2</f>
        <v>1.8078000000000145</v>
      </c>
      <c r="S11">
        <v>0.81100000000000005</v>
      </c>
    </row>
    <row r="12" spans="1:19" x14ac:dyDescent="0.3">
      <c r="C12" t="str">
        <f>'CC70-Tendencial'!B13</f>
        <v>Tubérculos [ton/ha]</v>
      </c>
      <c r="D12" s="306">
        <f>Tendencial!G126</f>
        <v>7.2170067804382718</v>
      </c>
      <c r="E12" s="306">
        <f>Tendencial!H126</f>
        <v>6.3185309765997699</v>
      </c>
      <c r="F12" s="306">
        <f>Tendencial!I126</f>
        <v>7.1299036786350793</v>
      </c>
      <c r="G12" s="306">
        <f>Tendencial!J126</f>
        <v>5.9774600170919303</v>
      </c>
      <c r="H12" s="306">
        <f>Tendencial!K126</f>
        <v>10.241910038862596</v>
      </c>
      <c r="I12" s="306">
        <f>Tendencial!L126</f>
        <v>9.9296321969458283</v>
      </c>
      <c r="J12" s="306">
        <f>Tendencial!M126</f>
        <v>10.765855704697987</v>
      </c>
      <c r="K12" s="306">
        <f>Tendencial!N126</f>
        <v>10.293925805136567</v>
      </c>
      <c r="L12" s="306">
        <f>Tendencial!O126</f>
        <v>9.9292230892816153</v>
      </c>
      <c r="M12" s="306">
        <f>Tendencial!P126</f>
        <v>10.374113475177305</v>
      </c>
      <c r="N12" s="306">
        <f>Tendencial!Q126</f>
        <v>11.860907539403675</v>
      </c>
      <c r="O12" s="306">
        <f>Tendencial!R126</f>
        <v>9.3249917952084029</v>
      </c>
      <c r="P12" s="306">
        <f>Tendencial!S126</f>
        <v>11.165104791856413</v>
      </c>
      <c r="Q12" s="330">
        <f t="shared" si="1"/>
        <v>9.2714281453334948</v>
      </c>
      <c r="R12" s="346">
        <f>0.3878*2023-772.47</f>
        <v>12.049399999999878</v>
      </c>
      <c r="S12">
        <v>0.60799999999999998</v>
      </c>
    </row>
    <row r="13" spans="1:19" x14ac:dyDescent="0.3">
      <c r="C13" t="str">
        <f>'CC70-Tendencial'!B14</f>
        <v>Fruta fresca [ton/ha]</v>
      </c>
      <c r="D13" s="306">
        <f>Tendencial!G127</f>
        <v>4.7410408126434112</v>
      </c>
      <c r="E13" s="306">
        <f>Tendencial!H127</f>
        <v>4.8532368074667938</v>
      </c>
      <c r="F13" s="306">
        <f>Tendencial!I127</f>
        <v>5.8565152380632375</v>
      </c>
      <c r="G13" s="306">
        <f>Tendencial!J127</f>
        <v>4.6757077331285606</v>
      </c>
      <c r="H13" s="306">
        <f>Tendencial!K127</f>
        <v>6.4872116979046277</v>
      </c>
      <c r="I13" s="306">
        <f>Tendencial!L127</f>
        <v>7.34537978395816</v>
      </c>
      <c r="J13" s="306">
        <f>Tendencial!M127</f>
        <v>5.8173798949099709</v>
      </c>
      <c r="K13" s="306">
        <f>Tendencial!N127</f>
        <v>7.1572330766544541</v>
      </c>
      <c r="L13" s="306">
        <f>Tendencial!O127</f>
        <v>5.8907862560616735</v>
      </c>
      <c r="M13" s="306">
        <f>Tendencial!P127</f>
        <v>5.0618074550282515</v>
      </c>
      <c r="N13" s="306">
        <f>Tendencial!Q127</f>
        <v>5.5734874726479289</v>
      </c>
      <c r="O13" s="306">
        <f>Tendencial!R127</f>
        <v>6.6674589016658894</v>
      </c>
      <c r="P13" s="306">
        <f>Tendencial!S127</f>
        <v>9.8120761579853699</v>
      </c>
      <c r="Q13" s="330">
        <f t="shared" si="1"/>
        <v>6.1491785606244873</v>
      </c>
      <c r="R13" s="346">
        <f>0.2096*2023-416.35</f>
        <v>7.6707999999999856</v>
      </c>
      <c r="S13">
        <v>0.33510000000000001</v>
      </c>
    </row>
    <row r="14" spans="1:19" x14ac:dyDescent="0.3">
      <c r="C14" t="str">
        <f>'CC70-Tendencial'!B15</f>
        <v>Verduras [ton/ha]</v>
      </c>
      <c r="D14" s="306">
        <f>Tendencial!G128</f>
        <v>20.08933933933934</v>
      </c>
      <c r="E14" s="306">
        <f>Tendencial!H128</f>
        <v>22.881238155401139</v>
      </c>
      <c r="F14" s="306">
        <f>Tendencial!I128</f>
        <v>20.460188495287618</v>
      </c>
      <c r="G14" s="306">
        <f>Tendencial!J128</f>
        <v>9.9026415094339626</v>
      </c>
      <c r="H14" s="306">
        <f>Tendencial!K128</f>
        <v>19.127611168562563</v>
      </c>
      <c r="I14" s="306">
        <f>Tendencial!L128</f>
        <v>17.659816024746032</v>
      </c>
      <c r="J14" s="306">
        <f>Tendencial!M128</f>
        <v>9.779784178307743</v>
      </c>
      <c r="K14" s="306">
        <f>Tendencial!N128</f>
        <v>11.232907118992863</v>
      </c>
      <c r="L14" s="306">
        <f>Tendencial!O128</f>
        <v>11.381865046571704</v>
      </c>
      <c r="M14" s="306">
        <f>Tendencial!P128</f>
        <v>12.922222196437646</v>
      </c>
      <c r="N14" s="306">
        <f>Tendencial!Q128</f>
        <v>14.344512787640847</v>
      </c>
      <c r="O14" s="306">
        <f>Tendencial!R128</f>
        <v>14.623969180071411</v>
      </c>
      <c r="P14" s="306">
        <f>Tendencial!S128</f>
        <v>13.371425940489321</v>
      </c>
      <c r="Q14" s="330">
        <f t="shared" si="1"/>
        <v>15.213655472406323</v>
      </c>
      <c r="R14" s="346">
        <f>-0.6534*2023+1332.4</f>
        <v>10.571800000000167</v>
      </c>
      <c r="S14">
        <v>0.3387</v>
      </c>
    </row>
    <row r="15" spans="1:19" x14ac:dyDescent="0.3">
      <c r="C15" t="str">
        <f>'CC70-Tendencial'!B16</f>
        <v>Floricola [ton/ha]</v>
      </c>
      <c r="D15" s="306">
        <f>Tendencial!G129</f>
        <v>0</v>
      </c>
      <c r="E15" s="306">
        <f>Tendencial!H129</f>
        <v>0</v>
      </c>
      <c r="F15" s="306">
        <f>Tendencial!I129</f>
        <v>0</v>
      </c>
      <c r="G15" s="306">
        <f>Tendencial!J129</f>
        <v>0</v>
      </c>
      <c r="H15" s="306">
        <f>Tendencial!K129</f>
        <v>71.313941598573763</v>
      </c>
      <c r="I15" s="306">
        <f>Tendencial!L129</f>
        <v>77.600192829050854</v>
      </c>
      <c r="J15" s="306">
        <f>Tendencial!M129</f>
        <v>63.930904968869726</v>
      </c>
      <c r="K15" s="306">
        <f>Tendencial!N129</f>
        <v>68.002762025316457</v>
      </c>
      <c r="L15" s="306">
        <f>Tendencial!O129</f>
        <v>72.656153620689651</v>
      </c>
      <c r="M15" s="306">
        <f>Tendencial!P129</f>
        <v>60.822164783012298</v>
      </c>
      <c r="N15" s="306">
        <f>Tendencial!Q129</f>
        <v>79.535751217038523</v>
      </c>
      <c r="O15" s="306">
        <f>Tendencial!R129</f>
        <v>63.011435803532962</v>
      </c>
      <c r="P15" s="306">
        <f>Tendencial!S129</f>
        <v>47.752700636522462</v>
      </c>
      <c r="Q15" s="330">
        <f>AVERAGE(H15:P15)</f>
        <v>67.180667498067407</v>
      </c>
      <c r="R15" s="346">
        <f>-1.8997*2023+3900.8</f>
        <v>57.706900000000132</v>
      </c>
      <c r="S15" s="344">
        <v>0.28689999999999999</v>
      </c>
    </row>
    <row r="16" spans="1:19" ht="15" thickBot="1" x14ac:dyDescent="0.35">
      <c r="C16" t="str">
        <f>'CC70-Tendencial'!B17</f>
        <v>Arroz [ton/ha]</v>
      </c>
      <c r="D16" s="306">
        <f>Tendencial!G238</f>
        <v>4.3399451081938354</v>
      </c>
      <c r="E16" s="306">
        <f>Tendencial!H238</f>
        <v>4.4791927432968537</v>
      </c>
      <c r="F16" s="306">
        <f>Tendencial!I238</f>
        <v>4.2178381873535038</v>
      </c>
      <c r="G16" s="306">
        <f>Tendencial!J238</f>
        <v>3.8209693273180934</v>
      </c>
      <c r="H16" s="306">
        <f>Tendencial!K238</f>
        <v>3.8966781123636114</v>
      </c>
      <c r="I16" s="306">
        <f>Tendencial!L238</f>
        <v>4.4060733051287997</v>
      </c>
      <c r="J16" s="306">
        <f>Tendencial!M238</f>
        <v>4.190502848217065</v>
      </c>
      <c r="K16" s="306">
        <f>Tendencial!N238</f>
        <v>2.9785367215861491</v>
      </c>
      <c r="L16" s="306">
        <f>Tendencial!O238</f>
        <v>4.5259874353834082</v>
      </c>
      <c r="M16" s="306">
        <f>Tendencial!P238</f>
        <v>4.2743933486996308</v>
      </c>
      <c r="N16" s="306">
        <f>Tendencial!Q238</f>
        <v>4.2716667305897547</v>
      </c>
      <c r="O16" s="306">
        <f>Tendencial!R238</f>
        <v>4.4205054058263613</v>
      </c>
      <c r="P16" s="306">
        <f>Tendencial!S238</f>
        <v>4.5880063438264829</v>
      </c>
      <c r="Q16" s="330">
        <f t="shared" si="1"/>
        <v>4.18540735521412</v>
      </c>
      <c r="R16" s="347">
        <f>0.0143*2023-24.632</f>
        <v>4.2968999999999973</v>
      </c>
      <c r="S16">
        <v>1.7000000000000001E-2</v>
      </c>
    </row>
    <row r="17" spans="1:33" x14ac:dyDescent="0.3">
      <c r="D17" s="305"/>
      <c r="E17" s="305"/>
      <c r="F17" s="305"/>
      <c r="G17" s="305"/>
      <c r="H17" s="305"/>
      <c r="I17" s="305"/>
      <c r="J17" s="305"/>
      <c r="K17" s="305"/>
      <c r="L17" s="305"/>
      <c r="M17" s="305"/>
      <c r="N17" s="305"/>
      <c r="O17" s="305"/>
      <c r="P17" s="305"/>
      <c r="R17" t="s">
        <v>470</v>
      </c>
    </row>
    <row r="18" spans="1:33" ht="15" thickBot="1" x14ac:dyDescent="0.35">
      <c r="A18" t="s">
        <v>471</v>
      </c>
      <c r="R18" t="s">
        <v>472</v>
      </c>
    </row>
    <row r="19" spans="1:33" x14ac:dyDescent="0.3">
      <c r="D19">
        <f t="shared" ref="D19:O19" si="2">D1</f>
        <v>2010</v>
      </c>
      <c r="E19">
        <f t="shared" si="2"/>
        <v>2011</v>
      </c>
      <c r="F19">
        <f t="shared" si="2"/>
        <v>2012</v>
      </c>
      <c r="G19">
        <f t="shared" si="2"/>
        <v>2013</v>
      </c>
      <c r="H19">
        <f t="shared" si="2"/>
        <v>2014</v>
      </c>
      <c r="I19">
        <f t="shared" si="2"/>
        <v>2015</v>
      </c>
      <c r="J19">
        <f t="shared" si="2"/>
        <v>2016</v>
      </c>
      <c r="K19">
        <f t="shared" si="2"/>
        <v>2017</v>
      </c>
      <c r="L19">
        <f t="shared" si="2"/>
        <v>2018</v>
      </c>
      <c r="M19">
        <f t="shared" si="2"/>
        <v>2019</v>
      </c>
      <c r="N19">
        <f t="shared" si="2"/>
        <v>2020</v>
      </c>
      <c r="O19">
        <f t="shared" si="2"/>
        <v>2021</v>
      </c>
      <c r="P19">
        <v>2022</v>
      </c>
      <c r="Q19" s="308" t="s">
        <v>473</v>
      </c>
      <c r="R19">
        <f>E19</f>
        <v>2011</v>
      </c>
      <c r="S19">
        <f t="shared" ref="S19:Y19" si="3">F19</f>
        <v>2012</v>
      </c>
      <c r="T19">
        <f t="shared" si="3"/>
        <v>2013</v>
      </c>
      <c r="U19">
        <f t="shared" si="3"/>
        <v>2014</v>
      </c>
      <c r="V19">
        <f t="shared" si="3"/>
        <v>2015</v>
      </c>
      <c r="W19">
        <f t="shared" si="3"/>
        <v>2016</v>
      </c>
      <c r="X19">
        <f t="shared" si="3"/>
        <v>2017</v>
      </c>
      <c r="Y19">
        <f t="shared" si="3"/>
        <v>2018</v>
      </c>
      <c r="Z19">
        <f t="shared" ref="Z19" si="4">M19</f>
        <v>2019</v>
      </c>
      <c r="AA19">
        <f t="shared" ref="AA19" si="5">N19</f>
        <v>2020</v>
      </c>
      <c r="AB19">
        <f t="shared" ref="AB19:AC19" si="6">O19</f>
        <v>2021</v>
      </c>
      <c r="AC19">
        <f t="shared" si="6"/>
        <v>2022</v>
      </c>
      <c r="AD19" t="s">
        <v>474</v>
      </c>
      <c r="AE19" s="310" t="s">
        <v>470</v>
      </c>
      <c r="AF19" s="311" t="s">
        <v>475</v>
      </c>
      <c r="AG19" s="312" t="s">
        <v>476</v>
      </c>
    </row>
    <row r="20" spans="1:33" x14ac:dyDescent="0.3">
      <c r="C20" t="str">
        <f t="shared" ref="C20:C34" si="7">C2</f>
        <v>Banano [ton/ha]</v>
      </c>
      <c r="E20" s="307">
        <f>(E2-D2)/D2</f>
        <v>5.2036558328367177E-2</v>
      </c>
      <c r="F20" s="317">
        <f t="shared" ref="F20:P20" si="8">(F2-E2)/E2</f>
        <v>-0.14064195120909154</v>
      </c>
      <c r="G20" s="307">
        <f t="shared" si="8"/>
        <v>-4.421691216464993E-2</v>
      </c>
      <c r="H20" s="317">
        <f t="shared" si="8"/>
        <v>0.16714006435172371</v>
      </c>
      <c r="I20" s="307">
        <f t="shared" si="8"/>
        <v>4.5690536149955094E-2</v>
      </c>
      <c r="J20" s="307">
        <f t="shared" si="8"/>
        <v>-6.646952558244025E-2</v>
      </c>
      <c r="K20" s="307">
        <f t="shared" si="8"/>
        <v>9.7702529112837985E-2</v>
      </c>
      <c r="L20" s="307">
        <f t="shared" si="8"/>
        <v>1.2983963001153806E-2</v>
      </c>
      <c r="M20" s="317">
        <f t="shared" si="8"/>
        <v>-0.10815888894909947</v>
      </c>
      <c r="N20" s="317">
        <f t="shared" si="8"/>
        <v>0.13467637992309189</v>
      </c>
      <c r="O20" s="307">
        <f t="shared" si="8"/>
        <v>-6.0914801323324623E-5</v>
      </c>
      <c r="P20" s="336">
        <f t="shared" si="8"/>
        <v>-0.10944424170373128</v>
      </c>
      <c r="Q20" s="309">
        <f t="shared" ref="Q20:Q25" si="9">AVERAGE(E20:P20)</f>
        <v>3.436466371399488E-3</v>
      </c>
      <c r="R20">
        <f>(E20-$Q20)^2</f>
        <v>2.3619689382257157E-3</v>
      </c>
      <c r="S20">
        <f>(F20-$Q20)^2</f>
        <v>2.0758590412498348E-2</v>
      </c>
      <c r="T20">
        <f t="shared" ref="S20:AC34" si="10">(G20-$Q20)^2</f>
        <v>2.2708444859000153E-3</v>
      </c>
      <c r="U20">
        <f t="shared" si="10"/>
        <v>2.6798867991703612E-2</v>
      </c>
      <c r="V20">
        <f t="shared" si="10"/>
        <v>1.7854064128510463E-3</v>
      </c>
      <c r="W20">
        <f t="shared" si="10"/>
        <v>4.8868477110503069E-3</v>
      </c>
      <c r="X20">
        <f t="shared" si="10"/>
        <v>8.886090584772818E-3</v>
      </c>
      <c r="Y20">
        <f t="shared" si="10"/>
        <v>9.1154691895170052E-5</v>
      </c>
      <c r="Z20">
        <f t="shared" si="10"/>
        <v>1.2453523329108417E-2</v>
      </c>
      <c r="AA20">
        <f t="shared" si="10"/>
        <v>1.7223914909055695E-2</v>
      </c>
      <c r="AB20">
        <f t="shared" si="10"/>
        <v>1.2231675067315995E-5</v>
      </c>
      <c r="AC20">
        <f t="shared" si="10"/>
        <v>1.2742054255542893E-2</v>
      </c>
      <c r="AD20">
        <f>SUM(R20:AC20)</f>
        <v>0.11027149539767138</v>
      </c>
      <c r="AE20" s="333">
        <f>SQRT(AD20/(12-1))</f>
        <v>0.10012333094632993</v>
      </c>
      <c r="AF20" s="313">
        <f>Q20-1*AE20</f>
        <v>-9.6686864574930434E-2</v>
      </c>
      <c r="AG20" s="314">
        <f>Q20+1*AE20</f>
        <v>0.10355979731772942</v>
      </c>
    </row>
    <row r="21" spans="1:33" x14ac:dyDescent="0.3">
      <c r="C21" t="str">
        <f t="shared" si="7"/>
        <v>Cacao - Almendra seca [ton/ha]</v>
      </c>
      <c r="E21" s="317">
        <f t="shared" ref="E21:P21" si="11">(E3-D3)/D3</f>
        <v>0.52937104503636012</v>
      </c>
      <c r="F21" s="317">
        <f t="shared" si="11"/>
        <v>-0.39107822706992884</v>
      </c>
      <c r="G21" s="307">
        <f t="shared" si="11"/>
        <v>-6.5925763676976459E-2</v>
      </c>
      <c r="H21" s="334">
        <f t="shared" si="11"/>
        <v>0.31345022594619404</v>
      </c>
      <c r="I21" s="307">
        <f t="shared" si="11"/>
        <v>-5.2413336203255131E-3</v>
      </c>
      <c r="J21" s="307">
        <f t="shared" si="11"/>
        <v>-6.2731061851172526E-2</v>
      </c>
      <c r="K21" s="307">
        <f t="shared" si="11"/>
        <v>0.12753484564230227</v>
      </c>
      <c r="L21" s="307">
        <f t="shared" si="11"/>
        <v>6.3144150901721388E-2</v>
      </c>
      <c r="M21" s="307">
        <f t="shared" si="11"/>
        <v>0.15230142539322394</v>
      </c>
      <c r="N21" s="307">
        <f t="shared" si="11"/>
        <v>0.15169953238728492</v>
      </c>
      <c r="O21" s="307">
        <f t="shared" si="11"/>
        <v>-0.10616761410130125</v>
      </c>
      <c r="P21" s="335">
        <f t="shared" si="11"/>
        <v>0.19137167504606459</v>
      </c>
      <c r="Q21" s="309">
        <f t="shared" si="9"/>
        <v>7.4810741669453895E-2</v>
      </c>
      <c r="R21">
        <f t="shared" ref="R21:R34" si="12">(E21-$Q21)^2</f>
        <v>0.20662506939701383</v>
      </c>
      <c r="S21">
        <f t="shared" si="10"/>
        <v>0.21705253119304554</v>
      </c>
      <c r="T21">
        <f t="shared" si="10"/>
        <v>1.9806763937125816E-2</v>
      </c>
      <c r="U21">
        <f t="shared" si="10"/>
        <v>5.6948803455868509E-2</v>
      </c>
      <c r="V21">
        <f t="shared" si="10"/>
        <v>6.408334758200511E-3</v>
      </c>
      <c r="W21">
        <f t="shared" si="10"/>
        <v>1.8917747715706604E-2</v>
      </c>
      <c r="X21">
        <f t="shared" si="10"/>
        <v>2.7798311397397263E-3</v>
      </c>
      <c r="Y21">
        <f t="shared" si="10"/>
        <v>1.3610934014174136E-4</v>
      </c>
      <c r="Z21">
        <f t="shared" si="10"/>
        <v>6.0048060639773604E-3</v>
      </c>
      <c r="AA21">
        <f t="shared" si="10"/>
        <v>5.9118861380504191E-3</v>
      </c>
      <c r="AB21">
        <f t="shared" si="10"/>
        <v>3.2753165257486026E-2</v>
      </c>
      <c r="AC21">
        <f t="shared" si="10"/>
        <v>1.3586451189626677E-2</v>
      </c>
      <c r="AD21">
        <f t="shared" ref="AD21:AD34" si="13">SUM(R21:AC21)</f>
        <v>0.58693149958598267</v>
      </c>
      <c r="AE21" s="333">
        <f t="shared" ref="AE21:AE34" si="14">SQRT(AD21/(12-1))</f>
        <v>0.23099222725726326</v>
      </c>
      <c r="AF21" s="313">
        <f t="shared" ref="AF21:AF34" si="15">Q21-1*AE21</f>
        <v>-0.15618148558780937</v>
      </c>
      <c r="AG21" s="314">
        <f t="shared" ref="AG21:AG34" si="16">Q21+1*AE21</f>
        <v>0.30580296892671716</v>
      </c>
    </row>
    <row r="22" spans="1:33" x14ac:dyDescent="0.3">
      <c r="C22" t="str">
        <f t="shared" si="7"/>
        <v>Café - Grano Oro [ton/ha]</v>
      </c>
      <c r="E22" s="307">
        <f t="shared" ref="E22:P22" si="17">(E4-D4)/D4</f>
        <v>0.12023723924098617</v>
      </c>
      <c r="F22" s="317">
        <f t="shared" si="17"/>
        <v>-0.61512345358617726</v>
      </c>
      <c r="G22" s="307">
        <f t="shared" si="17"/>
        <v>0.35010820790579394</v>
      </c>
      <c r="H22" s="307">
        <f t="shared" si="17"/>
        <v>-5.4260219702188313E-2</v>
      </c>
      <c r="I22" s="307">
        <f t="shared" si="17"/>
        <v>1.0425963734196023E-2</v>
      </c>
      <c r="J22" s="307">
        <f t="shared" si="17"/>
        <v>8.6540348252221996E-2</v>
      </c>
      <c r="K22" s="317">
        <f t="shared" si="17"/>
        <v>0.55293018639824099</v>
      </c>
      <c r="L22" s="307">
        <f t="shared" si="17"/>
        <v>-0.2184559196680165</v>
      </c>
      <c r="M22" s="317">
        <f t="shared" si="17"/>
        <v>0.4234639754487472</v>
      </c>
      <c r="N22" s="307">
        <f t="shared" si="17"/>
        <v>-0.13118414920562196</v>
      </c>
      <c r="O22" s="307">
        <f t="shared" si="17"/>
        <v>-0.14999469997625578</v>
      </c>
      <c r="P22" s="336">
        <f t="shared" si="17"/>
        <v>0.59731336193433182</v>
      </c>
      <c r="Q22" s="309">
        <f t="shared" si="9"/>
        <v>8.1000070064688193E-2</v>
      </c>
      <c r="R22">
        <f t="shared" si="12"/>
        <v>1.5395554449694282E-3</v>
      </c>
      <c r="S22">
        <f t="shared" si="10"/>
        <v>0.48458796018009709</v>
      </c>
      <c r="T22">
        <f t="shared" si="10"/>
        <v>7.2419189852307581E-2</v>
      </c>
      <c r="U22">
        <f t="shared" si="10"/>
        <v>1.82953459878194E-2</v>
      </c>
      <c r="V22">
        <f t="shared" si="10"/>
        <v>4.9807044843476157E-3</v>
      </c>
      <c r="W22">
        <f t="shared" si="10"/>
        <v>3.069468239526285E-5</v>
      </c>
      <c r="X22">
        <f t="shared" si="10"/>
        <v>0.22271803470260068</v>
      </c>
      <c r="Y22">
        <f t="shared" si="10"/>
        <v>8.9673889786793748E-2</v>
      </c>
      <c r="Z22">
        <f t="shared" si="10"/>
        <v>0.11728152649090173</v>
      </c>
      <c r="AA22">
        <f t="shared" si="10"/>
        <v>4.5022142907351063E-2</v>
      </c>
      <c r="AB22">
        <f t="shared" si="10"/>
        <v>5.3358583786268593E-2</v>
      </c>
      <c r="AC22">
        <f t="shared" si="10"/>
        <v>0.26657941536126778</v>
      </c>
      <c r="AD22">
        <f t="shared" si="13"/>
        <v>1.3764870436671199</v>
      </c>
      <c r="AE22" s="333">
        <f t="shared" si="14"/>
        <v>0.35374452050585886</v>
      </c>
      <c r="AF22" s="313">
        <f t="shared" si="15"/>
        <v>-0.27274445044117068</v>
      </c>
      <c r="AG22" s="314">
        <f t="shared" si="16"/>
        <v>0.43474459057054704</v>
      </c>
    </row>
    <row r="23" spans="1:33" x14ac:dyDescent="0.3">
      <c r="C23" t="str">
        <f t="shared" si="7"/>
        <v>Caña de azucar [ton/ha]</v>
      </c>
      <c r="E23" s="317">
        <f t="shared" ref="E23:P23" si="18">(E5-D5)/D5</f>
        <v>0.20489485311696159</v>
      </c>
      <c r="F23" s="334">
        <f t="shared" si="18"/>
        <v>-0.17627830483246715</v>
      </c>
      <c r="G23" s="307">
        <f t="shared" si="18"/>
        <v>-8.5834974999023622E-2</v>
      </c>
      <c r="H23" s="317">
        <f t="shared" si="18"/>
        <v>0.20235324058566229</v>
      </c>
      <c r="I23" s="334">
        <f t="shared" si="18"/>
        <v>0.15646888281653976</v>
      </c>
      <c r="J23" s="307">
        <f t="shared" si="18"/>
        <v>-0.15967947643170274</v>
      </c>
      <c r="K23" s="307">
        <f t="shared" si="18"/>
        <v>-0.11144524159160932</v>
      </c>
      <c r="L23" s="307">
        <f t="shared" si="18"/>
        <v>-7.5419041172563969E-2</v>
      </c>
      <c r="M23" s="307">
        <f t="shared" si="18"/>
        <v>8.0468555723429175E-2</v>
      </c>
      <c r="N23" s="307">
        <f t="shared" si="18"/>
        <v>1.2044216887362033E-2</v>
      </c>
      <c r="O23" s="307">
        <f t="shared" si="18"/>
        <v>4.5301403503893972E-2</v>
      </c>
      <c r="P23" s="336">
        <f t="shared" si="18"/>
        <v>-0.23036541900772953</v>
      </c>
      <c r="Q23" s="309">
        <f t="shared" si="9"/>
        <v>-1.1457608783437295E-2</v>
      </c>
      <c r="R23">
        <f t="shared" si="12"/>
        <v>4.6808387770363551E-2</v>
      </c>
      <c r="S23">
        <f t="shared" si="10"/>
        <v>2.7165861846086686E-2</v>
      </c>
      <c r="T23">
        <f t="shared" si="10"/>
        <v>5.5319926051674425E-3</v>
      </c>
      <c r="U23">
        <f t="shared" si="10"/>
        <v>4.5715079307935794E-2</v>
      </c>
      <c r="V23">
        <f t="shared" si="10"/>
        <v>2.8199306581077162E-2</v>
      </c>
      <c r="W23">
        <f t="shared" si="10"/>
        <v>2.1969722049139918E-2</v>
      </c>
      <c r="X23">
        <f t="shared" si="10"/>
        <v>9.9975267145818378E-3</v>
      </c>
      <c r="Y23">
        <f t="shared" si="10"/>
        <v>4.091064833268823E-3</v>
      </c>
      <c r="Z23">
        <f t="shared" si="10"/>
        <v>8.4504197209434775E-3</v>
      </c>
      <c r="AA23">
        <f t="shared" si="10"/>
        <v>5.5233580986064235E-4</v>
      </c>
      <c r="AB23">
        <f t="shared" si="10"/>
        <v>3.2215854758334216E-3</v>
      </c>
      <c r="AC23">
        <f t="shared" si="10"/>
        <v>4.792062937719474E-2</v>
      </c>
      <c r="AD23">
        <f t="shared" si="13"/>
        <v>0.24962391209145351</v>
      </c>
      <c r="AE23" s="333">
        <f t="shared" si="14"/>
        <v>0.15064223483938646</v>
      </c>
      <c r="AF23" s="313">
        <f t="shared" si="15"/>
        <v>-0.16209984362282376</v>
      </c>
      <c r="AG23" s="314">
        <f t="shared" si="16"/>
        <v>0.13918462605594917</v>
      </c>
    </row>
    <row r="24" spans="1:33" x14ac:dyDescent="0.3">
      <c r="C24" t="str">
        <f t="shared" si="7"/>
        <v>Maíz [ton/ha]</v>
      </c>
      <c r="E24" s="317">
        <f t="shared" ref="E24:P24" si="19">(E6-D6)/D6</f>
        <v>-0.25400570547293205</v>
      </c>
      <c r="F24" s="317">
        <f t="shared" si="19"/>
        <v>0.63894969494342968</v>
      </c>
      <c r="G24" s="307">
        <f t="shared" si="19"/>
        <v>-0.13254587899267947</v>
      </c>
      <c r="H24" s="317">
        <f t="shared" si="19"/>
        <v>0.44864972546111914</v>
      </c>
      <c r="I24" s="307">
        <f t="shared" si="19"/>
        <v>0.10182183261840856</v>
      </c>
      <c r="J24" s="307">
        <f t="shared" si="19"/>
        <v>-0.16227011043939613</v>
      </c>
      <c r="K24" s="307">
        <f t="shared" si="19"/>
        <v>0.11575248017021617</v>
      </c>
      <c r="L24" s="307">
        <f t="shared" si="19"/>
        <v>-5.8693696308805311E-2</v>
      </c>
      <c r="M24" s="307">
        <f t="shared" si="19"/>
        <v>0.25821678050380203</v>
      </c>
      <c r="N24" s="307">
        <f t="shared" si="19"/>
        <v>-0.15858730967151821</v>
      </c>
      <c r="O24" s="307">
        <f t="shared" si="19"/>
        <v>0.1943697291256628</v>
      </c>
      <c r="P24" s="335">
        <f t="shared" si="19"/>
        <v>-8.5091062651616173E-3</v>
      </c>
      <c r="Q24" s="309">
        <f t="shared" si="9"/>
        <v>8.1929036306012129E-2</v>
      </c>
      <c r="R24">
        <f t="shared" si="12"/>
        <v>0.1128521507340859</v>
      </c>
      <c r="S24">
        <f t="shared" si="10"/>
        <v>0.31027201414886246</v>
      </c>
      <c r="T24">
        <f t="shared" si="10"/>
        <v>4.5999489292380943E-2</v>
      </c>
      <c r="U24">
        <f t="shared" si="10"/>
        <v>0.13448406385439662</v>
      </c>
      <c r="V24">
        <f t="shared" si="10"/>
        <v>3.9572334512649309E-4</v>
      </c>
      <c r="W24">
        <f t="shared" si="10"/>
        <v>5.9633223271185441E-2</v>
      </c>
      <c r="X24">
        <f t="shared" si="10"/>
        <v>1.1440253548349617E-3</v>
      </c>
      <c r="Y24">
        <f t="shared" si="10"/>
        <v>1.9774752928058442E-2</v>
      </c>
      <c r="Z24">
        <f t="shared" si="10"/>
        <v>3.1077368754345414E-2</v>
      </c>
      <c r="AA24">
        <f t="shared" si="10"/>
        <v>5.7848112682383081E-2</v>
      </c>
      <c r="AB24">
        <f t="shared" si="10"/>
        <v>1.2642909401763044E-2</v>
      </c>
      <c r="AC24">
        <f t="shared" si="10"/>
        <v>8.1790576317239492E-3</v>
      </c>
      <c r="AD24">
        <f t="shared" si="13"/>
        <v>0.79430289139914678</v>
      </c>
      <c r="AE24" s="333">
        <f t="shared" si="14"/>
        <v>0.26871798183887657</v>
      </c>
      <c r="AF24" s="313">
        <f t="shared" si="15"/>
        <v>-0.18678894553286446</v>
      </c>
      <c r="AG24" s="314">
        <f t="shared" si="16"/>
        <v>0.35064701814488869</v>
      </c>
    </row>
    <row r="25" spans="1:33" x14ac:dyDescent="0.3">
      <c r="C25" t="str">
        <f t="shared" si="7"/>
        <v>Palma africana  (Fruta Fresca) [ton/ha]</v>
      </c>
      <c r="E25" s="317">
        <f t="shared" ref="E25:P25" si="20">(E7-D7)/D7</f>
        <v>-0.29742426402438138</v>
      </c>
      <c r="F25" s="317">
        <f t="shared" si="20"/>
        <v>0.28894915315370368</v>
      </c>
      <c r="G25" s="317">
        <f t="shared" si="20"/>
        <v>-0.20635978443601882</v>
      </c>
      <c r="H25" s="307">
        <f t="shared" si="20"/>
        <v>0.20440799662280135</v>
      </c>
      <c r="I25" s="307">
        <f t="shared" si="20"/>
        <v>0.12786516030047879</v>
      </c>
      <c r="J25" s="334">
        <f t="shared" si="20"/>
        <v>-0.17668133772953057</v>
      </c>
      <c r="K25" s="307">
        <f t="shared" si="20"/>
        <v>6.2919854887848931E-2</v>
      </c>
      <c r="L25" s="307">
        <f t="shared" si="20"/>
        <v>-1.1705012370712609E-2</v>
      </c>
      <c r="M25" s="307">
        <f t="shared" si="20"/>
        <v>-8.9255897990968558E-2</v>
      </c>
      <c r="N25" s="307">
        <f t="shared" si="20"/>
        <v>0.14579471458758606</v>
      </c>
      <c r="O25" s="334">
        <f t="shared" si="20"/>
        <v>0.22175884726485867</v>
      </c>
      <c r="P25" s="335">
        <f t="shared" si="20"/>
        <v>2.4234090984144613E-2</v>
      </c>
      <c r="Q25" s="309">
        <f t="shared" si="9"/>
        <v>2.4541960104150846E-2</v>
      </c>
      <c r="R25">
        <f t="shared" si="12"/>
        <v>0.10366224947958423</v>
      </c>
      <c r="S25">
        <f t="shared" si="10"/>
        <v>6.9911163736343512E-2</v>
      </c>
      <c r="T25">
        <f t="shared" si="10"/>
        <v>5.3315615631693777E-2</v>
      </c>
      <c r="U25">
        <f t="shared" si="10"/>
        <v>3.235179109292851E-2</v>
      </c>
      <c r="V25">
        <f t="shared" si="10"/>
        <v>1.0675683698810463E-2</v>
      </c>
      <c r="W25">
        <f t="shared" si="10"/>
        <v>4.0490815591062462E-2</v>
      </c>
      <c r="X25">
        <f t="shared" si="10"/>
        <v>1.472862808028601E-3</v>
      </c>
      <c r="Y25">
        <f t="shared" si="10"/>
        <v>1.313843013593509E-3</v>
      </c>
      <c r="Z25">
        <f t="shared" si="10"/>
        <v>1.2949952507036932E-2</v>
      </c>
      <c r="AA25">
        <f t="shared" si="10"/>
        <v>1.4702230469820218E-2</v>
      </c>
      <c r="AB25">
        <f t="shared" si="10"/>
        <v>3.8894500581359362E-2</v>
      </c>
      <c r="AC25">
        <f t="shared" si="10"/>
        <v>9.4783395053412256E-8</v>
      </c>
      <c r="AD25">
        <f t="shared" si="13"/>
        <v>0.37974080339365668</v>
      </c>
      <c r="AE25" s="333">
        <f t="shared" si="14"/>
        <v>0.18580067604184103</v>
      </c>
      <c r="AF25" s="313">
        <f t="shared" si="15"/>
        <v>-0.16125871593769017</v>
      </c>
      <c r="AG25" s="314">
        <f t="shared" si="16"/>
        <v>0.21034263614599188</v>
      </c>
    </row>
    <row r="26" spans="1:33" x14ac:dyDescent="0.3">
      <c r="C26" t="str">
        <f t="shared" si="7"/>
        <v>Soya [ton/ha]</v>
      </c>
      <c r="E26" s="307" t="e">
        <f t="shared" ref="E26:P26" si="21">(E8-D8)/D8</f>
        <v>#DIV/0!</v>
      </c>
      <c r="F26" s="307" t="e">
        <f t="shared" si="21"/>
        <v>#DIV/0!</v>
      </c>
      <c r="G26" s="307" t="e">
        <f t="shared" si="21"/>
        <v>#DIV/0!</v>
      </c>
      <c r="H26" s="307" t="e">
        <f t="shared" si="21"/>
        <v>#DIV/0!</v>
      </c>
      <c r="I26" s="307">
        <f t="shared" si="21"/>
        <v>0.17947726946544365</v>
      </c>
      <c r="J26" s="307">
        <f t="shared" si="21"/>
        <v>9.3869973222609593E-2</v>
      </c>
      <c r="K26" s="317">
        <f t="shared" si="21"/>
        <v>-0.21434363519569968</v>
      </c>
      <c r="L26" s="307">
        <f t="shared" si="21"/>
        <v>-0.11753251987317558</v>
      </c>
      <c r="M26" s="317">
        <f t="shared" si="21"/>
        <v>0.32653609958978286</v>
      </c>
      <c r="N26" s="307">
        <f t="shared" si="21"/>
        <v>-5.3698896601220826E-2</v>
      </c>
      <c r="O26" s="317">
        <f t="shared" si="21"/>
        <v>-0.22861124010357545</v>
      </c>
      <c r="P26" s="336">
        <f t="shared" si="21"/>
        <v>0.2477074983849118</v>
      </c>
      <c r="Q26" s="309">
        <f>AVERAGE(I26:P26)</f>
        <v>2.9175568611134545E-2</v>
      </c>
      <c r="R26" t="e">
        <f t="shared" si="12"/>
        <v>#DIV/0!</v>
      </c>
      <c r="S26" t="e">
        <f t="shared" si="10"/>
        <v>#DIV/0!</v>
      </c>
      <c r="T26" t="e">
        <f t="shared" si="10"/>
        <v>#DIV/0!</v>
      </c>
      <c r="U26" t="e">
        <f t="shared" si="10"/>
        <v>#DIV/0!</v>
      </c>
      <c r="V26">
        <f t="shared" si="10"/>
        <v>2.2590601279698221E-2</v>
      </c>
      <c r="W26">
        <f t="shared" si="10"/>
        <v>4.1853659880332437E-3</v>
      </c>
      <c r="X26">
        <f t="shared" si="10"/>
        <v>5.9301602622714465E-2</v>
      </c>
      <c r="Y26">
        <f t="shared" si="10"/>
        <v>2.1523263226720164E-2</v>
      </c>
      <c r="Z26">
        <f t="shared" si="10"/>
        <v>8.8423285383903677E-2</v>
      </c>
      <c r="AA26">
        <f t="shared" si="10"/>
        <v>6.8681769842338994E-3</v>
      </c>
      <c r="AB26">
        <f t="shared" si="10"/>
        <v>6.6454038747314481E-2</v>
      </c>
      <c r="AC26">
        <f t="shared" si="10"/>
        <v>4.7756204330651114E-2</v>
      </c>
      <c r="AD26">
        <f>SUM(V26:AC26)</f>
        <v>0.3171025385632692</v>
      </c>
      <c r="AE26" s="333">
        <f>SQRT(AD26/(8-1))</f>
        <v>0.21283881847984309</v>
      </c>
      <c r="AF26" s="313">
        <f t="shared" si="15"/>
        <v>-0.18366324986870855</v>
      </c>
      <c r="AG26" s="314">
        <f t="shared" si="16"/>
        <v>0.24201438709097764</v>
      </c>
    </row>
    <row r="27" spans="1:33" x14ac:dyDescent="0.3">
      <c r="C27" t="str">
        <f t="shared" si="7"/>
        <v>Palmito [ton/ha]</v>
      </c>
      <c r="E27" s="307" t="e">
        <f t="shared" ref="E27:P27" si="22">(E9-D9)/D9</f>
        <v>#DIV/0!</v>
      </c>
      <c r="F27" s="307" t="e">
        <f t="shared" si="22"/>
        <v>#DIV/0!</v>
      </c>
      <c r="G27" s="307" t="e">
        <f t="shared" si="22"/>
        <v>#DIV/0!</v>
      </c>
      <c r="H27" s="307" t="e">
        <f t="shared" si="22"/>
        <v>#DIV/0!</v>
      </c>
      <c r="I27" s="307" t="e">
        <f t="shared" si="22"/>
        <v>#DIV/0!</v>
      </c>
      <c r="J27" s="307">
        <f t="shared" si="22"/>
        <v>7.6133385321299259E-3</v>
      </c>
      <c r="K27" s="317">
        <f t="shared" si="22"/>
        <v>0.46243839479718518</v>
      </c>
      <c r="L27" s="307">
        <f t="shared" si="22"/>
        <v>-0.18459529735965122</v>
      </c>
      <c r="M27" s="307">
        <f t="shared" si="22"/>
        <v>-8.103175205165708E-2</v>
      </c>
      <c r="N27" s="307">
        <f t="shared" si="22"/>
        <v>1.9584986947525425E-2</v>
      </c>
      <c r="O27" s="307">
        <f t="shared" si="22"/>
        <v>-3.801383096442424E-2</v>
      </c>
      <c r="P27" s="335">
        <f t="shared" si="22"/>
        <v>-7.5496018041399895E-2</v>
      </c>
      <c r="Q27" s="309">
        <f>AVERAGE(J27:P27)</f>
        <v>1.5785688837101151E-2</v>
      </c>
      <c r="R27" t="e">
        <f t="shared" si="12"/>
        <v>#DIV/0!</v>
      </c>
      <c r="S27" t="e">
        <f t="shared" si="10"/>
        <v>#DIV/0!</v>
      </c>
      <c r="T27" t="e">
        <f t="shared" si="10"/>
        <v>#DIV/0!</v>
      </c>
      <c r="U27" t="e">
        <f t="shared" si="10"/>
        <v>#DIV/0!</v>
      </c>
      <c r="V27" t="e">
        <f t="shared" si="10"/>
        <v>#DIV/0!</v>
      </c>
      <c r="W27">
        <f t="shared" si="10"/>
        <v>6.6787309507163276E-5</v>
      </c>
      <c r="X27">
        <f t="shared" si="10"/>
        <v>0.19949863974146531</v>
      </c>
      <c r="Y27">
        <f t="shared" si="10"/>
        <v>4.0152539629183068E-2</v>
      </c>
      <c r="Z27">
        <f t="shared" si="10"/>
        <v>9.3736168602481951E-3</v>
      </c>
      <c r="AA27">
        <f t="shared" si="10"/>
        <v>1.4434666131873455E-5</v>
      </c>
      <c r="AB27">
        <f t="shared" si="10"/>
        <v>2.8943883308747229E-3</v>
      </c>
      <c r="AC27">
        <f t="shared" si="10"/>
        <v>8.3323500106525835E-3</v>
      </c>
      <c r="AD27">
        <f>SUM(W27:AC27)</f>
        <v>0.26033275654806293</v>
      </c>
      <c r="AE27" s="333">
        <f>SQRT(AD27/(7-1))</f>
        <v>0.20829976658174748</v>
      </c>
      <c r="AF27" s="313">
        <f t="shared" si="15"/>
        <v>-0.19251407774464632</v>
      </c>
      <c r="AG27" s="314">
        <f t="shared" si="16"/>
        <v>0.22408545541884864</v>
      </c>
    </row>
    <row r="28" spans="1:33" x14ac:dyDescent="0.3">
      <c r="C28" t="str">
        <f t="shared" si="7"/>
        <v>Legumbres (Pulses) [ton/ha]</v>
      </c>
      <c r="E28" s="307">
        <f t="shared" ref="E28:P28" si="23">(E10-D10)/D10</f>
        <v>-0.15536012057227794</v>
      </c>
      <c r="F28" s="307">
        <f t="shared" si="23"/>
        <v>-7.3191801492377279E-2</v>
      </c>
      <c r="G28" s="307">
        <f t="shared" si="23"/>
        <v>6.9408927253204383E-2</v>
      </c>
      <c r="H28" s="317">
        <f t="shared" si="23"/>
        <v>1.1400983655050381</v>
      </c>
      <c r="I28" s="307">
        <f t="shared" si="23"/>
        <v>-7.90317823958301E-2</v>
      </c>
      <c r="J28" s="307">
        <f t="shared" si="23"/>
        <v>0.31706397344299919</v>
      </c>
      <c r="K28" s="307">
        <f t="shared" si="23"/>
        <v>-0.2665411044353026</v>
      </c>
      <c r="L28" s="317">
        <f t="shared" si="23"/>
        <v>0.69742631941223965</v>
      </c>
      <c r="M28" s="307">
        <f t="shared" si="23"/>
        <v>-0.13252421519819288</v>
      </c>
      <c r="N28" s="307">
        <f t="shared" si="23"/>
        <v>0.31634763194465149</v>
      </c>
      <c r="O28" s="307">
        <f t="shared" si="23"/>
        <v>-0.18653265700638283</v>
      </c>
      <c r="P28" s="335">
        <f t="shared" si="23"/>
        <v>7.8829404297146355E-2</v>
      </c>
      <c r="Q28" s="309">
        <f>AVERAGE(E28:P28)</f>
        <v>0.14383274506290963</v>
      </c>
      <c r="R28">
        <f t="shared" si="12"/>
        <v>8.9516370846995388E-2</v>
      </c>
      <c r="S28">
        <f t="shared" si="10"/>
        <v>4.7099653807527897E-2</v>
      </c>
      <c r="T28">
        <f t="shared" si="10"/>
        <v>5.5389046573722008E-3</v>
      </c>
      <c r="U28">
        <f t="shared" si="10"/>
        <v>0.99254518647493906</v>
      </c>
      <c r="V28">
        <f t="shared" si="10"/>
        <v>4.9668597599407366E-2</v>
      </c>
      <c r="W28">
        <f t="shared" si="10"/>
        <v>3.0009058486074745E-2</v>
      </c>
      <c r="X28">
        <f t="shared" si="10"/>
        <v>0.16840669635198133</v>
      </c>
      <c r="Y28">
        <f t="shared" si="10"/>
        <v>0.30646584556086715</v>
      </c>
      <c r="Z28">
        <f t="shared" si="10"/>
        <v>7.6373169484756601E-2</v>
      </c>
      <c r="AA28">
        <f t="shared" si="10"/>
        <v>2.9761386195820187E-2</v>
      </c>
      <c r="AB28">
        <f t="shared" si="10"/>
        <v>0.10914129888440526</v>
      </c>
      <c r="AC28">
        <f t="shared" si="10"/>
        <v>4.2254343107099423E-3</v>
      </c>
      <c r="AD28">
        <f t="shared" si="13"/>
        <v>1.9087516026608571</v>
      </c>
      <c r="AE28" s="333">
        <f t="shared" si="14"/>
        <v>0.41656076743876014</v>
      </c>
      <c r="AF28" s="313">
        <f t="shared" si="15"/>
        <v>-0.27272802237585048</v>
      </c>
      <c r="AG28" s="314">
        <f t="shared" si="16"/>
        <v>0.5603935125016698</v>
      </c>
    </row>
    <row r="29" spans="1:33" x14ac:dyDescent="0.3">
      <c r="C29" t="str">
        <f t="shared" si="7"/>
        <v>Cereales  y pseudocereales [ton/ha]</v>
      </c>
      <c r="E29" s="307">
        <f t="shared" ref="E29:P29" si="24">(E11-D11)/D11</f>
        <v>0.15284079632690764</v>
      </c>
      <c r="F29" s="317">
        <f t="shared" si="24"/>
        <v>-0.27845991173396478</v>
      </c>
      <c r="G29" s="307">
        <f t="shared" si="24"/>
        <v>0.24378010859556662</v>
      </c>
      <c r="H29" s="334">
        <f t="shared" si="24"/>
        <v>0.25360018666837342</v>
      </c>
      <c r="I29" s="307">
        <f t="shared" si="24"/>
        <v>0.19160760737344507</v>
      </c>
      <c r="J29" s="317">
        <f t="shared" si="24"/>
        <v>0.29084857528834385</v>
      </c>
      <c r="K29" s="317">
        <f t="shared" si="24"/>
        <v>-0.17455646153999207</v>
      </c>
      <c r="L29" s="307">
        <f t="shared" si="24"/>
        <v>0.16353006515335655</v>
      </c>
      <c r="M29" s="307">
        <f t="shared" si="24"/>
        <v>7.3216942804754534E-2</v>
      </c>
      <c r="N29" s="307">
        <f t="shared" si="24"/>
        <v>-6.1738752071346277E-2</v>
      </c>
      <c r="O29" s="307">
        <f t="shared" si="24"/>
        <v>2.5035032252051986E-2</v>
      </c>
      <c r="P29" s="335">
        <f t="shared" si="24"/>
        <v>1.3952000457276733E-2</v>
      </c>
      <c r="Q29" s="309">
        <f>AVERAGE(E29:P29)</f>
        <v>7.4471349131231102E-2</v>
      </c>
      <c r="R29">
        <f t="shared" si="12"/>
        <v>6.1417702537559333E-3</v>
      </c>
      <c r="S29">
        <f t="shared" si="10"/>
        <v>0.12456047489589694</v>
      </c>
      <c r="T29">
        <f t="shared" si="10"/>
        <v>2.8665456031352222E-2</v>
      </c>
      <c r="U29">
        <f t="shared" si="10"/>
        <v>3.2087140437407929E-2</v>
      </c>
      <c r="V29">
        <f t="shared" si="10"/>
        <v>1.3720902994986638E-2</v>
      </c>
      <c r="W29">
        <f t="shared" si="10"/>
        <v>4.6819103999446318E-2</v>
      </c>
      <c r="X29">
        <f t="shared" si="10"/>
        <v>6.2014850487702576E-2</v>
      </c>
      <c r="Y29">
        <f t="shared" si="10"/>
        <v>7.9314548995095841E-3</v>
      </c>
      <c r="Z29">
        <f t="shared" si="10"/>
        <v>1.5735352319044371E-6</v>
      </c>
      <c r="AA29">
        <f t="shared" si="10"/>
        <v>1.8553191669616369E-2</v>
      </c>
      <c r="AB29">
        <f t="shared" si="10"/>
        <v>2.4439494265786096E-3</v>
      </c>
      <c r="AC29">
        <f t="shared" si="10"/>
        <v>3.662591563919662E-3</v>
      </c>
      <c r="AD29">
        <f t="shared" si="13"/>
        <v>0.34660246019540469</v>
      </c>
      <c r="AE29" s="333">
        <f t="shared" si="14"/>
        <v>0.1775086323625378</v>
      </c>
      <c r="AF29" s="313">
        <f t="shared" si="15"/>
        <v>-0.1030372832313067</v>
      </c>
      <c r="AG29" s="314">
        <f t="shared" si="16"/>
        <v>0.25197998149376888</v>
      </c>
    </row>
    <row r="30" spans="1:33" x14ac:dyDescent="0.3">
      <c r="C30" t="str">
        <f t="shared" si="7"/>
        <v>Tubérculos [ton/ha]</v>
      </c>
      <c r="E30" s="307">
        <f t="shared" ref="E30:P30" si="25">(E12-D12)/D12</f>
        <v>-0.12449424410599481</v>
      </c>
      <c r="F30" s="307">
        <f t="shared" si="25"/>
        <v>0.12841160469738463</v>
      </c>
      <c r="G30" s="307">
        <f t="shared" si="25"/>
        <v>-0.1616352356899958</v>
      </c>
      <c r="H30" s="317">
        <f t="shared" si="25"/>
        <v>0.71342175599283142</v>
      </c>
      <c r="I30" s="307">
        <f t="shared" si="25"/>
        <v>-3.0490195747847733E-2</v>
      </c>
      <c r="J30" s="307">
        <f t="shared" si="25"/>
        <v>8.4214952897184434E-2</v>
      </c>
      <c r="K30" s="307">
        <f t="shared" si="25"/>
        <v>-4.3835800191477606E-2</v>
      </c>
      <c r="L30" s="307">
        <f t="shared" si="25"/>
        <v>-3.5428924081905525E-2</v>
      </c>
      <c r="M30" s="307">
        <f t="shared" si="25"/>
        <v>4.4806162767753635E-2</v>
      </c>
      <c r="N30" s="307">
        <f t="shared" si="25"/>
        <v>0.14331769820948087</v>
      </c>
      <c r="O30" s="317">
        <f t="shared" si="25"/>
        <v>-0.21380452851272869</v>
      </c>
      <c r="P30" s="335">
        <f t="shared" si="25"/>
        <v>0.19733132608154594</v>
      </c>
      <c r="Q30" s="309">
        <f>AVERAGE(E30:P30)</f>
        <v>5.8484547693019223E-2</v>
      </c>
      <c r="R30">
        <f t="shared" si="12"/>
        <v>3.3481238248226929E-2</v>
      </c>
      <c r="S30">
        <f t="shared" si="10"/>
        <v>4.8897933012917701E-3</v>
      </c>
      <c r="T30">
        <f t="shared" si="10"/>
        <v>4.8452719036585455E-2</v>
      </c>
      <c r="U30">
        <f t="shared" si="10"/>
        <v>0.42894274681555156</v>
      </c>
      <c r="V30">
        <f t="shared" si="10"/>
        <v>7.9165049703680962E-3</v>
      </c>
      <c r="W30">
        <f t="shared" si="10"/>
        <v>6.6205375197053219E-4</v>
      </c>
      <c r="X30">
        <f t="shared" si="10"/>
        <v>1.0469453591204455E-2</v>
      </c>
      <c r="Y30">
        <f t="shared" si="10"/>
        <v>8.819740180819588E-3</v>
      </c>
      <c r="Z30">
        <f t="shared" si="10"/>
        <v>1.8709821416373288E-4</v>
      </c>
      <c r="AA30">
        <f t="shared" si="10"/>
        <v>7.1966634265486374E-3</v>
      </c>
      <c r="AB30">
        <f t="shared" si="10"/>
        <v>7.4141341020979606E-2</v>
      </c>
      <c r="AC30">
        <f t="shared" si="10"/>
        <v>1.9278427868872648E-2</v>
      </c>
      <c r="AD30">
        <f t="shared" si="13"/>
        <v>0.64443778042658295</v>
      </c>
      <c r="AE30" s="333">
        <f t="shared" si="14"/>
        <v>0.24204390669061057</v>
      </c>
      <c r="AF30" s="313">
        <f t="shared" si="15"/>
        <v>-0.18355935899759135</v>
      </c>
      <c r="AG30" s="314">
        <f t="shared" si="16"/>
        <v>0.3005284543836298</v>
      </c>
    </row>
    <row r="31" spans="1:33" x14ac:dyDescent="0.3">
      <c r="C31" t="str">
        <f t="shared" si="7"/>
        <v>Fruta fresca [ton/ha]</v>
      </c>
      <c r="E31" s="307">
        <f t="shared" ref="E31:P31" si="26">(E13-D13)/D13</f>
        <v>2.3664844758175936E-2</v>
      </c>
      <c r="F31" s="307">
        <f t="shared" si="26"/>
        <v>0.20672356829011135</v>
      </c>
      <c r="G31" s="317">
        <f t="shared" si="26"/>
        <v>-0.20162288612522633</v>
      </c>
      <c r="H31" s="317">
        <f t="shared" si="26"/>
        <v>0.38742882749944096</v>
      </c>
      <c r="I31" s="307">
        <f t="shared" si="26"/>
        <v>0.13228612322467001</v>
      </c>
      <c r="J31" s="317">
        <f t="shared" si="26"/>
        <v>-0.20802190410702021</v>
      </c>
      <c r="K31" s="307">
        <f t="shared" si="26"/>
        <v>0.23031901061108517</v>
      </c>
      <c r="L31" s="317">
        <f t="shared" si="26"/>
        <v>-0.1769464270660252</v>
      </c>
      <c r="M31" s="307">
        <f t="shared" si="26"/>
        <v>-0.14072464438518631</v>
      </c>
      <c r="N31" s="307">
        <f t="shared" si="26"/>
        <v>0.10108642459550481</v>
      </c>
      <c r="O31" s="307">
        <f t="shared" si="26"/>
        <v>0.19628131118741379</v>
      </c>
      <c r="P31" s="336">
        <f t="shared" si="26"/>
        <v>0.47163654140167044</v>
      </c>
      <c r="Q31" s="309">
        <f>AVERAGE(E31:P31)</f>
        <v>8.5175899157051191E-2</v>
      </c>
      <c r="R31">
        <f t="shared" si="12"/>
        <v>3.7836098132613908E-3</v>
      </c>
      <c r="S31">
        <f t="shared" si="10"/>
        <v>1.4773835871679864E-2</v>
      </c>
      <c r="T31">
        <f t="shared" si="10"/>
        <v>8.2253543239389937E-2</v>
      </c>
      <c r="U31">
        <f t="shared" si="10"/>
        <v>9.1356832691549802E-2</v>
      </c>
      <c r="V31">
        <f t="shared" si="10"/>
        <v>2.2193732117012513E-3</v>
      </c>
      <c r="W31">
        <f t="shared" si="10"/>
        <v>8.5964951838877118E-2</v>
      </c>
      <c r="X31">
        <f t="shared" si="10"/>
        <v>2.1066522802558125E-2</v>
      </c>
      <c r="Y31">
        <f t="shared" si="10"/>
        <v>6.8708113904596885E-2</v>
      </c>
      <c r="Z31">
        <f t="shared" si="10"/>
        <v>5.1031055572678334E-2</v>
      </c>
      <c r="AA31">
        <f t="shared" si="10"/>
        <v>2.5314481972767963E-4</v>
      </c>
      <c r="AB31">
        <f t="shared" si="10"/>
        <v>1.2344412582436643E-2</v>
      </c>
      <c r="AC31">
        <f t="shared" si="10"/>
        <v>0.14935182800412358</v>
      </c>
      <c r="AD31">
        <f t="shared" si="13"/>
        <v>0.58310722435258056</v>
      </c>
      <c r="AE31" s="333">
        <f t="shared" si="14"/>
        <v>0.23023845827406075</v>
      </c>
      <c r="AF31" s="313">
        <f t="shared" si="15"/>
        <v>-0.14506255911700955</v>
      </c>
      <c r="AG31" s="314">
        <f t="shared" si="16"/>
        <v>0.31541435743111196</v>
      </c>
    </row>
    <row r="32" spans="1:33" x14ac:dyDescent="0.3">
      <c r="C32" t="str">
        <f t="shared" si="7"/>
        <v>Verduras [ton/ha]</v>
      </c>
      <c r="E32" s="307">
        <f t="shared" ref="E32:P32" si="27">(E14-D14)/D14</f>
        <v>0.13897414787526874</v>
      </c>
      <c r="F32" s="307">
        <f t="shared" si="27"/>
        <v>-0.10580938162832898</v>
      </c>
      <c r="G32" s="317">
        <f t="shared" si="27"/>
        <v>-0.51600438521303282</v>
      </c>
      <c r="H32" s="317">
        <f t="shared" si="27"/>
        <v>0.93156655730092186</v>
      </c>
      <c r="I32" s="307">
        <f t="shared" si="27"/>
        <v>-7.6736981470479956E-2</v>
      </c>
      <c r="J32" s="317">
        <f t="shared" si="27"/>
        <v>-0.44621256729947234</v>
      </c>
      <c r="K32" s="307">
        <f t="shared" si="27"/>
        <v>0.14858435668838682</v>
      </c>
      <c r="L32" s="307">
        <f t="shared" si="27"/>
        <v>1.3260852778438803E-2</v>
      </c>
      <c r="M32" s="307">
        <f t="shared" si="27"/>
        <v>0.13533433611830675</v>
      </c>
      <c r="N32" s="307">
        <f t="shared" si="27"/>
        <v>0.11006548019235365</v>
      </c>
      <c r="O32" s="307">
        <f t="shared" si="27"/>
        <v>1.9481762578324884E-2</v>
      </c>
      <c r="P32" s="335">
        <f t="shared" si="27"/>
        <v>-8.5650019099395694E-2</v>
      </c>
      <c r="Q32" s="309">
        <f>AVERAGE(E32:P32)</f>
        <v>2.223784656844098E-2</v>
      </c>
      <c r="R32">
        <f t="shared" si="12"/>
        <v>1.3627364042798476E-2</v>
      </c>
      <c r="S32">
        <f t="shared" si="10"/>
        <v>1.6396092648875676E-2</v>
      </c>
      <c r="T32">
        <f t="shared" si="10"/>
        <v>0.28970470007310173</v>
      </c>
      <c r="U32">
        <f t="shared" si="10"/>
        <v>0.82687870416239595</v>
      </c>
      <c r="V32">
        <f t="shared" si="10"/>
        <v>9.7960165853339699E-3</v>
      </c>
      <c r="W32">
        <f t="shared" si="10"/>
        <v>0.21944579025301927</v>
      </c>
      <c r="X32">
        <f t="shared" si="10"/>
        <v>1.596344061948958E-2</v>
      </c>
      <c r="Y32">
        <f t="shared" si="10"/>
        <v>8.0586417505737655E-5</v>
      </c>
      <c r="Z32">
        <f t="shared" si="10"/>
        <v>1.2790815948502898E-2</v>
      </c>
      <c r="AA32">
        <f t="shared" si="10"/>
        <v>7.7136932279762357E-3</v>
      </c>
      <c r="AB32">
        <f t="shared" si="10"/>
        <v>7.5959989605742615E-6</v>
      </c>
      <c r="AC32">
        <f t="shared" si="10"/>
        <v>1.1639791558361172E-2</v>
      </c>
      <c r="AD32">
        <f t="shared" si="13"/>
        <v>1.4240445915363211</v>
      </c>
      <c r="AE32" s="333">
        <f t="shared" si="14"/>
        <v>0.359803556445145</v>
      </c>
      <c r="AF32" s="313">
        <f t="shared" si="15"/>
        <v>-0.33756570987670403</v>
      </c>
      <c r="AG32" s="314">
        <f t="shared" si="16"/>
        <v>0.38204140301358597</v>
      </c>
    </row>
    <row r="33" spans="3:33" x14ac:dyDescent="0.3">
      <c r="C33" t="str">
        <f t="shared" si="7"/>
        <v>Floricola [ton/ha]</v>
      </c>
      <c r="E33" s="307" t="e">
        <f t="shared" ref="E33:P33" si="28">(E15-D15)/D15</f>
        <v>#DIV/0!</v>
      </c>
      <c r="F33" s="307" t="e">
        <f t="shared" si="28"/>
        <v>#DIV/0!</v>
      </c>
      <c r="G33" s="307" t="e">
        <f t="shared" si="28"/>
        <v>#DIV/0!</v>
      </c>
      <c r="H33" s="307" t="e">
        <f t="shared" si="28"/>
        <v>#DIV/0!</v>
      </c>
      <c r="I33" s="307">
        <f t="shared" si="28"/>
        <v>8.8148980263388119E-2</v>
      </c>
      <c r="J33" s="307">
        <f t="shared" si="28"/>
        <v>-0.17615017903749094</v>
      </c>
      <c r="K33" s="307">
        <f t="shared" si="28"/>
        <v>6.3691528509247072E-2</v>
      </c>
      <c r="L33" s="307">
        <f t="shared" si="28"/>
        <v>6.8429449875003642E-2</v>
      </c>
      <c r="M33" s="307">
        <f t="shared" si="28"/>
        <v>-0.16287662156543742</v>
      </c>
      <c r="N33" s="317">
        <f t="shared" si="28"/>
        <v>0.30767708615417372</v>
      </c>
      <c r="O33" s="307">
        <f t="shared" si="28"/>
        <v>-0.20775959440445499</v>
      </c>
      <c r="P33" s="336">
        <f t="shared" si="28"/>
        <v>-0.24215818878634351</v>
      </c>
      <c r="Q33" s="309">
        <f>AVERAGE(I33:P33)</f>
        <v>-3.2624692373989288E-2</v>
      </c>
      <c r="R33" t="e">
        <f t="shared" si="12"/>
        <v>#DIV/0!</v>
      </c>
      <c r="S33" t="e">
        <f t="shared" si="10"/>
        <v>#DIV/0!</v>
      </c>
      <c r="T33" t="e">
        <f t="shared" si="10"/>
        <v>#DIV/0!</v>
      </c>
      <c r="U33" t="e">
        <f t="shared" si="10"/>
        <v>#DIV/0!</v>
      </c>
      <c r="V33">
        <f t="shared" si="10"/>
        <v>1.4586280002320403E-2</v>
      </c>
      <c r="W33">
        <f t="shared" si="10"/>
        <v>2.059956532199499E-2</v>
      </c>
      <c r="X33">
        <f t="shared" si="10"/>
        <v>9.2768144052283747E-3</v>
      </c>
      <c r="Y33">
        <f t="shared" si="10"/>
        <v>1.0211939665679697E-2</v>
      </c>
      <c r="Z33">
        <f t="shared" si="10"/>
        <v>1.6965565058094014E-2</v>
      </c>
      <c r="AA33">
        <f t="shared" si="10"/>
        <v>0.11580530046943091</v>
      </c>
      <c r="AB33">
        <f t="shared" si="10"/>
        <v>3.0672233909220817E-2</v>
      </c>
      <c r="AC33">
        <f t="shared" si="10"/>
        <v>4.3904286118786058E-2</v>
      </c>
      <c r="AD33">
        <f>SUM(V33:AC33)</f>
        <v>0.26202198495075524</v>
      </c>
      <c r="AE33" s="333">
        <f>SQRT(AD33/(8-1))</f>
        <v>0.19347276846063421</v>
      </c>
      <c r="AF33" s="313">
        <f t="shared" si="15"/>
        <v>-0.22609746083462351</v>
      </c>
      <c r="AG33" s="314">
        <f t="shared" si="16"/>
        <v>0.16084807608664492</v>
      </c>
    </row>
    <row r="34" spans="3:33" ht="15" thickBot="1" x14ac:dyDescent="0.35">
      <c r="C34" t="str">
        <f t="shared" si="7"/>
        <v>Arroz [ton/ha]</v>
      </c>
      <c r="E34" s="307">
        <f t="shared" ref="E34:P34" si="29">(E16-D16)/D16</f>
        <v>3.2085114357810231E-2</v>
      </c>
      <c r="F34" s="307">
        <f t="shared" si="29"/>
        <v>-5.8348584426171211E-2</v>
      </c>
      <c r="G34" s="307">
        <f t="shared" si="29"/>
        <v>-9.4092955302400319E-2</v>
      </c>
      <c r="H34" s="307">
        <f t="shared" si="29"/>
        <v>1.9814025855752523E-2</v>
      </c>
      <c r="I34" s="307">
        <f t="shared" si="29"/>
        <v>0.13072549953483431</v>
      </c>
      <c r="J34" s="307">
        <f t="shared" si="29"/>
        <v>-4.8925753609410975E-2</v>
      </c>
      <c r="K34" s="317">
        <f t="shared" si="29"/>
        <v>-0.28921734945164673</v>
      </c>
      <c r="L34" s="317">
        <f t="shared" si="29"/>
        <v>0.51953387130751938</v>
      </c>
      <c r="M34" s="307">
        <f t="shared" si="29"/>
        <v>-5.5588772676843319E-2</v>
      </c>
      <c r="N34" s="307">
        <f t="shared" si="29"/>
        <v>-6.3789592754856734E-4</v>
      </c>
      <c r="O34" s="307">
        <f t="shared" si="29"/>
        <v>3.4843232073972608E-2</v>
      </c>
      <c r="P34" s="335">
        <f t="shared" si="29"/>
        <v>3.7891807072410813E-2</v>
      </c>
      <c r="Q34" s="309">
        <f>AVERAGE(E34:P34)</f>
        <v>1.9006853234023232E-2</v>
      </c>
      <c r="R34">
        <f t="shared" si="12"/>
        <v>1.7104091402195837E-4</v>
      </c>
      <c r="S34">
        <f t="shared" si="10"/>
        <v>5.9838637356002282E-3</v>
      </c>
      <c r="T34">
        <f t="shared" si="10"/>
        <v>1.2791566690975666E-2</v>
      </c>
      <c r="U34">
        <f t="shared" si="10"/>
        <v>6.5152764126933777E-7</v>
      </c>
      <c r="V34">
        <f t="shared" si="10"/>
        <v>1.2481055931285729E-2</v>
      </c>
      <c r="W34">
        <f t="shared" si="10"/>
        <v>4.6148390725446039E-3</v>
      </c>
      <c r="X34">
        <f t="shared" si="10"/>
        <v>9.5002159121216956E-2</v>
      </c>
      <c r="Y34">
        <f t="shared" si="10"/>
        <v>0.25052729582154598</v>
      </c>
      <c r="Z34">
        <f t="shared" si="10"/>
        <v>5.5645074050339445E-3</v>
      </c>
      <c r="AA34">
        <f t="shared" si="10"/>
        <v>3.8591616962107596E-4</v>
      </c>
      <c r="AB34">
        <f t="shared" si="10"/>
        <v>2.5079089476239631E-4</v>
      </c>
      <c r="AC34">
        <f t="shared" si="10"/>
        <v>3.5664148147802985E-4</v>
      </c>
      <c r="AD34">
        <f t="shared" si="13"/>
        <v>0.38813032876572784</v>
      </c>
      <c r="AE34" s="333">
        <f t="shared" si="14"/>
        <v>0.18784188921095021</v>
      </c>
      <c r="AF34" s="315">
        <f t="shared" si="15"/>
        <v>-0.16883503597692698</v>
      </c>
      <c r="AG34" s="316">
        <f t="shared" si="16"/>
        <v>0.20684874244497345</v>
      </c>
    </row>
    <row r="36" spans="3:33" ht="15" thickBot="1" x14ac:dyDescent="0.35">
      <c r="G36" s="318" t="s">
        <v>477</v>
      </c>
      <c r="H36" s="318"/>
      <c r="I36" s="318"/>
      <c r="J36" s="318"/>
      <c r="K36" s="318"/>
    </row>
    <row r="37" spans="3:33" ht="101.4" thickBot="1" x14ac:dyDescent="0.35">
      <c r="D37" s="324" t="s">
        <v>478</v>
      </c>
      <c r="E37" s="325" t="s">
        <v>479</v>
      </c>
      <c r="F37" s="326" t="s">
        <v>480</v>
      </c>
    </row>
    <row r="38" spans="3:33" x14ac:dyDescent="0.3">
      <c r="C38" s="311" t="str">
        <f t="shared" ref="C38:C52" si="30">C20</f>
        <v>Banano [ton/ha]</v>
      </c>
      <c r="D38" s="340">
        <f>AVERAGE(E20,G20,I20,J20,K20,L20,O20)</f>
        <v>1.395231914912865E-2</v>
      </c>
      <c r="E38" s="339">
        <f>E20</f>
        <v>5.2036558328367177E-2</v>
      </c>
      <c r="F38" s="327">
        <f>IF(D38&gt;0,D38,E38)</f>
        <v>1.395231914912865E-2</v>
      </c>
    </row>
    <row r="39" spans="3:33" x14ac:dyDescent="0.3">
      <c r="C39" s="319" t="str">
        <f t="shared" si="30"/>
        <v>Cacao - Almendra seca [ton/ha]</v>
      </c>
      <c r="D39" s="341">
        <f>AVERAGE(G21,I21:P21)</f>
        <v>4.955398401342459E-2</v>
      </c>
      <c r="E39" s="322"/>
      <c r="F39" s="328">
        <f t="shared" ref="F39:F52" si="31">IF(D39&gt;0,D39,E39)</f>
        <v>4.955398401342459E-2</v>
      </c>
    </row>
    <row r="40" spans="3:33" x14ac:dyDescent="0.3">
      <c r="C40" s="319" t="str">
        <f t="shared" si="30"/>
        <v>Café - Grano Oro [ton/ha]</v>
      </c>
      <c r="D40" s="341">
        <f>AVERAGE(E22,G22:J22,L22,N22:O22)</f>
        <v>1.6770963226394459E-3</v>
      </c>
      <c r="E40" s="322"/>
      <c r="F40" s="328">
        <f t="shared" si="31"/>
        <v>1.6770963226394459E-3</v>
      </c>
    </row>
    <row r="41" spans="3:33" x14ac:dyDescent="0.3">
      <c r="C41" s="319" t="str">
        <f t="shared" si="30"/>
        <v>Caña de azucar [ton/ha]</v>
      </c>
      <c r="D41" s="342">
        <f>AVERAGE(G23,J23:O23)</f>
        <v>-4.2080651154316348E-2</v>
      </c>
      <c r="E41" s="338">
        <f>N23</f>
        <v>1.2044216887362033E-2</v>
      </c>
      <c r="F41" s="328">
        <f t="shared" si="31"/>
        <v>1.2044216887362033E-2</v>
      </c>
      <c r="G41" t="s">
        <v>481</v>
      </c>
    </row>
    <row r="42" spans="3:33" x14ac:dyDescent="0.3">
      <c r="C42" s="319" t="str">
        <f t="shared" si="30"/>
        <v>Maíz [ton/ha]</v>
      </c>
      <c r="D42" s="341">
        <f>AVERAGE(G24,I24:P24)</f>
        <v>1.6617191193392094E-2</v>
      </c>
      <c r="E42" s="322"/>
      <c r="F42" s="328">
        <f t="shared" si="31"/>
        <v>1.6617191193392094E-2</v>
      </c>
    </row>
    <row r="43" spans="3:33" x14ac:dyDescent="0.3">
      <c r="C43" s="319" t="str">
        <f t="shared" si="30"/>
        <v>Palma africana  (Fruta Fresca) [ton/ha]</v>
      </c>
      <c r="D43" s="341">
        <f>AVERAGE(H25:I25,K25:N25,P25)</f>
        <v>6.6322986717311225E-2</v>
      </c>
      <c r="E43" s="322"/>
      <c r="F43" s="328">
        <f t="shared" si="31"/>
        <v>6.6322986717311225E-2</v>
      </c>
    </row>
    <row r="44" spans="3:33" x14ac:dyDescent="0.3">
      <c r="C44" s="319" t="str">
        <f t="shared" si="30"/>
        <v>Soya [ton/ha]</v>
      </c>
      <c r="D44" s="343">
        <f>AVERAGE(I26,J26,L26,N26)</f>
        <v>2.5528956553414202E-2</v>
      </c>
      <c r="E44" s="321"/>
      <c r="F44" s="328">
        <f t="shared" si="31"/>
        <v>2.5528956553414202E-2</v>
      </c>
    </row>
    <row r="45" spans="3:33" x14ac:dyDescent="0.3">
      <c r="C45" s="319" t="str">
        <f t="shared" si="30"/>
        <v>Palmito [ton/ha]</v>
      </c>
      <c r="D45" s="342">
        <f>AVERAGE(J27,L27:P27)</f>
        <v>-5.8656428822912839E-2</v>
      </c>
      <c r="E45" s="321">
        <f>J27</f>
        <v>7.6133385321299259E-3</v>
      </c>
      <c r="F45" s="328">
        <f t="shared" si="31"/>
        <v>7.6133385321299259E-3</v>
      </c>
    </row>
    <row r="46" spans="3:33" x14ac:dyDescent="0.3">
      <c r="C46" s="319" t="str">
        <f t="shared" si="30"/>
        <v>Legumbres (Pulses) [ton/ha]</v>
      </c>
      <c r="D46" s="342">
        <f>AVERAGE(E28:G28,I28:K28,M28:P28)</f>
        <v>-1.1153174416236223E-2</v>
      </c>
      <c r="E46" s="321">
        <f>G28</f>
        <v>6.9408927253204383E-2</v>
      </c>
      <c r="F46" s="328">
        <f t="shared" si="31"/>
        <v>6.9408927253204383E-2</v>
      </c>
    </row>
    <row r="47" spans="3:33" x14ac:dyDescent="0.3">
      <c r="C47" s="319" t="str">
        <f t="shared" si="30"/>
        <v>Cereales  y pseudocereales [ton/ha]</v>
      </c>
      <c r="D47" s="341">
        <f>AVERAGE(E29,G29,I29,L29:P29)</f>
        <v>0.1002779751115016</v>
      </c>
      <c r="E47" s="322"/>
      <c r="F47" s="328">
        <f t="shared" si="31"/>
        <v>0.1002779751115016</v>
      </c>
    </row>
    <row r="48" spans="3:33" x14ac:dyDescent="0.3">
      <c r="C48" s="319" t="str">
        <f t="shared" si="30"/>
        <v>Tubérculos [ton/ha]</v>
      </c>
      <c r="D48" s="343">
        <f>AVERAGE(E30:G30,I30:N30,P30)</f>
        <v>2.0219734483612802E-2</v>
      </c>
      <c r="E48" s="321"/>
      <c r="F48" s="328">
        <f t="shared" si="31"/>
        <v>2.0219734483612802E-2</v>
      </c>
    </row>
    <row r="49" spans="3:6" x14ac:dyDescent="0.3">
      <c r="C49" s="319" t="str">
        <f t="shared" si="30"/>
        <v>Fruta fresca [ton/ha]</v>
      </c>
      <c r="D49" s="341">
        <f>AVERAGE(E31:F31,I31,M31:O31,K31)</f>
        <v>0.10709094832596781</v>
      </c>
      <c r="E49" s="322"/>
      <c r="F49" s="328">
        <f t="shared" si="31"/>
        <v>0.10709094832596781</v>
      </c>
    </row>
    <row r="50" spans="3:6" x14ac:dyDescent="0.3">
      <c r="C50" s="319" t="str">
        <f t="shared" si="30"/>
        <v>Verduras [ton/ha]</v>
      </c>
      <c r="D50" s="341">
        <f>AVERAGE(E32:F32,I32,K32:P32)</f>
        <v>3.3056061559208344E-2</v>
      </c>
      <c r="E50" s="322"/>
      <c r="F50" s="328">
        <f t="shared" si="31"/>
        <v>3.3056061559208344E-2</v>
      </c>
    </row>
    <row r="51" spans="3:6" x14ac:dyDescent="0.3">
      <c r="C51" s="319" t="str">
        <f t="shared" si="30"/>
        <v>Floricola [ton/ha]</v>
      </c>
      <c r="D51" s="342">
        <f>AVERAGE(I33:M33,O33)</f>
        <v>-5.4419406059957424E-2</v>
      </c>
      <c r="E51" s="321">
        <f>K33</f>
        <v>6.3691528509247072E-2</v>
      </c>
      <c r="F51" s="328">
        <f t="shared" si="31"/>
        <v>6.3691528509247072E-2</v>
      </c>
    </row>
    <row r="52" spans="3:6" ht="15" thickBot="1" x14ac:dyDescent="0.35">
      <c r="C52" s="320" t="str">
        <f t="shared" si="30"/>
        <v>Arroz [ton/ha]</v>
      </c>
      <c r="D52" s="337">
        <f>AVERAGE(E34:J34,M34:P34)</f>
        <v>-2.2342830475939046E-4</v>
      </c>
      <c r="E52" s="323">
        <f>H34</f>
        <v>1.9814025855752523E-2</v>
      </c>
      <c r="F52" s="329">
        <f t="shared" si="31"/>
        <v>1.9814025855752523E-2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87A93-C820-4CC0-8672-178BE204CE15}">
  <sheetPr>
    <tabColor theme="8" tint="0.79998168889431442"/>
  </sheetPr>
  <dimension ref="A1:CC578"/>
  <sheetViews>
    <sheetView tabSelected="1" zoomScale="80" zoomScaleNormal="80" workbookViewId="0">
      <pane xSplit="6" ySplit="2" topLeftCell="BJ234" activePane="bottomRight" state="frozen"/>
      <selection pane="topRight" activeCell="G1" sqref="G1"/>
      <selection pane="bottomLeft" activeCell="A3" sqref="A3"/>
      <selection pane="bottomRight" activeCell="BO208" sqref="BO208:BO221"/>
    </sheetView>
  </sheetViews>
  <sheetFormatPr baseColWidth="10" defaultColWidth="11.44140625" defaultRowHeight="14.4" x14ac:dyDescent="0.3"/>
  <cols>
    <col min="1" max="3" width="18.33203125" customWidth="1"/>
    <col min="4" max="4" width="5" customWidth="1"/>
    <col min="5" max="5" width="3.5546875" customWidth="1"/>
    <col min="6" max="6" width="58" customWidth="1"/>
    <col min="7" max="7" width="12.6640625" customWidth="1"/>
    <col min="8" max="8" width="13" customWidth="1"/>
    <col min="9" max="11" width="15.5546875" customWidth="1"/>
    <col min="12" max="12" width="12.44140625" customWidth="1"/>
    <col min="13" max="18" width="15.5546875" customWidth="1"/>
    <col min="19" max="19" width="14.44140625" customWidth="1"/>
    <col min="68" max="68" width="4.33203125" customWidth="1"/>
    <col min="69" max="81" width="15.109375" customWidth="1"/>
  </cols>
  <sheetData>
    <row r="1" spans="1:81" ht="18.600000000000001" thickBot="1" x14ac:dyDescent="0.35">
      <c r="A1" s="94" t="s">
        <v>482</v>
      </c>
      <c r="B1" s="94"/>
      <c r="C1" s="94"/>
      <c r="D1" s="95"/>
      <c r="E1" s="96"/>
      <c r="F1" s="97" t="s">
        <v>483</v>
      </c>
      <c r="G1" s="98">
        <v>2010</v>
      </c>
      <c r="H1" s="98">
        <v>2011</v>
      </c>
      <c r="I1" s="99">
        <v>2012</v>
      </c>
      <c r="J1" s="99">
        <v>2013</v>
      </c>
      <c r="K1" s="97">
        <v>2014</v>
      </c>
      <c r="L1" s="100">
        <v>2015</v>
      </c>
      <c r="M1" s="100">
        <v>2016</v>
      </c>
      <c r="N1" s="100">
        <v>2017</v>
      </c>
      <c r="O1" s="100">
        <v>2018</v>
      </c>
      <c r="P1" s="100">
        <v>2019</v>
      </c>
      <c r="Q1" s="100">
        <v>2020</v>
      </c>
      <c r="R1" s="100">
        <v>2021</v>
      </c>
      <c r="S1" s="100">
        <v>2022</v>
      </c>
      <c r="T1" s="100">
        <v>2023</v>
      </c>
      <c r="U1" s="100">
        <v>2024</v>
      </c>
      <c r="V1" s="100">
        <v>2025</v>
      </c>
      <c r="W1" s="100">
        <v>2026</v>
      </c>
      <c r="X1" s="100">
        <v>2027</v>
      </c>
      <c r="Y1" s="100">
        <v>2028</v>
      </c>
      <c r="Z1" s="100">
        <v>2029</v>
      </c>
      <c r="AA1" s="100">
        <v>2030</v>
      </c>
      <c r="AB1" s="100">
        <v>2031</v>
      </c>
      <c r="AC1" s="100">
        <v>2032</v>
      </c>
      <c r="AD1" s="100">
        <v>2033</v>
      </c>
      <c r="AE1" s="100">
        <v>2034</v>
      </c>
      <c r="AF1" s="100">
        <v>2035</v>
      </c>
      <c r="AG1" s="100">
        <v>2036</v>
      </c>
      <c r="AH1" s="100">
        <v>2037</v>
      </c>
      <c r="AI1" s="100">
        <v>2038</v>
      </c>
      <c r="AJ1" s="100">
        <v>2039</v>
      </c>
      <c r="AK1" s="100">
        <v>2040</v>
      </c>
      <c r="AL1" s="100">
        <v>2041</v>
      </c>
      <c r="AM1" s="100">
        <v>2042</v>
      </c>
      <c r="AN1" s="100">
        <v>2043</v>
      </c>
      <c r="AO1" s="100">
        <v>2044</v>
      </c>
      <c r="AP1" s="100">
        <v>2045</v>
      </c>
      <c r="AQ1" s="100">
        <v>2046</v>
      </c>
      <c r="AR1" s="100">
        <v>2047</v>
      </c>
      <c r="AS1" s="100">
        <v>2048</v>
      </c>
      <c r="AT1" s="100">
        <v>2049</v>
      </c>
      <c r="AU1" s="100">
        <v>2050</v>
      </c>
      <c r="AV1" s="100">
        <v>2051</v>
      </c>
      <c r="AW1" s="100">
        <v>2052</v>
      </c>
      <c r="AX1" s="100">
        <v>2053</v>
      </c>
      <c r="AY1" s="100">
        <v>2054</v>
      </c>
      <c r="AZ1" s="100">
        <v>2055</v>
      </c>
      <c r="BA1" s="100">
        <v>2056</v>
      </c>
      <c r="BB1" s="100">
        <v>2057</v>
      </c>
      <c r="BC1" s="100">
        <v>2058</v>
      </c>
      <c r="BD1" s="100">
        <v>2059</v>
      </c>
      <c r="BE1" s="100">
        <v>2060</v>
      </c>
      <c r="BF1" s="100">
        <v>2061</v>
      </c>
      <c r="BG1" s="100">
        <v>2062</v>
      </c>
      <c r="BH1" s="100">
        <v>2063</v>
      </c>
      <c r="BI1" s="100">
        <v>2064</v>
      </c>
      <c r="BJ1" s="100">
        <v>2065</v>
      </c>
      <c r="BK1" s="100">
        <v>2066</v>
      </c>
      <c r="BL1" s="100">
        <v>2067</v>
      </c>
      <c r="BM1" s="100">
        <v>2068</v>
      </c>
      <c r="BN1" s="100">
        <v>2069</v>
      </c>
      <c r="BO1" s="100">
        <v>2070</v>
      </c>
      <c r="BP1" s="101"/>
      <c r="BQ1" s="102"/>
      <c r="BR1" s="102"/>
      <c r="BS1" s="102"/>
      <c r="BT1" s="102"/>
      <c r="BU1" s="102"/>
      <c r="BV1" s="102"/>
      <c r="BW1" s="102"/>
      <c r="BX1" s="102"/>
      <c r="BY1" s="102"/>
      <c r="BZ1" s="102"/>
      <c r="CA1" s="102"/>
      <c r="CB1" s="102"/>
      <c r="CC1" s="102"/>
    </row>
    <row r="2" spans="1:81" x14ac:dyDescent="0.3">
      <c r="A2" s="354"/>
      <c r="B2" s="354"/>
      <c r="C2" s="354"/>
      <c r="D2" s="359"/>
      <c r="E2" s="359"/>
      <c r="F2" s="103"/>
      <c r="G2" s="103"/>
      <c r="H2" s="103"/>
      <c r="I2" s="103"/>
      <c r="J2" s="103"/>
      <c r="K2" s="103"/>
      <c r="L2" s="359"/>
      <c r="M2" s="359"/>
      <c r="N2" s="359"/>
      <c r="O2" s="359"/>
      <c r="P2" s="359"/>
      <c r="Q2" s="359"/>
      <c r="R2" s="359"/>
      <c r="S2" s="359"/>
      <c r="T2" s="359"/>
      <c r="U2" s="359"/>
      <c r="V2" s="359"/>
      <c r="W2" s="359"/>
      <c r="X2" s="359"/>
      <c r="Y2" s="359"/>
      <c r="Z2" s="359"/>
      <c r="AA2" s="359"/>
      <c r="AB2" s="359"/>
      <c r="AC2" s="359"/>
      <c r="AD2" s="359"/>
      <c r="AE2" s="359"/>
      <c r="AF2" s="359"/>
      <c r="AG2" s="359"/>
      <c r="AH2" s="359"/>
      <c r="AI2" s="359"/>
      <c r="AJ2" s="359"/>
      <c r="AK2" s="359"/>
      <c r="AL2" s="359"/>
      <c r="AM2" s="359"/>
      <c r="AN2" s="359"/>
      <c r="AO2" s="359"/>
      <c r="AP2" s="359"/>
      <c r="AQ2" s="359"/>
      <c r="AR2" s="359"/>
      <c r="AS2" s="359"/>
      <c r="AT2" s="359"/>
      <c r="AU2" s="359"/>
      <c r="AV2" s="359"/>
      <c r="AW2" s="359"/>
      <c r="AX2" s="359"/>
      <c r="AY2" s="359"/>
      <c r="AZ2" s="359"/>
      <c r="BA2" s="359"/>
      <c r="BB2" s="359"/>
      <c r="BC2" s="359"/>
      <c r="BD2" s="359"/>
      <c r="BE2" s="359"/>
      <c r="BF2" s="359"/>
      <c r="BG2" s="359"/>
      <c r="BH2" s="359"/>
      <c r="BI2" s="359"/>
      <c r="BJ2" s="359"/>
      <c r="BK2" s="359"/>
      <c r="BL2" s="359"/>
      <c r="BM2" s="359"/>
      <c r="BN2" s="359"/>
      <c r="BO2" s="359"/>
      <c r="BP2" s="103"/>
    </row>
    <row r="3" spans="1:81" ht="25.8" x14ac:dyDescent="0.3">
      <c r="A3" s="354"/>
      <c r="B3" s="354"/>
      <c r="C3" s="354"/>
      <c r="D3" s="359"/>
      <c r="E3" s="104"/>
      <c r="F3" s="104" t="s">
        <v>484</v>
      </c>
      <c r="G3" s="104"/>
      <c r="H3" s="103"/>
      <c r="I3" s="103"/>
      <c r="J3" s="103"/>
      <c r="K3" s="103"/>
      <c r="L3" s="359"/>
      <c r="M3" s="359"/>
      <c r="N3" s="359"/>
      <c r="O3" s="359"/>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103"/>
    </row>
    <row r="4" spans="1:81" ht="15" thickBot="1" x14ac:dyDescent="0.35">
      <c r="A4" s="354"/>
      <c r="B4" s="354"/>
      <c r="C4" s="354"/>
      <c r="D4" s="359"/>
      <c r="E4" s="359"/>
      <c r="F4" s="103"/>
      <c r="G4" s="103"/>
      <c r="H4" s="103"/>
      <c r="I4" s="103"/>
      <c r="J4" s="103"/>
      <c r="K4" s="103"/>
      <c r="L4" s="359"/>
      <c r="M4" s="359"/>
      <c r="N4" s="359"/>
      <c r="O4" s="359"/>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103"/>
    </row>
    <row r="5" spans="1:81" x14ac:dyDescent="0.3">
      <c r="A5" s="354"/>
      <c r="B5" s="354"/>
      <c r="C5" s="354"/>
      <c r="D5" s="359"/>
      <c r="E5" s="105"/>
      <c r="F5" s="106"/>
      <c r="G5" s="106"/>
      <c r="H5" s="106"/>
      <c r="I5" s="106"/>
      <c r="J5" s="106"/>
      <c r="K5" s="106"/>
      <c r="L5" s="107"/>
      <c r="M5" s="107"/>
      <c r="N5" s="107"/>
      <c r="O5" s="107"/>
      <c r="P5" s="107"/>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7"/>
      <c r="BL5" s="107"/>
      <c r="BM5" s="107"/>
      <c r="BN5" s="107"/>
      <c r="BO5" s="107"/>
      <c r="BP5" s="108"/>
    </row>
    <row r="6" spans="1:81" ht="15.6" x14ac:dyDescent="0.3">
      <c r="A6" s="354"/>
      <c r="B6" s="354"/>
      <c r="C6" s="354"/>
      <c r="D6" s="359"/>
      <c r="E6" s="109"/>
      <c r="F6" s="110" t="s">
        <v>485</v>
      </c>
      <c r="G6" s="111"/>
      <c r="H6" s="111"/>
      <c r="I6" s="111"/>
      <c r="J6" s="111"/>
      <c r="K6" s="111"/>
      <c r="L6" s="112"/>
      <c r="M6" s="113"/>
      <c r="N6" s="113"/>
      <c r="O6" s="113"/>
      <c r="P6" s="113"/>
      <c r="Q6" s="113"/>
      <c r="R6" s="113"/>
      <c r="S6" s="113"/>
      <c r="T6" s="113"/>
      <c r="U6" s="113"/>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3"/>
      <c r="BA6" s="113"/>
      <c r="BB6" s="113"/>
      <c r="BC6" s="113"/>
      <c r="BD6" s="113"/>
      <c r="BE6" s="113"/>
      <c r="BF6" s="113"/>
      <c r="BG6" s="113"/>
      <c r="BH6" s="113"/>
      <c r="BI6" s="113"/>
      <c r="BJ6" s="113"/>
      <c r="BK6" s="113"/>
      <c r="BL6" s="113"/>
      <c r="BM6" s="113"/>
      <c r="BN6" s="113"/>
      <c r="BO6" s="113"/>
      <c r="BP6" s="114"/>
    </row>
    <row r="7" spans="1:81" ht="15.6" x14ac:dyDescent="0.3">
      <c r="A7" s="354"/>
      <c r="B7" s="354"/>
      <c r="C7" s="354"/>
      <c r="D7" s="359"/>
      <c r="E7" s="115"/>
      <c r="F7" s="116" t="s">
        <v>486</v>
      </c>
      <c r="G7" s="111"/>
      <c r="H7" s="111"/>
      <c r="I7" s="111"/>
      <c r="J7" s="111"/>
      <c r="K7" s="111"/>
      <c r="L7" s="112"/>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c r="BG7" s="113"/>
      <c r="BH7" s="113"/>
      <c r="BI7" s="113"/>
      <c r="BJ7" s="113"/>
      <c r="BK7" s="113"/>
      <c r="BL7" s="113"/>
      <c r="BM7" s="113"/>
      <c r="BN7" s="113"/>
      <c r="BO7" s="113"/>
      <c r="BP7" s="114"/>
    </row>
    <row r="8" spans="1:81" x14ac:dyDescent="0.3">
      <c r="A8" s="382" t="s">
        <v>487</v>
      </c>
      <c r="B8" s="354"/>
      <c r="C8" s="354"/>
      <c r="D8" s="359"/>
      <c r="E8" s="115"/>
      <c r="F8" s="117" t="s">
        <v>488</v>
      </c>
      <c r="G8" s="118">
        <v>235773</v>
      </c>
      <c r="H8" s="118">
        <v>200110</v>
      </c>
      <c r="I8" s="118">
        <v>221775</v>
      </c>
      <c r="J8" s="118">
        <v>217874</v>
      </c>
      <c r="K8" s="118">
        <v>196673</v>
      </c>
      <c r="L8" s="119">
        <v>195533</v>
      </c>
      <c r="M8" s="119">
        <v>186222</v>
      </c>
      <c r="N8" s="119">
        <v>166972</v>
      </c>
      <c r="O8" s="119">
        <v>173706</v>
      </c>
      <c r="P8" s="119">
        <v>190381</v>
      </c>
      <c r="Q8" s="119">
        <v>165080</v>
      </c>
      <c r="R8" s="119">
        <v>167893</v>
      </c>
      <c r="S8" s="119">
        <v>172653</v>
      </c>
      <c r="T8" s="119">
        <f t="shared" ref="T8:BO13" si="0">T24*1000000</f>
        <v>171797.75920311114</v>
      </c>
      <c r="U8" s="119">
        <f t="shared" si="0"/>
        <v>182266.21689268245</v>
      </c>
      <c r="V8" s="119">
        <f t="shared" si="0"/>
        <v>182580.87677570863</v>
      </c>
      <c r="W8" s="119">
        <f t="shared" si="0"/>
        <v>193539.14044253985</v>
      </c>
      <c r="X8" s="119">
        <f t="shared" si="0"/>
        <v>198351.25439036646</v>
      </c>
      <c r="Y8" s="119">
        <f t="shared" si="0"/>
        <v>199343.01066231827</v>
      </c>
      <c r="Z8" s="119">
        <f t="shared" si="0"/>
        <v>200339.72571562984</v>
      </c>
      <c r="AA8" s="119">
        <f t="shared" si="0"/>
        <v>201341.42434420795</v>
      </c>
      <c r="AB8" s="119">
        <f t="shared" si="0"/>
        <v>202348.13146592898</v>
      </c>
      <c r="AC8" s="119">
        <f t="shared" si="0"/>
        <v>203359.8721232586</v>
      </c>
      <c r="AD8" s="119">
        <f t="shared" si="0"/>
        <v>204376.67148387487</v>
      </c>
      <c r="AE8" s="119">
        <f t="shared" si="0"/>
        <v>205398.55484129422</v>
      </c>
      <c r="AF8" s="119">
        <f t="shared" si="0"/>
        <v>206425.54761550066</v>
      </c>
      <c r="AG8" s="119">
        <f t="shared" si="0"/>
        <v>207457.67535357815</v>
      </c>
      <c r="AH8" s="119">
        <f t="shared" si="0"/>
        <v>208494.963730346</v>
      </c>
      <c r="AI8" s="119">
        <f t="shared" si="0"/>
        <v>209537.43854899774</v>
      </c>
      <c r="AJ8" s="119">
        <f t="shared" si="0"/>
        <v>210585.1257417427</v>
      </c>
      <c r="AK8" s="119">
        <f t="shared" si="0"/>
        <v>211638.05137045137</v>
      </c>
      <c r="AL8" s="119">
        <f t="shared" si="0"/>
        <v>212696.24162730359</v>
      </c>
      <c r="AM8" s="119">
        <f t="shared" si="0"/>
        <v>213759.7228354401</v>
      </c>
      <c r="AN8" s="119">
        <f t="shared" si="0"/>
        <v>214828.52144961728</v>
      </c>
      <c r="AO8" s="119">
        <f t="shared" si="0"/>
        <v>215902.66405686535</v>
      </c>
      <c r="AP8" s="119">
        <f t="shared" si="0"/>
        <v>216982.17737714964</v>
      </c>
      <c r="AQ8" s="119">
        <f t="shared" si="0"/>
        <v>218067.08826403538</v>
      </c>
      <c r="AR8" s="119">
        <f t="shared" si="0"/>
        <v>219157.42370535553</v>
      </c>
      <c r="AS8" s="119">
        <f t="shared" si="0"/>
        <v>220253.21082388228</v>
      </c>
      <c r="AT8" s="119">
        <f t="shared" si="0"/>
        <v>221354.47687800167</v>
      </c>
      <c r="AU8" s="119">
        <f t="shared" si="0"/>
        <v>222461.24926239168</v>
      </c>
      <c r="AV8" s="119">
        <f t="shared" si="0"/>
        <v>223573.55550870358</v>
      </c>
      <c r="AW8" s="119">
        <f t="shared" si="0"/>
        <v>224691.4232862471</v>
      </c>
      <c r="AX8" s="119">
        <f t="shared" si="0"/>
        <v>225814.8804026783</v>
      </c>
      <c r="AY8" s="119">
        <f t="shared" si="0"/>
        <v>226943.95480469169</v>
      </c>
      <c r="AZ8" s="119">
        <f t="shared" si="0"/>
        <v>228078.67457871512</v>
      </c>
      <c r="BA8" s="119">
        <f t="shared" si="0"/>
        <v>229219.06795160865</v>
      </c>
      <c r="BB8" s="119">
        <f t="shared" si="0"/>
        <v>230365.16329136665</v>
      </c>
      <c r="BC8" s="119">
        <f t="shared" si="0"/>
        <v>231516.98910782347</v>
      </c>
      <c r="BD8" s="119">
        <f t="shared" si="0"/>
        <v>232674.57405336256</v>
      </c>
      <c r="BE8" s="119">
        <f t="shared" si="0"/>
        <v>233837.94692362935</v>
      </c>
      <c r="BF8" s="119">
        <f t="shared" si="0"/>
        <v>235007.1366582475</v>
      </c>
      <c r="BG8" s="119">
        <f t="shared" si="0"/>
        <v>236182.17234153871</v>
      </c>
      <c r="BH8" s="119">
        <f t="shared" si="0"/>
        <v>237363.08320324638</v>
      </c>
      <c r="BI8" s="119">
        <f t="shared" si="0"/>
        <v>238549.89861926256</v>
      </c>
      <c r="BJ8" s="119">
        <f t="shared" si="0"/>
        <v>239742.64811235885</v>
      </c>
      <c r="BK8" s="119">
        <f t="shared" si="0"/>
        <v>240941.36135292059</v>
      </c>
      <c r="BL8" s="119">
        <f t="shared" si="0"/>
        <v>242146.06815968518</v>
      </c>
      <c r="BM8" s="119">
        <f t="shared" si="0"/>
        <v>243356.79850048359</v>
      </c>
      <c r="BN8" s="119">
        <f t="shared" si="0"/>
        <v>244573.58249298597</v>
      </c>
      <c r="BO8" s="119">
        <f t="shared" si="0"/>
        <v>245796.45040545086</v>
      </c>
      <c r="BP8" s="114"/>
    </row>
    <row r="9" spans="1:81" x14ac:dyDescent="0.3">
      <c r="A9" s="388"/>
      <c r="D9" s="359"/>
      <c r="E9" s="115"/>
      <c r="F9" s="117" t="s">
        <v>489</v>
      </c>
      <c r="G9" s="118">
        <v>470054</v>
      </c>
      <c r="H9" s="118">
        <v>521091</v>
      </c>
      <c r="I9" s="118">
        <v>507721</v>
      </c>
      <c r="J9" s="118">
        <v>508885</v>
      </c>
      <c r="K9" s="118">
        <v>487316</v>
      </c>
      <c r="L9" s="119">
        <v>537410</v>
      </c>
      <c r="M9" s="119">
        <v>559617</v>
      </c>
      <c r="N9" s="119">
        <v>573516</v>
      </c>
      <c r="O9" s="119">
        <v>573833</v>
      </c>
      <c r="P9" s="119">
        <v>601954</v>
      </c>
      <c r="Q9" s="119">
        <v>590579</v>
      </c>
      <c r="R9" s="119">
        <v>626962</v>
      </c>
      <c r="S9" s="119">
        <v>591556.80703088571</v>
      </c>
      <c r="T9" s="119">
        <f t="shared" ref="T9:AH9" si="1">T25*1000000</f>
        <v>588626.51612919208</v>
      </c>
      <c r="U9" s="119">
        <f t="shared" si="1"/>
        <v>624494.34006147669</v>
      </c>
      <c r="V9" s="119">
        <f t="shared" si="1"/>
        <v>625572.4516245753</v>
      </c>
      <c r="W9" s="119">
        <f t="shared" si="1"/>
        <v>676380.85567470512</v>
      </c>
      <c r="X9" s="119">
        <f t="shared" si="1"/>
        <v>707062.2029176018</v>
      </c>
      <c r="Y9" s="119">
        <f t="shared" si="1"/>
        <v>739489.33014761296</v>
      </c>
      <c r="Z9" s="119">
        <f t="shared" si="1"/>
        <v>770887.54955945374</v>
      </c>
      <c r="AA9" s="119">
        <f t="shared" si="1"/>
        <v>806113.49451750144</v>
      </c>
      <c r="AB9" s="119">
        <f t="shared" si="1"/>
        <v>812031.8705867005</v>
      </c>
      <c r="AC9" s="119">
        <f t="shared" si="1"/>
        <v>843681.27074164234</v>
      </c>
      <c r="AD9" s="119">
        <f t="shared" si="1"/>
        <v>879558.26947938022</v>
      </c>
      <c r="AE9" s="119">
        <f t="shared" si="1"/>
        <v>911300.59271647898</v>
      </c>
      <c r="AF9" s="119">
        <f t="shared" si="1"/>
        <v>943333.23094324011</v>
      </c>
      <c r="AG9" s="119">
        <f t="shared" si="1"/>
        <v>956674.38800405152</v>
      </c>
      <c r="AH9" s="119">
        <f t="shared" si="1"/>
        <v>968197.81095925765</v>
      </c>
      <c r="AI9" s="119">
        <f t="shared" si="0"/>
        <v>978251.58717554016</v>
      </c>
      <c r="AJ9" s="119">
        <f t="shared" si="0"/>
        <v>992684.57879647193</v>
      </c>
      <c r="AK9" s="119">
        <f t="shared" si="0"/>
        <v>1006058.7906793827</v>
      </c>
      <c r="AL9" s="119">
        <f t="shared" si="0"/>
        <v>1018698.7198074311</v>
      </c>
      <c r="AM9" s="119">
        <f t="shared" si="0"/>
        <v>1030914.3790819608</v>
      </c>
      <c r="AN9" s="119">
        <f t="shared" si="0"/>
        <v>1041489.9066409018</v>
      </c>
      <c r="AO9" s="119">
        <f t="shared" si="0"/>
        <v>1053286.8719116845</v>
      </c>
      <c r="AP9" s="119">
        <f t="shared" si="0"/>
        <v>1064135.7135910783</v>
      </c>
      <c r="AQ9" s="119">
        <f t="shared" si="0"/>
        <v>1076623.5416916974</v>
      </c>
      <c r="AR9" s="119">
        <f t="shared" si="0"/>
        <v>1087526.8697346668</v>
      </c>
      <c r="AS9" s="119">
        <f t="shared" si="0"/>
        <v>1098061.3717915663</v>
      </c>
      <c r="AT9" s="119">
        <f t="shared" si="0"/>
        <v>1108586.3808675078</v>
      </c>
      <c r="AU9" s="119">
        <f t="shared" si="0"/>
        <v>1118967.1270728055</v>
      </c>
      <c r="AV9" s="119">
        <f t="shared" si="0"/>
        <v>1129960.8633025007</v>
      </c>
      <c r="AW9" s="119">
        <f t="shared" si="0"/>
        <v>1140204.9279180712</v>
      </c>
      <c r="AX9" s="119">
        <f t="shared" si="0"/>
        <v>1150272.9070929347</v>
      </c>
      <c r="AY9" s="119">
        <f t="shared" si="0"/>
        <v>1160287.0860698996</v>
      </c>
      <c r="AZ9" s="119">
        <f t="shared" si="0"/>
        <v>1170128.2311425782</v>
      </c>
      <c r="BA9" s="119">
        <f t="shared" si="0"/>
        <v>1179917.3414690918</v>
      </c>
      <c r="BB9" s="119">
        <f t="shared" si="0"/>
        <v>1189300.3833558443</v>
      </c>
      <c r="BC9" s="119">
        <f t="shared" si="0"/>
        <v>1198523.3574080989</v>
      </c>
      <c r="BD9" s="119">
        <f t="shared" si="0"/>
        <v>1207576.35681995</v>
      </c>
      <c r="BE9" s="119">
        <f t="shared" si="0"/>
        <v>1216423.5317123539</v>
      </c>
      <c r="BF9" s="119">
        <f t="shared" si="0"/>
        <v>1225033.161763458</v>
      </c>
      <c r="BG9" s="119">
        <f t="shared" si="0"/>
        <v>1233421.7169071776</v>
      </c>
      <c r="BH9" s="119">
        <f t="shared" si="0"/>
        <v>1241593.9672880378</v>
      </c>
      <c r="BI9" s="119">
        <f t="shared" si="0"/>
        <v>1249547.5327244708</v>
      </c>
      <c r="BJ9" s="119">
        <f t="shared" si="0"/>
        <v>1257262.4115512532</v>
      </c>
      <c r="BK9" s="119">
        <f t="shared" si="0"/>
        <v>1264733.6138741642</v>
      </c>
      <c r="BL9" s="119">
        <f t="shared" si="0"/>
        <v>1271950.2271003826</v>
      </c>
      <c r="BM9" s="119">
        <f t="shared" si="0"/>
        <v>1278920.6836997268</v>
      </c>
      <c r="BN9" s="119">
        <f t="shared" si="0"/>
        <v>1285638.8930936945</v>
      </c>
      <c r="BO9" s="119">
        <f t="shared" si="0"/>
        <v>1292098.669706393</v>
      </c>
      <c r="BP9" s="114"/>
    </row>
    <row r="10" spans="1:81" x14ac:dyDescent="0.3">
      <c r="A10" s="388"/>
      <c r="D10" s="359"/>
      <c r="E10" s="115"/>
      <c r="F10" s="117" t="s">
        <v>490</v>
      </c>
      <c r="G10" s="118">
        <v>191080</v>
      </c>
      <c r="H10" s="118">
        <v>122856</v>
      </c>
      <c r="I10" s="118">
        <v>113029</v>
      </c>
      <c r="J10" s="118">
        <v>97684</v>
      </c>
      <c r="K10" s="118">
        <v>70269</v>
      </c>
      <c r="L10" s="119">
        <v>79744</v>
      </c>
      <c r="M10" s="119">
        <v>55898</v>
      </c>
      <c r="N10" s="119">
        <v>52714</v>
      </c>
      <c r="O10" s="119">
        <v>45852</v>
      </c>
      <c r="P10" s="119">
        <v>48097</v>
      </c>
      <c r="Q10" s="119">
        <v>34789</v>
      </c>
      <c r="R10" s="119">
        <v>34931</v>
      </c>
      <c r="S10" s="119">
        <v>36397.649194333069</v>
      </c>
      <c r="T10" s="119">
        <f t="shared" si="0"/>
        <v>36217.352561770393</v>
      </c>
      <c r="U10" s="119">
        <f t="shared" si="0"/>
        <v>38424.248767400968</v>
      </c>
      <c r="V10" s="119">
        <f t="shared" si="0"/>
        <v>38490.583438897658</v>
      </c>
      <c r="W10" s="119">
        <f t="shared" si="0"/>
        <v>40800.737544093208</v>
      </c>
      <c r="X10" s="119">
        <f t="shared" si="0"/>
        <v>41815.197966768465</v>
      </c>
      <c r="Y10" s="119">
        <f t="shared" si="0"/>
        <v>42875.408962745052</v>
      </c>
      <c r="Z10" s="119">
        <f t="shared" si="0"/>
        <v>43819.480372250677</v>
      </c>
      <c r="AA10" s="119">
        <f t="shared" si="0"/>
        <v>44923.357919728296</v>
      </c>
      <c r="AB10" s="119">
        <f t="shared" si="0"/>
        <v>44365.861889824286</v>
      </c>
      <c r="AC10" s="119">
        <f t="shared" si="0"/>
        <v>45191.22194120429</v>
      </c>
      <c r="AD10" s="119">
        <f t="shared" si="0"/>
        <v>46189.166018104654</v>
      </c>
      <c r="AE10" s="119">
        <f t="shared" si="0"/>
        <v>46917.729347426226</v>
      </c>
      <c r="AF10" s="119">
        <f t="shared" si="0"/>
        <v>47614.616941775261</v>
      </c>
      <c r="AG10" s="119">
        <f t="shared" si="0"/>
        <v>48288.010035725136</v>
      </c>
      <c r="AH10" s="119">
        <f t="shared" si="0"/>
        <v>48869.653247129405</v>
      </c>
      <c r="AI10" s="119">
        <f t="shared" si="0"/>
        <v>49377.11623863026</v>
      </c>
      <c r="AJ10" s="119">
        <f t="shared" si="0"/>
        <v>50105.619533979421</v>
      </c>
      <c r="AK10" s="119">
        <f t="shared" si="0"/>
        <v>50780.681065593424</v>
      </c>
      <c r="AL10" s="119">
        <f t="shared" si="0"/>
        <v>51418.679774704331</v>
      </c>
      <c r="AM10" s="119">
        <f t="shared" si="0"/>
        <v>52035.263520478227</v>
      </c>
      <c r="AN10" s="119">
        <f t="shared" si="0"/>
        <v>52569.061840264607</v>
      </c>
      <c r="AO10" s="119">
        <f t="shared" si="0"/>
        <v>53164.512062962793</v>
      </c>
      <c r="AP10" s="119">
        <f t="shared" si="0"/>
        <v>53712.105875925132</v>
      </c>
      <c r="AQ10" s="119">
        <f t="shared" si="0"/>
        <v>54342.427306297279</v>
      </c>
      <c r="AR10" s="119">
        <f t="shared" si="0"/>
        <v>54892.771311074248</v>
      </c>
      <c r="AS10" s="119">
        <f t="shared" si="0"/>
        <v>55424.49887420702</v>
      </c>
      <c r="AT10" s="119">
        <f t="shared" si="0"/>
        <v>55955.747280412936</v>
      </c>
      <c r="AU10" s="119">
        <f t="shared" si="0"/>
        <v>56479.714037781167</v>
      </c>
      <c r="AV10" s="119">
        <f t="shared" si="0"/>
        <v>57034.621383526253</v>
      </c>
      <c r="AW10" s="119">
        <f t="shared" si="0"/>
        <v>57551.689156183289</v>
      </c>
      <c r="AX10" s="119">
        <f t="shared" si="0"/>
        <v>58059.869040092985</v>
      </c>
      <c r="AY10" s="119">
        <f t="shared" si="0"/>
        <v>58565.333366307568</v>
      </c>
      <c r="AZ10" s="119">
        <f t="shared" si="0"/>
        <v>59062.063829661965</v>
      </c>
      <c r="BA10" s="119">
        <f t="shared" si="0"/>
        <v>59556.167846258162</v>
      </c>
      <c r="BB10" s="119">
        <f t="shared" si="0"/>
        <v>60029.775613409147</v>
      </c>
      <c r="BC10" s="119">
        <f t="shared" si="0"/>
        <v>60495.303978314652</v>
      </c>
      <c r="BD10" s="119">
        <f t="shared" si="0"/>
        <v>60952.252896289683</v>
      </c>
      <c r="BE10" s="119">
        <f t="shared" si="0"/>
        <v>61398.81284954978</v>
      </c>
      <c r="BF10" s="119">
        <f t="shared" si="0"/>
        <v>61833.382759149819</v>
      </c>
      <c r="BG10" s="119">
        <f t="shared" si="0"/>
        <v>62256.793942771314</v>
      </c>
      <c r="BH10" s="119">
        <f t="shared" si="0"/>
        <v>62669.287172812466</v>
      </c>
      <c r="BI10" s="119">
        <f t="shared" si="0"/>
        <v>63070.742309931331</v>
      </c>
      <c r="BJ10" s="119">
        <f t="shared" si="0"/>
        <v>63460.149772787438</v>
      </c>
      <c r="BK10" s="119">
        <f t="shared" si="0"/>
        <v>63837.257697146473</v>
      </c>
      <c r="BL10" s="119">
        <f t="shared" si="0"/>
        <v>64201.515271365235</v>
      </c>
      <c r="BM10" s="119">
        <f t="shared" si="0"/>
        <v>64553.3481232146</v>
      </c>
      <c r="BN10" s="119">
        <f t="shared" si="0"/>
        <v>64892.448831570386</v>
      </c>
      <c r="BO10" s="119">
        <f t="shared" si="0"/>
        <v>65218.505180328015</v>
      </c>
      <c r="BP10" s="114"/>
    </row>
    <row r="11" spans="1:81" x14ac:dyDescent="0.3">
      <c r="A11" s="388"/>
      <c r="D11" s="359"/>
      <c r="E11" s="115"/>
      <c r="F11" s="117" t="s">
        <v>491</v>
      </c>
      <c r="G11" s="118">
        <v>156530</v>
      </c>
      <c r="H11" s="118">
        <v>137829</v>
      </c>
      <c r="I11" s="118">
        <v>150448</v>
      </c>
      <c r="J11" s="118">
        <v>163476</v>
      </c>
      <c r="K11" s="118">
        <v>139467</v>
      </c>
      <c r="L11" s="119">
        <v>104557.78184174711</v>
      </c>
      <c r="M11" s="119">
        <v>125587</v>
      </c>
      <c r="N11" s="119">
        <v>134950</v>
      </c>
      <c r="O11" s="119">
        <v>132771</v>
      </c>
      <c r="P11" s="119">
        <v>144116</v>
      </c>
      <c r="Q11" s="119">
        <v>157986</v>
      </c>
      <c r="R11" s="119">
        <v>151764</v>
      </c>
      <c r="S11" s="119">
        <v>141031</v>
      </c>
      <c r="T11" s="119">
        <f t="shared" si="0"/>
        <v>140332.39954228405</v>
      </c>
      <c r="U11" s="119">
        <f t="shared" si="0"/>
        <v>148883.52264132045</v>
      </c>
      <c r="V11" s="119">
        <f t="shared" si="0"/>
        <v>149140.55146771253</v>
      </c>
      <c r="W11" s="119">
        <f t="shared" si="0"/>
        <v>158091.77086845777</v>
      </c>
      <c r="X11" s="119">
        <f t="shared" si="0"/>
        <v>158091.77086845777</v>
      </c>
      <c r="Y11" s="119">
        <f t="shared" si="0"/>
        <v>158091.77086845777</v>
      </c>
      <c r="Z11" s="119">
        <f t="shared" si="0"/>
        <v>158091.77086845777</v>
      </c>
      <c r="AA11" s="119">
        <f t="shared" si="0"/>
        <v>158091.77086845777</v>
      </c>
      <c r="AB11" s="119">
        <f t="shared" si="0"/>
        <v>158091.77086845777</v>
      </c>
      <c r="AC11" s="119">
        <f t="shared" si="0"/>
        <v>158091.77086845777</v>
      </c>
      <c r="AD11" s="119">
        <f t="shared" si="0"/>
        <v>158091.77086845777</v>
      </c>
      <c r="AE11" s="119">
        <f t="shared" si="0"/>
        <v>158091.77086845777</v>
      </c>
      <c r="AF11" s="119">
        <f t="shared" si="0"/>
        <v>158091.77086845777</v>
      </c>
      <c r="AG11" s="119">
        <f t="shared" si="0"/>
        <v>158091.77086845777</v>
      </c>
      <c r="AH11" s="119">
        <f t="shared" si="0"/>
        <v>158091.77086845777</v>
      </c>
      <c r="AI11" s="119">
        <f t="shared" si="0"/>
        <v>158091.77086845777</v>
      </c>
      <c r="AJ11" s="119">
        <f t="shared" si="0"/>
        <v>158091.77086845777</v>
      </c>
      <c r="AK11" s="119">
        <f t="shared" si="0"/>
        <v>158091.77086845777</v>
      </c>
      <c r="AL11" s="119">
        <f t="shared" si="0"/>
        <v>158091.77086845777</v>
      </c>
      <c r="AM11" s="119">
        <f t="shared" si="0"/>
        <v>158091.77086845777</v>
      </c>
      <c r="AN11" s="119">
        <f t="shared" si="0"/>
        <v>158091.77086845777</v>
      </c>
      <c r="AO11" s="119">
        <f t="shared" si="0"/>
        <v>158091.77086845777</v>
      </c>
      <c r="AP11" s="119">
        <f t="shared" si="0"/>
        <v>158091.77086845777</v>
      </c>
      <c r="AQ11" s="119">
        <f t="shared" si="0"/>
        <v>158091.77086845777</v>
      </c>
      <c r="AR11" s="119">
        <f t="shared" si="0"/>
        <v>158091.77086845777</v>
      </c>
      <c r="AS11" s="119">
        <f t="shared" si="0"/>
        <v>158091.77086845777</v>
      </c>
      <c r="AT11" s="119">
        <f t="shared" si="0"/>
        <v>158091.77086845777</v>
      </c>
      <c r="AU11" s="119">
        <f t="shared" si="0"/>
        <v>158091.77086845777</v>
      </c>
      <c r="AV11" s="119">
        <f t="shared" si="0"/>
        <v>158091.77086845777</v>
      </c>
      <c r="AW11" s="119">
        <f t="shared" si="0"/>
        <v>158091.77086845777</v>
      </c>
      <c r="AX11" s="119">
        <f t="shared" si="0"/>
        <v>158091.77086845777</v>
      </c>
      <c r="AY11" s="119">
        <f t="shared" si="0"/>
        <v>158091.77086845777</v>
      </c>
      <c r="AZ11" s="119">
        <f t="shared" si="0"/>
        <v>158091.77086845777</v>
      </c>
      <c r="BA11" s="119">
        <f t="shared" si="0"/>
        <v>158091.77086845777</v>
      </c>
      <c r="BB11" s="119">
        <f t="shared" si="0"/>
        <v>158091.77086845777</v>
      </c>
      <c r="BC11" s="119">
        <f t="shared" si="0"/>
        <v>158091.77086845777</v>
      </c>
      <c r="BD11" s="119">
        <f t="shared" si="0"/>
        <v>158091.77086845777</v>
      </c>
      <c r="BE11" s="119">
        <f t="shared" si="0"/>
        <v>158091.77086845777</v>
      </c>
      <c r="BF11" s="119">
        <f t="shared" si="0"/>
        <v>158091.77086845777</v>
      </c>
      <c r="BG11" s="119">
        <f t="shared" si="0"/>
        <v>158091.77086845777</v>
      </c>
      <c r="BH11" s="119">
        <f t="shared" si="0"/>
        <v>158091.77086845777</v>
      </c>
      <c r="BI11" s="119">
        <f t="shared" si="0"/>
        <v>158091.77086845777</v>
      </c>
      <c r="BJ11" s="119">
        <f t="shared" si="0"/>
        <v>158091.77086845777</v>
      </c>
      <c r="BK11" s="119">
        <f t="shared" si="0"/>
        <v>158091.77086845777</v>
      </c>
      <c r="BL11" s="119">
        <f t="shared" si="0"/>
        <v>158091.77086845777</v>
      </c>
      <c r="BM11" s="119">
        <f t="shared" si="0"/>
        <v>158091.77086845777</v>
      </c>
      <c r="BN11" s="119">
        <f t="shared" si="0"/>
        <v>158091.77086845777</v>
      </c>
      <c r="BO11" s="119">
        <f t="shared" si="0"/>
        <v>158091.77086845777</v>
      </c>
      <c r="BP11" s="114"/>
    </row>
    <row r="12" spans="1:81" x14ac:dyDescent="0.3">
      <c r="A12" s="388"/>
      <c r="D12" s="359"/>
      <c r="E12" s="115"/>
      <c r="F12" s="117" t="s">
        <v>492</v>
      </c>
      <c r="G12" s="118">
        <v>476148</v>
      </c>
      <c r="H12" s="118">
        <v>650105</v>
      </c>
      <c r="I12" s="118">
        <v>532003</v>
      </c>
      <c r="J12" s="118">
        <v>530612</v>
      </c>
      <c r="K12" s="118">
        <v>518393</v>
      </c>
      <c r="L12" s="119">
        <v>572123</v>
      </c>
      <c r="M12" s="119">
        <v>425737</v>
      </c>
      <c r="N12" s="119">
        <v>482482</v>
      </c>
      <c r="O12" s="119">
        <v>461547</v>
      </c>
      <c r="P12" s="119">
        <v>405259</v>
      </c>
      <c r="Q12" s="119">
        <v>444681</v>
      </c>
      <c r="R12" s="119">
        <v>453718</v>
      </c>
      <c r="S12" s="119">
        <v>433216</v>
      </c>
      <c r="T12" s="119">
        <f t="shared" si="0"/>
        <v>431070.05410236138</v>
      </c>
      <c r="U12" s="119">
        <f t="shared" si="0"/>
        <v>457337.2105748544</v>
      </c>
      <c r="V12" s="119">
        <f t="shared" si="0"/>
        <v>458126.74620924867</v>
      </c>
      <c r="W12" s="119">
        <f t="shared" si="0"/>
        <v>485622.9099173217</v>
      </c>
      <c r="X12" s="119">
        <f t="shared" si="0"/>
        <v>497697.32945258409</v>
      </c>
      <c r="Y12" s="119">
        <f t="shared" si="0"/>
        <v>510316.28636325477</v>
      </c>
      <c r="Z12" s="119">
        <f t="shared" si="0"/>
        <v>521552.91424426821</v>
      </c>
      <c r="AA12" s="119">
        <f t="shared" si="0"/>
        <v>534691.60386278678</v>
      </c>
      <c r="AB12" s="119">
        <f t="shared" si="0"/>
        <v>528056.11488377606</v>
      </c>
      <c r="AC12" s="119">
        <f t="shared" si="0"/>
        <v>537879.80371899647</v>
      </c>
      <c r="AD12" s="119">
        <f t="shared" si="0"/>
        <v>549757.64063396351</v>
      </c>
      <c r="AE12" s="119">
        <f t="shared" si="0"/>
        <v>558429.22515279311</v>
      </c>
      <c r="AF12" s="119">
        <f t="shared" si="0"/>
        <v>566723.79534499429</v>
      </c>
      <c r="AG12" s="119">
        <f t="shared" si="0"/>
        <v>574738.7267772695</v>
      </c>
      <c r="AH12" s="119">
        <f t="shared" si="0"/>
        <v>581661.62292713812</v>
      </c>
      <c r="AI12" s="119">
        <f t="shared" si="0"/>
        <v>587701.60331576876</v>
      </c>
      <c r="AJ12" s="119">
        <f t="shared" si="0"/>
        <v>596372.47329181992</v>
      </c>
      <c r="AK12" s="119">
        <f t="shared" si="0"/>
        <v>604407.26298162283</v>
      </c>
      <c r="AL12" s="119">
        <f t="shared" si="0"/>
        <v>612000.91957440146</v>
      </c>
      <c r="AM12" s="119">
        <f t="shared" si="0"/>
        <v>619339.6886960835</v>
      </c>
      <c r="AN12" s="119">
        <f t="shared" si="0"/>
        <v>625693.12025068456</v>
      </c>
      <c r="AO12" s="119">
        <f t="shared" si="0"/>
        <v>632780.35168970237</v>
      </c>
      <c r="AP12" s="119">
        <f t="shared" si="0"/>
        <v>639297.9814412751</v>
      </c>
      <c r="AQ12" s="119">
        <f t="shared" si="0"/>
        <v>646800.26070448139</v>
      </c>
      <c r="AR12" s="119">
        <f t="shared" si="0"/>
        <v>653350.62408373447</v>
      </c>
      <c r="AS12" s="119">
        <f t="shared" si="0"/>
        <v>659679.40885662555</v>
      </c>
      <c r="AT12" s="119">
        <f t="shared" si="0"/>
        <v>666002.49055660341</v>
      </c>
      <c r="AU12" s="119">
        <f t="shared" si="0"/>
        <v>672238.90383560653</v>
      </c>
      <c r="AV12" s="119">
        <f t="shared" si="0"/>
        <v>678843.58150066121</v>
      </c>
      <c r="AW12" s="119">
        <f t="shared" si="0"/>
        <v>684997.88094465563</v>
      </c>
      <c r="AX12" s="119">
        <f t="shared" si="0"/>
        <v>691046.39400692505</v>
      </c>
      <c r="AY12" s="119">
        <f t="shared" si="0"/>
        <v>697062.5856674423</v>
      </c>
      <c r="AZ12" s="119">
        <f t="shared" si="0"/>
        <v>702974.82420965133</v>
      </c>
      <c r="BA12" s="119">
        <f t="shared" si="0"/>
        <v>708855.80197584897</v>
      </c>
      <c r="BB12" s="119">
        <f t="shared" si="0"/>
        <v>714492.82708586694</v>
      </c>
      <c r="BC12" s="119">
        <f t="shared" si="0"/>
        <v>720033.68866882613</v>
      </c>
      <c r="BD12" s="119">
        <f t="shared" si="0"/>
        <v>725472.43503930036</v>
      </c>
      <c r="BE12" s="119">
        <f t="shared" si="0"/>
        <v>730787.52876083786</v>
      </c>
      <c r="BF12" s="119">
        <f t="shared" si="0"/>
        <v>735959.91330007347</v>
      </c>
      <c r="BG12" s="119">
        <f t="shared" si="0"/>
        <v>740999.48325538612</v>
      </c>
      <c r="BH12" s="119">
        <f t="shared" si="0"/>
        <v>745909.1043738107</v>
      </c>
      <c r="BI12" s="119">
        <f t="shared" si="0"/>
        <v>750687.34671999945</v>
      </c>
      <c r="BJ12" s="119">
        <f t="shared" si="0"/>
        <v>755322.19394675212</v>
      </c>
      <c r="BK12" s="119">
        <f t="shared" si="0"/>
        <v>759810.64828859363</v>
      </c>
      <c r="BL12" s="119">
        <f t="shared" si="0"/>
        <v>764146.15381616831</v>
      </c>
      <c r="BM12" s="119">
        <f t="shared" si="0"/>
        <v>768333.77648193401</v>
      </c>
      <c r="BN12" s="119">
        <f t="shared" si="0"/>
        <v>772369.8572652482</v>
      </c>
      <c r="BO12" s="119">
        <f t="shared" si="0"/>
        <v>776250.68007413927</v>
      </c>
      <c r="BP12" s="114"/>
    </row>
    <row r="13" spans="1:81" x14ac:dyDescent="0.3">
      <c r="A13" s="388"/>
      <c r="D13" s="359"/>
      <c r="E13" s="115"/>
      <c r="F13" s="117" t="s">
        <v>493</v>
      </c>
      <c r="G13" s="118">
        <v>248199</v>
      </c>
      <c r="H13" s="118">
        <v>244574</v>
      </c>
      <c r="I13" s="118">
        <v>240333</v>
      </c>
      <c r="J13" s="118">
        <v>288199</v>
      </c>
      <c r="K13" s="118">
        <v>387799</v>
      </c>
      <c r="L13" s="119">
        <v>369406</v>
      </c>
      <c r="M13" s="119">
        <v>319602</v>
      </c>
      <c r="N13" s="119">
        <v>313882</v>
      </c>
      <c r="O13" s="119">
        <v>267760</v>
      </c>
      <c r="P13" s="119">
        <v>246574</v>
      </c>
      <c r="Q13" s="119">
        <v>256854</v>
      </c>
      <c r="R13" s="119">
        <v>225575</v>
      </c>
      <c r="S13" s="119">
        <v>196082.29763042202</v>
      </c>
      <c r="T13" s="119">
        <f t="shared" si="0"/>
        <v>195110.9992430135</v>
      </c>
      <c r="U13" s="119">
        <f t="shared" si="0"/>
        <v>207000.04395360648</v>
      </c>
      <c r="V13" s="119">
        <f t="shared" si="0"/>
        <v>207357.40370313814</v>
      </c>
      <c r="W13" s="119">
        <f t="shared" si="0"/>
        <v>219802.72187213742</v>
      </c>
      <c r="X13" s="119">
        <f t="shared" si="0"/>
        <v>225267.84764087151</v>
      </c>
      <c r="Y13" s="119">
        <f t="shared" si="0"/>
        <v>230979.44200660038</v>
      </c>
      <c r="Z13" s="119">
        <f t="shared" si="0"/>
        <v>236065.36637810827</v>
      </c>
      <c r="AA13" s="119">
        <f t="shared" si="0"/>
        <v>242012.20224809481</v>
      </c>
      <c r="AB13" s="119">
        <f t="shared" si="0"/>
        <v>239008.8461280397</v>
      </c>
      <c r="AC13" s="119">
        <f t="shared" si="0"/>
        <v>243455.24579475645</v>
      </c>
      <c r="AD13" s="119">
        <f t="shared" si="0"/>
        <v>248831.39430535201</v>
      </c>
      <c r="AE13" s="119">
        <f t="shared" si="0"/>
        <v>252756.32832567563</v>
      </c>
      <c r="AF13" s="119">
        <f t="shared" si="0"/>
        <v>256510.61805907331</v>
      </c>
      <c r="AG13" s="119">
        <f t="shared" si="0"/>
        <v>260138.33765066462</v>
      </c>
      <c r="AH13" s="119">
        <f t="shared" si="0"/>
        <v>263271.78005196794</v>
      </c>
      <c r="AI13" s="119">
        <f t="shared" si="0"/>
        <v>266005.59697527043</v>
      </c>
      <c r="AJ13" s="119">
        <f t="shared" si="0"/>
        <v>269930.20757912326</v>
      </c>
      <c r="AK13" s="119">
        <f t="shared" si="0"/>
        <v>273566.91541852389</v>
      </c>
      <c r="AL13" s="119">
        <f t="shared" si="0"/>
        <v>277003.95752252842</v>
      </c>
      <c r="AM13" s="119">
        <f t="shared" si="0"/>
        <v>280325.63241717359</v>
      </c>
      <c r="AN13" s="119">
        <f t="shared" si="0"/>
        <v>283201.32365910325</v>
      </c>
      <c r="AO13" s="119">
        <f t="shared" si="0"/>
        <v>286409.14752618375</v>
      </c>
      <c r="AP13" s="119">
        <f t="shared" si="0"/>
        <v>289359.15818320657</v>
      </c>
      <c r="AQ13" s="119">
        <f t="shared" si="0"/>
        <v>292754.84106517432</v>
      </c>
      <c r="AR13" s="119">
        <f t="shared" si="0"/>
        <v>295719.66762217617</v>
      </c>
      <c r="AS13" s="119">
        <f t="shared" si="0"/>
        <v>298584.20323368843</v>
      </c>
      <c r="AT13" s="119">
        <f t="shared" si="0"/>
        <v>301446.15751939476</v>
      </c>
      <c r="AU13" s="119">
        <f t="shared" si="0"/>
        <v>304268.88393005321</v>
      </c>
      <c r="AV13" s="119">
        <f t="shared" si="0"/>
        <v>307258.2942280852</v>
      </c>
      <c r="AW13" s="119">
        <f t="shared" si="0"/>
        <v>310043.85426114971</v>
      </c>
      <c r="AX13" s="119">
        <f t="shared" ref="T13:BO18" si="2">AX29*1000000</f>
        <v>312781.53324460692</v>
      </c>
      <c r="AY13" s="119">
        <f t="shared" si="2"/>
        <v>315504.58290985296</v>
      </c>
      <c r="AZ13" s="119">
        <f t="shared" si="2"/>
        <v>318180.58129748283</v>
      </c>
      <c r="BA13" s="119">
        <f t="shared" si="2"/>
        <v>320842.43042749987</v>
      </c>
      <c r="BB13" s="119">
        <f t="shared" si="2"/>
        <v>323393.86166589527</v>
      </c>
      <c r="BC13" s="119">
        <f t="shared" si="2"/>
        <v>325901.76735275536</v>
      </c>
      <c r="BD13" s="119">
        <f t="shared" si="2"/>
        <v>328363.4536352373</v>
      </c>
      <c r="BE13" s="119">
        <f t="shared" si="2"/>
        <v>330769.17223528924</v>
      </c>
      <c r="BF13" s="119">
        <f t="shared" si="2"/>
        <v>333110.29778162501</v>
      </c>
      <c r="BG13" s="119">
        <f t="shared" si="2"/>
        <v>335391.30876900064</v>
      </c>
      <c r="BH13" s="119">
        <f t="shared" si="2"/>
        <v>337613.50229231361</v>
      </c>
      <c r="BI13" s="119">
        <f t="shared" si="2"/>
        <v>339776.23113398999</v>
      </c>
      <c r="BJ13" s="119">
        <f t="shared" si="2"/>
        <v>341874.05645297089</v>
      </c>
      <c r="BK13" s="119">
        <f t="shared" si="2"/>
        <v>343905.62140015088</v>
      </c>
      <c r="BL13" s="119">
        <f t="shared" si="2"/>
        <v>345867.95862969971</v>
      </c>
      <c r="BM13" s="119">
        <f t="shared" si="2"/>
        <v>347763.36109385744</v>
      </c>
      <c r="BN13" s="119">
        <f t="shared" si="2"/>
        <v>349590.17264609522</v>
      </c>
      <c r="BO13" s="119">
        <f t="shared" si="2"/>
        <v>351346.71130824962</v>
      </c>
      <c r="BP13" s="114"/>
    </row>
    <row r="14" spans="1:81" x14ac:dyDescent="0.3">
      <c r="A14" s="388"/>
      <c r="D14" s="359" t="s">
        <v>494</v>
      </c>
      <c r="E14" s="115"/>
      <c r="F14" s="117" t="s">
        <v>495</v>
      </c>
      <c r="G14" s="120">
        <v>0</v>
      </c>
      <c r="H14" s="120">
        <v>0</v>
      </c>
      <c r="I14" s="120">
        <v>0</v>
      </c>
      <c r="J14" s="120">
        <v>0</v>
      </c>
      <c r="K14" s="118">
        <v>28290.797925940002</v>
      </c>
      <c r="L14" s="119">
        <v>23277.033257341456</v>
      </c>
      <c r="M14" s="119">
        <v>27322.836046693559</v>
      </c>
      <c r="N14" s="119">
        <v>28542.580615903749</v>
      </c>
      <c r="O14" s="119">
        <v>23358.380584547071</v>
      </c>
      <c r="P14" s="119">
        <v>27960.008202566925</v>
      </c>
      <c r="Q14" s="119">
        <v>20921.872758601574</v>
      </c>
      <c r="R14" s="119">
        <v>18807.754924945446</v>
      </c>
      <c r="S14" s="119">
        <v>22163.448591049349</v>
      </c>
      <c r="T14" s="119">
        <f t="shared" si="2"/>
        <v>22053.661414256509</v>
      </c>
      <c r="U14" s="119">
        <f t="shared" si="2"/>
        <v>23397.496295957895</v>
      </c>
      <c r="V14" s="119">
        <f t="shared" si="2"/>
        <v>23437.88915412495</v>
      </c>
      <c r="W14" s="119">
        <f t="shared" si="2"/>
        <v>24844.600380845462</v>
      </c>
      <c r="X14" s="119">
        <f t="shared" si="2"/>
        <v>25462.330973982724</v>
      </c>
      <c r="Y14" s="119">
        <f t="shared" si="2"/>
        <v>26107.920247606773</v>
      </c>
      <c r="Z14" s="119">
        <f t="shared" si="2"/>
        <v>26682.789191453707</v>
      </c>
      <c r="AA14" s="119">
        <f t="shared" si="2"/>
        <v>27354.968132014048</v>
      </c>
      <c r="AB14" s="119">
        <f t="shared" si="2"/>
        <v>27015.494707988204</v>
      </c>
      <c r="AC14" s="119">
        <f t="shared" si="2"/>
        <v>27518.077305292725</v>
      </c>
      <c r="AD14" s="119">
        <f t="shared" si="2"/>
        <v>28125.75067801612</v>
      </c>
      <c r="AE14" s="119">
        <f t="shared" si="2"/>
        <v>28569.391304599674</v>
      </c>
      <c r="AF14" s="119">
        <f t="shared" si="2"/>
        <v>28993.743775514187</v>
      </c>
      <c r="AG14" s="119">
        <f t="shared" si="2"/>
        <v>29403.789851282436</v>
      </c>
      <c r="AH14" s="119">
        <f t="shared" si="2"/>
        <v>29757.967104474341</v>
      </c>
      <c r="AI14" s="119">
        <f t="shared" si="2"/>
        <v>30066.974146768174</v>
      </c>
      <c r="AJ14" s="119">
        <f t="shared" si="2"/>
        <v>30510.578217148493</v>
      </c>
      <c r="AK14" s="119">
        <f t="shared" si="2"/>
        <v>30921.640246782303</v>
      </c>
      <c r="AL14" s="119">
        <f t="shared" si="2"/>
        <v>31310.133786984261</v>
      </c>
      <c r="AM14" s="119">
        <f t="shared" si="2"/>
        <v>31685.587214720028</v>
      </c>
      <c r="AN14" s="119">
        <f t="shared" si="2"/>
        <v>32010.630504065648</v>
      </c>
      <c r="AO14" s="119">
        <f t="shared" si="2"/>
        <v>32373.215195424091</v>
      </c>
      <c r="AP14" s="119">
        <f t="shared" si="2"/>
        <v>32706.658909263097</v>
      </c>
      <c r="AQ14" s="119">
        <f t="shared" si="2"/>
        <v>33090.477560388092</v>
      </c>
      <c r="AR14" s="119">
        <f t="shared" si="2"/>
        <v>33425.595935537596</v>
      </c>
      <c r="AS14" s="119">
        <f t="shared" si="2"/>
        <v>33749.378288815838</v>
      </c>
      <c r="AT14" s="119">
        <f t="shared" si="2"/>
        <v>34072.868871330022</v>
      </c>
      <c r="AU14" s="119">
        <f t="shared" si="2"/>
        <v>34391.925473814052</v>
      </c>
      <c r="AV14" s="119">
        <f t="shared" si="2"/>
        <v>34729.822582623259</v>
      </c>
      <c r="AW14" s="119">
        <f t="shared" si="2"/>
        <v>35044.678218936089</v>
      </c>
      <c r="AX14" s="119">
        <f t="shared" si="2"/>
        <v>35354.121795138017</v>
      </c>
      <c r="AY14" s="119">
        <f t="shared" si="2"/>
        <v>35661.911799620248</v>
      </c>
      <c r="AZ14" s="119">
        <f t="shared" si="2"/>
        <v>35964.383534247478</v>
      </c>
      <c r="BA14" s="119">
        <f t="shared" si="2"/>
        <v>36265.255959056871</v>
      </c>
      <c r="BB14" s="119">
        <f t="shared" si="2"/>
        <v>36553.647699510453</v>
      </c>
      <c r="BC14" s="119">
        <f t="shared" si="2"/>
        <v>36837.119687719649</v>
      </c>
      <c r="BD14" s="119">
        <f t="shared" si="2"/>
        <v>37115.367433836502</v>
      </c>
      <c r="BE14" s="119">
        <f t="shared" si="2"/>
        <v>37387.289076744215</v>
      </c>
      <c r="BF14" s="119">
        <f t="shared" si="2"/>
        <v>37651.909679003795</v>
      </c>
      <c r="BG14" s="119">
        <f t="shared" si="2"/>
        <v>37909.73545096413</v>
      </c>
      <c r="BH14" s="119">
        <f t="shared" si="2"/>
        <v>38160.913005024304</v>
      </c>
      <c r="BI14" s="119">
        <f t="shared" si="2"/>
        <v>38405.369185302341</v>
      </c>
      <c r="BJ14" s="119">
        <f t="shared" si="2"/>
        <v>38642.48923220158</v>
      </c>
      <c r="BK14" s="119">
        <f t="shared" si="2"/>
        <v>38872.119779223554</v>
      </c>
      <c r="BL14" s="119">
        <f t="shared" si="2"/>
        <v>39093.925423236273</v>
      </c>
      <c r="BM14" s="119">
        <f t="shared" si="2"/>
        <v>39308.165339747691</v>
      </c>
      <c r="BN14" s="119">
        <f t="shared" si="2"/>
        <v>39514.652332264835</v>
      </c>
      <c r="BO14" s="119">
        <f t="shared" si="2"/>
        <v>39713.19628450997</v>
      </c>
      <c r="BP14" s="114"/>
    </row>
    <row r="15" spans="1:81" x14ac:dyDescent="0.3">
      <c r="A15" s="388"/>
      <c r="D15" s="359"/>
      <c r="E15" s="115"/>
      <c r="F15" s="117" t="s">
        <v>496</v>
      </c>
      <c r="G15" s="121">
        <v>0</v>
      </c>
      <c r="H15" s="121">
        <v>0</v>
      </c>
      <c r="I15" s="121">
        <v>0</v>
      </c>
      <c r="J15" s="121">
        <v>0</v>
      </c>
      <c r="K15" s="121">
        <v>0</v>
      </c>
      <c r="L15" s="119">
        <v>11011.083479568757</v>
      </c>
      <c r="M15" s="119">
        <v>6858.9586998662153</v>
      </c>
      <c r="N15" s="119">
        <v>7691.3355865896547</v>
      </c>
      <c r="O15" s="119">
        <v>6376.2150614646989</v>
      </c>
      <c r="P15" s="119">
        <v>5242.5295496718272</v>
      </c>
      <c r="Q15" s="119">
        <v>7438.9026361996184</v>
      </c>
      <c r="R15" s="119">
        <v>4332.7007360931229</v>
      </c>
      <c r="S15" s="119">
        <v>3957.5663504758932</v>
      </c>
      <c r="T15" s="119">
        <f t="shared" si="2"/>
        <v>3937.962450171111</v>
      </c>
      <c r="U15" s="119">
        <f t="shared" si="2"/>
        <v>4177.9213034411277</v>
      </c>
      <c r="V15" s="119">
        <f t="shared" si="2"/>
        <v>4185.1339633132939</v>
      </c>
      <c r="W15" s="119">
        <f t="shared" si="2"/>
        <v>4436.3201897182425</v>
      </c>
      <c r="X15" s="119">
        <f t="shared" si="2"/>
        <v>4546.6238637614069</v>
      </c>
      <c r="Y15" s="119">
        <f t="shared" si="2"/>
        <v>4661.9020604295247</v>
      </c>
      <c r="Z15" s="119">
        <f t="shared" si="2"/>
        <v>4764.5522404660833</v>
      </c>
      <c r="AA15" s="119">
        <f t="shared" si="2"/>
        <v>4884.5783612086143</v>
      </c>
      <c r="AB15" s="119">
        <f t="shared" si="2"/>
        <v>4823.961052747507</v>
      </c>
      <c r="AC15" s="119">
        <f t="shared" si="2"/>
        <v>4913.7035838908951</v>
      </c>
      <c r="AD15" s="119">
        <f t="shared" si="2"/>
        <v>5022.2114129902675</v>
      </c>
      <c r="AE15" s="119">
        <f t="shared" si="2"/>
        <v>5101.4291036965851</v>
      </c>
      <c r="AF15" s="119">
        <f t="shared" si="2"/>
        <v>5177.202648266305</v>
      </c>
      <c r="AG15" s="119">
        <f t="shared" si="2"/>
        <v>5250.4216035628415</v>
      </c>
      <c r="AH15" s="119">
        <f t="shared" si="2"/>
        <v>5313.6644682090191</v>
      </c>
      <c r="AI15" s="119">
        <f t="shared" si="2"/>
        <v>5368.8416157372258</v>
      </c>
      <c r="AJ15" s="119">
        <f t="shared" si="2"/>
        <v>5448.0527788673298</v>
      </c>
      <c r="AK15" s="119">
        <f t="shared" si="2"/>
        <v>5521.4531456809173</v>
      </c>
      <c r="AL15" s="119">
        <f t="shared" si="2"/>
        <v>5590.8236209372553</v>
      </c>
      <c r="AM15" s="119">
        <f t="shared" si="2"/>
        <v>5657.8656178392166</v>
      </c>
      <c r="AN15" s="119">
        <f t="shared" si="2"/>
        <v>5715.906241755556</v>
      </c>
      <c r="AO15" s="119">
        <f t="shared" si="2"/>
        <v>5780.6503616890113</v>
      </c>
      <c r="AP15" s="119">
        <f t="shared" si="2"/>
        <v>5840.1909885118548</v>
      </c>
      <c r="AQ15" s="119">
        <f t="shared" si="2"/>
        <v>5908.7267027143262</v>
      </c>
      <c r="AR15" s="119">
        <f t="shared" si="2"/>
        <v>5968.5663616676475</v>
      </c>
      <c r="AS15" s="119">
        <f t="shared" si="2"/>
        <v>6026.381829371051</v>
      </c>
      <c r="AT15" s="119">
        <f t="shared" si="2"/>
        <v>6084.1451976841845</v>
      </c>
      <c r="AU15" s="119">
        <f t="shared" si="2"/>
        <v>6141.1168223255727</v>
      </c>
      <c r="AV15" s="119">
        <f t="shared" si="2"/>
        <v>6201.4526596052656</v>
      </c>
      <c r="AW15" s="119">
        <f t="shared" si="2"/>
        <v>6257.6741481705667</v>
      </c>
      <c r="AX15" s="119">
        <f t="shared" si="2"/>
        <v>6312.9292443942777</v>
      </c>
      <c r="AY15" s="119">
        <f t="shared" si="2"/>
        <v>6367.8890743028605</v>
      </c>
      <c r="AZ15" s="119">
        <f t="shared" si="2"/>
        <v>6421.8992593159546</v>
      </c>
      <c r="BA15" s="119">
        <f t="shared" si="2"/>
        <v>6475.6238671683905</v>
      </c>
      <c r="BB15" s="119">
        <f t="shared" si="2"/>
        <v>6527.1198896887845</v>
      </c>
      <c r="BC15" s="119">
        <f t="shared" si="2"/>
        <v>6577.7374277145345</v>
      </c>
      <c r="BD15" s="119">
        <f t="shared" si="2"/>
        <v>6627.4221107007625</v>
      </c>
      <c r="BE15" s="119">
        <f t="shared" si="2"/>
        <v>6675.9771872953079</v>
      </c>
      <c r="BF15" s="119">
        <f t="shared" si="2"/>
        <v>6723.2285699870845</v>
      </c>
      <c r="BG15" s="119">
        <f t="shared" si="2"/>
        <v>6769.2666490885367</v>
      </c>
      <c r="BH15" s="119">
        <f t="shared" si="2"/>
        <v>6814.1176041129656</v>
      </c>
      <c r="BI15" s="119">
        <f t="shared" si="2"/>
        <v>6857.7683721448384</v>
      </c>
      <c r="BJ15" s="119">
        <f t="shared" si="2"/>
        <v>6900.1091800194154</v>
      </c>
      <c r="BK15" s="119">
        <f t="shared" si="2"/>
        <v>6941.1126421928329</v>
      </c>
      <c r="BL15" s="119">
        <f t="shared" si="2"/>
        <v>6980.7188681591679</v>
      </c>
      <c r="BM15" s="119">
        <f t="shared" si="2"/>
        <v>7018.9741370100974</v>
      </c>
      <c r="BN15" s="119">
        <f t="shared" si="2"/>
        <v>7055.8450224248709</v>
      </c>
      <c r="BO15" s="119">
        <f t="shared" si="2"/>
        <v>7091.2975767179405</v>
      </c>
      <c r="BP15" s="114"/>
    </row>
    <row r="16" spans="1:81" x14ac:dyDescent="0.3">
      <c r="A16" s="388"/>
      <c r="D16" s="359"/>
      <c r="E16" s="115"/>
      <c r="F16" s="117" t="s">
        <v>497</v>
      </c>
      <c r="G16" s="118">
        <v>118954</v>
      </c>
      <c r="H16" s="118">
        <v>153977</v>
      </c>
      <c r="I16" s="118">
        <v>113577</v>
      </c>
      <c r="J16" s="118">
        <v>94706</v>
      </c>
      <c r="K16" s="118">
        <v>81821</v>
      </c>
      <c r="L16" s="119">
        <v>79090</v>
      </c>
      <c r="M16" s="119">
        <v>62613</v>
      </c>
      <c r="N16" s="119">
        <v>73792</v>
      </c>
      <c r="O16" s="119">
        <v>45638</v>
      </c>
      <c r="P16" s="119">
        <v>47367</v>
      </c>
      <c r="Q16" s="119">
        <v>41949</v>
      </c>
      <c r="R16" s="119">
        <v>59410</v>
      </c>
      <c r="S16" s="119">
        <v>50866.617530966163</v>
      </c>
      <c r="T16" s="119">
        <f t="shared" si="2"/>
        <v>50614.648515007997</v>
      </c>
      <c r="U16" s="119">
        <f t="shared" si="2"/>
        <v>53698.840700689834</v>
      </c>
      <c r="V16" s="119">
        <f t="shared" si="2"/>
        <v>53791.545049425345</v>
      </c>
      <c r="W16" s="119">
        <f t="shared" si="2"/>
        <v>57020.042710886097</v>
      </c>
      <c r="X16" s="119">
        <f t="shared" si="2"/>
        <v>58437.776313543014</v>
      </c>
      <c r="Y16" s="119">
        <f t="shared" si="2"/>
        <v>59919.447477153837</v>
      </c>
      <c r="Z16" s="119">
        <f t="shared" si="2"/>
        <v>61238.810688026242</v>
      </c>
      <c r="AA16" s="119">
        <f t="shared" si="2"/>
        <v>62781.506940434425</v>
      </c>
      <c r="AB16" s="119">
        <f t="shared" si="2"/>
        <v>62002.392410901157</v>
      </c>
      <c r="AC16" s="119">
        <f t="shared" si="2"/>
        <v>63155.853554359346</v>
      </c>
      <c r="AD16" s="119">
        <f t="shared" si="2"/>
        <v>64550.505154135935</v>
      </c>
      <c r="AE16" s="119">
        <f t="shared" si="2"/>
        <v>65568.690477639117</v>
      </c>
      <c r="AF16" s="119">
        <f t="shared" si="2"/>
        <v>66542.608175855377</v>
      </c>
      <c r="AG16" s="119">
        <f t="shared" si="2"/>
        <v>67483.691727022611</v>
      </c>
      <c r="AH16" s="119">
        <f t="shared" si="2"/>
        <v>68296.552541632322</v>
      </c>
      <c r="AI16" s="119">
        <f t="shared" si="2"/>
        <v>69005.744659012606</v>
      </c>
      <c r="AJ16" s="119">
        <f t="shared" si="2"/>
        <v>70023.846083550307</v>
      </c>
      <c r="AK16" s="119">
        <f t="shared" si="2"/>
        <v>70967.261317735931</v>
      </c>
      <c r="AL16" s="119">
        <f t="shared" si="2"/>
        <v>71858.880338193077</v>
      </c>
      <c r="AM16" s="119">
        <f t="shared" si="2"/>
        <v>72720.571416224964</v>
      </c>
      <c r="AN16" s="119">
        <f t="shared" si="2"/>
        <v>73466.567808087377</v>
      </c>
      <c r="AO16" s="119">
        <f t="shared" si="2"/>
        <v>74298.724263439799</v>
      </c>
      <c r="AP16" s="119">
        <f t="shared" si="2"/>
        <v>75064.000199189395</v>
      </c>
      <c r="AQ16" s="119">
        <f t="shared" si="2"/>
        <v>75944.890032187264</v>
      </c>
      <c r="AR16" s="119">
        <f t="shared" si="2"/>
        <v>76714.009429211656</v>
      </c>
      <c r="AS16" s="119">
        <f t="shared" si="2"/>
        <v>77457.111887289037</v>
      </c>
      <c r="AT16" s="119">
        <f t="shared" si="2"/>
        <v>78199.544711676484</v>
      </c>
      <c r="AU16" s="119">
        <f t="shared" si="2"/>
        <v>78931.801251204321</v>
      </c>
      <c r="AV16" s="119">
        <f t="shared" si="2"/>
        <v>79707.298030417573</v>
      </c>
      <c r="AW16" s="119">
        <f t="shared" si="2"/>
        <v>80429.913067693895</v>
      </c>
      <c r="AX16" s="119">
        <f t="shared" si="2"/>
        <v>81140.107059996837</v>
      </c>
      <c r="AY16" s="119">
        <f t="shared" si="2"/>
        <v>81846.505993066065</v>
      </c>
      <c r="AZ16" s="119">
        <f t="shared" si="2"/>
        <v>82540.699136159528</v>
      </c>
      <c r="BA16" s="119">
        <f t="shared" si="2"/>
        <v>83231.221754763857</v>
      </c>
      <c r="BB16" s="119">
        <f t="shared" si="2"/>
        <v>83893.100356393843</v>
      </c>
      <c r="BC16" s="119">
        <f t="shared" si="2"/>
        <v>84543.687792989935</v>
      </c>
      <c r="BD16" s="119">
        <f t="shared" si="2"/>
        <v>85182.285239702062</v>
      </c>
      <c r="BE16" s="119">
        <f t="shared" si="2"/>
        <v>85806.36385054444</v>
      </c>
      <c r="BF16" s="119">
        <f t="shared" si="2"/>
        <v>86413.686077979204</v>
      </c>
      <c r="BG16" s="119">
        <f t="shared" si="2"/>
        <v>87005.413709085711</v>
      </c>
      <c r="BH16" s="119">
        <f t="shared" si="2"/>
        <v>87581.883229262385</v>
      </c>
      <c r="BI16" s="119">
        <f t="shared" si="2"/>
        <v>88142.926740799012</v>
      </c>
      <c r="BJ16" s="119">
        <f t="shared" si="2"/>
        <v>88687.133328731332</v>
      </c>
      <c r="BK16" s="119">
        <f t="shared" si="2"/>
        <v>89214.151006544824</v>
      </c>
      <c r="BL16" s="119">
        <f t="shared" si="2"/>
        <v>89723.210001306172</v>
      </c>
      <c r="BM16" s="119">
        <f t="shared" si="2"/>
        <v>90214.90513838215</v>
      </c>
      <c r="BN16" s="119">
        <f t="shared" si="2"/>
        <v>90688.80678912664</v>
      </c>
      <c r="BO16" s="119">
        <f t="shared" si="2"/>
        <v>91144.478623789502</v>
      </c>
      <c r="BP16" s="114"/>
    </row>
    <row r="17" spans="1:68" x14ac:dyDescent="0.3">
      <c r="A17" s="388"/>
      <c r="D17" s="359"/>
      <c r="E17" s="115"/>
      <c r="F17" s="117" t="s">
        <v>498</v>
      </c>
      <c r="G17" s="118">
        <v>37898</v>
      </c>
      <c r="H17" s="118">
        <v>38441</v>
      </c>
      <c r="I17" s="118">
        <v>30415</v>
      </c>
      <c r="J17" s="118">
        <v>35697</v>
      </c>
      <c r="K17" s="118">
        <v>23299</v>
      </c>
      <c r="L17" s="119">
        <v>22364</v>
      </c>
      <c r="M17" s="119">
        <v>26372</v>
      </c>
      <c r="N17" s="119">
        <v>18065</v>
      </c>
      <c r="O17" s="119">
        <v>15675</v>
      </c>
      <c r="P17" s="119">
        <v>15810</v>
      </c>
      <c r="Q17" s="119">
        <v>23879</v>
      </c>
      <c r="R17" s="119">
        <v>19669</v>
      </c>
      <c r="S17" s="119">
        <v>13838.983196032719</v>
      </c>
      <c r="T17" s="119">
        <f t="shared" si="2"/>
        <v>13770.431459215481</v>
      </c>
      <c r="U17" s="119">
        <f t="shared" si="2"/>
        <v>14609.529592780245</v>
      </c>
      <c r="V17" s="119">
        <f t="shared" si="2"/>
        <v>14634.751122864662</v>
      </c>
      <c r="W17" s="119">
        <f t="shared" si="2"/>
        <v>15513.109603417985</v>
      </c>
      <c r="X17" s="119">
        <f t="shared" si="2"/>
        <v>15898.824094688727</v>
      </c>
      <c r="Y17" s="119">
        <f t="shared" si="2"/>
        <v>16301.93370430202</v>
      </c>
      <c r="Z17" s="119">
        <f t="shared" si="2"/>
        <v>16660.885138287416</v>
      </c>
      <c r="AA17" s="119">
        <f t="shared" si="2"/>
        <v>17080.597486973908</v>
      </c>
      <c r="AB17" s="119">
        <f t="shared" si="2"/>
        <v>16868.628352689877</v>
      </c>
      <c r="AC17" s="119">
        <f t="shared" si="2"/>
        <v>17182.443781283626</v>
      </c>
      <c r="AD17" s="119">
        <f t="shared" si="2"/>
        <v>17561.878486999587</v>
      </c>
      <c r="AE17" s="119">
        <f t="shared" si="2"/>
        <v>17838.890214265113</v>
      </c>
      <c r="AF17" s="119">
        <f t="shared" si="2"/>
        <v>18103.858307567727</v>
      </c>
      <c r="AG17" s="119">
        <f t="shared" si="2"/>
        <v>18359.89340647592</v>
      </c>
      <c r="AH17" s="119">
        <f t="shared" si="2"/>
        <v>18581.043695213895</v>
      </c>
      <c r="AI17" s="119">
        <f t="shared" si="2"/>
        <v>18773.989447685246</v>
      </c>
      <c r="AJ17" s="119">
        <f t="shared" si="2"/>
        <v>19050.978349049816</v>
      </c>
      <c r="AK17" s="119">
        <f t="shared" si="2"/>
        <v>19307.647815322624</v>
      </c>
      <c r="AL17" s="119">
        <f t="shared" si="2"/>
        <v>19550.225388597632</v>
      </c>
      <c r="AM17" s="119">
        <f t="shared" si="2"/>
        <v>19784.66064157656</v>
      </c>
      <c r="AN17" s="119">
        <f t="shared" si="2"/>
        <v>19987.619517798281</v>
      </c>
      <c r="AO17" s="119">
        <f t="shared" si="2"/>
        <v>20214.019458684492</v>
      </c>
      <c r="AP17" s="119">
        <f t="shared" si="2"/>
        <v>20422.223607677097</v>
      </c>
      <c r="AQ17" s="119">
        <f t="shared" si="2"/>
        <v>20661.88215365752</v>
      </c>
      <c r="AR17" s="119">
        <f t="shared" si="2"/>
        <v>20871.131970685037</v>
      </c>
      <c r="AS17" s="119">
        <f t="shared" si="2"/>
        <v>21073.303511263748</v>
      </c>
      <c r="AT17" s="119">
        <f t="shared" si="2"/>
        <v>21275.292868520024</v>
      </c>
      <c r="AU17" s="119">
        <f t="shared" si="2"/>
        <v>21474.513623458992</v>
      </c>
      <c r="AV17" s="119">
        <f t="shared" si="2"/>
        <v>21685.498497567758</v>
      </c>
      <c r="AW17" s="119">
        <f t="shared" si="2"/>
        <v>21882.096145366533</v>
      </c>
      <c r="AX17" s="119">
        <f t="shared" si="2"/>
        <v>22075.314472089762</v>
      </c>
      <c r="AY17" s="119">
        <f t="shared" si="2"/>
        <v>22267.500299238367</v>
      </c>
      <c r="AZ17" s="119">
        <f t="shared" si="2"/>
        <v>22456.365368479961</v>
      </c>
      <c r="BA17" s="119">
        <f t="shared" si="2"/>
        <v>22644.231819586686</v>
      </c>
      <c r="BB17" s="119">
        <f t="shared" si="2"/>
        <v>22824.305260487195</v>
      </c>
      <c r="BC17" s="119">
        <f t="shared" si="2"/>
        <v>23001.306780140472</v>
      </c>
      <c r="BD17" s="119">
        <f t="shared" si="2"/>
        <v>23175.046253355857</v>
      </c>
      <c r="BE17" s="119">
        <f t="shared" si="2"/>
        <v>23344.835671793073</v>
      </c>
      <c r="BF17" s="119">
        <f t="shared" si="2"/>
        <v>23510.066278977254</v>
      </c>
      <c r="BG17" s="119">
        <f t="shared" si="2"/>
        <v>23671.054155525679</v>
      </c>
      <c r="BH17" s="119">
        <f t="shared" si="2"/>
        <v>23827.890847053153</v>
      </c>
      <c r="BI17" s="119">
        <f t="shared" si="2"/>
        <v>23980.530674611411</v>
      </c>
      <c r="BJ17" s="119">
        <f t="shared" si="2"/>
        <v>24128.589778816266</v>
      </c>
      <c r="BK17" s="119">
        <f t="shared" si="2"/>
        <v>24271.9723967549</v>
      </c>
      <c r="BL17" s="119">
        <f t="shared" si="2"/>
        <v>24410.469100806487</v>
      </c>
      <c r="BM17" s="119">
        <f t="shared" si="2"/>
        <v>24544.241721630413</v>
      </c>
      <c r="BN17" s="119">
        <f t="shared" si="2"/>
        <v>24673.173372673114</v>
      </c>
      <c r="BO17" s="119">
        <f t="shared" si="2"/>
        <v>24797.145344250857</v>
      </c>
      <c r="BP17" s="114"/>
    </row>
    <row r="18" spans="1:68" x14ac:dyDescent="0.3">
      <c r="A18" s="388"/>
      <c r="D18" s="359"/>
      <c r="E18" s="115"/>
      <c r="F18" s="117" t="s">
        <v>499</v>
      </c>
      <c r="G18" s="118">
        <v>68726</v>
      </c>
      <c r="H18" s="118">
        <v>68434</v>
      </c>
      <c r="I18" s="118">
        <v>52699</v>
      </c>
      <c r="J18" s="118">
        <v>70423</v>
      </c>
      <c r="K18" s="118">
        <v>54781</v>
      </c>
      <c r="L18" s="119">
        <v>51131</v>
      </c>
      <c r="M18" s="119">
        <v>51262</v>
      </c>
      <c r="N18" s="119">
        <v>49539</v>
      </c>
      <c r="O18" s="119">
        <v>39402</v>
      </c>
      <c r="P18" s="119">
        <v>35995</v>
      </c>
      <c r="Q18" s="119">
        <v>36186</v>
      </c>
      <c r="R18" s="119">
        <v>39581</v>
      </c>
      <c r="S18" s="119">
        <v>37412.769150859975</v>
      </c>
      <c r="T18" s="119">
        <f t="shared" si="2"/>
        <v>37227.444097125604</v>
      </c>
      <c r="U18" s="119">
        <f t="shared" si="2"/>
        <v>39495.890002528213</v>
      </c>
      <c r="V18" s="119">
        <f t="shared" si="2"/>
        <v>39564.074728914056</v>
      </c>
      <c r="W18" s="119">
        <f t="shared" si="2"/>
        <v>41938.658366970805</v>
      </c>
      <c r="X18" s="119">
        <f t="shared" si="2"/>
        <v>42981.411798754038</v>
      </c>
      <c r="Y18" s="119">
        <f t="shared" si="2"/>
        <v>44071.191774155617</v>
      </c>
      <c r="Z18" s="119">
        <f t="shared" si="2"/>
        <v>45041.593063458116</v>
      </c>
      <c r="AA18" s="119">
        <f t="shared" si="2"/>
        <v>46176.257437909742</v>
      </c>
      <c r="AB18" s="119">
        <f t="shared" si="2"/>
        <v>45603.213004244302</v>
      </c>
      <c r="AC18" s="119">
        <f t="shared" si="2"/>
        <v>46451.592109822079</v>
      </c>
      <c r="AD18" s="119">
        <f t="shared" si="2"/>
        <v>47477.368559702103</v>
      </c>
      <c r="AE18" s="119">
        <f t="shared" si="2"/>
        <v>48226.251310512664</v>
      </c>
      <c r="AF18" s="119">
        <f t="shared" si="2"/>
        <v>48942.57489922228</v>
      </c>
      <c r="AG18" s="119">
        <f t="shared" si="2"/>
        <v>49634.748732681081</v>
      </c>
      <c r="AH18" s="119">
        <f t="shared" si="2"/>
        <v>50232.61380578643</v>
      </c>
      <c r="AI18" s="119">
        <f t="shared" si="2"/>
        <v>50754.229794013016</v>
      </c>
      <c r="AJ18" s="119">
        <f t="shared" si="2"/>
        <v>51503.050836520953</v>
      </c>
      <c r="AK18" s="119">
        <f t="shared" si="2"/>
        <v>52196.939639889955</v>
      </c>
      <c r="AL18" s="119">
        <f t="shared" si="2"/>
        <v>52852.731949307279</v>
      </c>
      <c r="AM18" s="119">
        <f t="shared" si="2"/>
        <v>53486.512038225846</v>
      </c>
      <c r="AN18" s="119">
        <f t="shared" si="2"/>
        <v>54035.197839461434</v>
      </c>
      <c r="AO18" s="119">
        <f t="shared" si="2"/>
        <v>54647.254997430413</v>
      </c>
      <c r="AP18" s="119">
        <f t="shared" si="2"/>
        <v>55210.121044174703</v>
      </c>
      <c r="AQ18" s="119">
        <f t="shared" si="2"/>
        <v>55858.021957759651</v>
      </c>
      <c r="AR18" s="119">
        <f t="shared" si="2"/>
        <v>56423.714898376442</v>
      </c>
      <c r="AS18" s="119">
        <f t="shared" si="2"/>
        <v>56970.272190151562</v>
      </c>
      <c r="AT18" s="119">
        <f t="shared" si="2"/>
        <v>57516.336961451103</v>
      </c>
      <c r="AU18" s="119">
        <f t="shared" si="2"/>
        <v>58054.917000823378</v>
      </c>
      <c r="AV18" s="119">
        <f t="shared" si="2"/>
        <v>58625.300552674023</v>
      </c>
      <c r="AW18" s="119">
        <f t="shared" si="2"/>
        <v>59156.789196637845</v>
      </c>
      <c r="AX18" s="119">
        <f t="shared" si="2"/>
        <v>59679.14207119614</v>
      </c>
      <c r="AY18" s="119">
        <f t="shared" si="2"/>
        <v>60198.703651937059</v>
      </c>
      <c r="AZ18" s="119">
        <f t="shared" si="2"/>
        <v>60709.287784897242</v>
      </c>
      <c r="BA18" s="119">
        <f t="shared" si="2"/>
        <v>61217.172220255343</v>
      </c>
      <c r="BB18" s="119">
        <f t="shared" si="2"/>
        <v>61703.988771672426</v>
      </c>
      <c r="BC18" s="119">
        <f t="shared" si="2"/>
        <v>62182.500588641611</v>
      </c>
      <c r="BD18" s="119">
        <f t="shared" si="2"/>
        <v>62652.193680375596</v>
      </c>
      <c r="BE18" s="119">
        <f t="shared" si="2"/>
        <v>63111.208062159902</v>
      </c>
      <c r="BF18" s="119">
        <f t="shared" si="2"/>
        <v>63557.898001418602</v>
      </c>
      <c r="BG18" s="119">
        <f t="shared" si="2"/>
        <v>63993.118001044015</v>
      </c>
      <c r="BH18" s="119">
        <f t="shared" si="2"/>
        <v>64417.115548507194</v>
      </c>
      <c r="BI18" s="119">
        <f t="shared" si="2"/>
        <v>64829.76715381453</v>
      </c>
      <c r="BJ18" s="119">
        <f t="shared" si="2"/>
        <v>65230.035078692657</v>
      </c>
      <c r="BK18" s="119">
        <f t="shared" si="2"/>
        <v>65617.660434486272</v>
      </c>
      <c r="BL18" s="119">
        <f t="shared" si="2"/>
        <v>65992.077047574043</v>
      </c>
      <c r="BM18" s="119">
        <f t="shared" ref="T18:BO21" si="3">BM34*1000000</f>
        <v>66353.722416362827</v>
      </c>
      <c r="BN18" s="119">
        <f t="shared" si="3"/>
        <v>66702.280545841772</v>
      </c>
      <c r="BO18" s="119">
        <f t="shared" si="3"/>
        <v>67037.430512289066</v>
      </c>
      <c r="BP18" s="114"/>
    </row>
    <row r="19" spans="1:68" x14ac:dyDescent="0.3">
      <c r="A19" s="388"/>
      <c r="D19" s="359"/>
      <c r="E19" s="115"/>
      <c r="F19" s="117" t="s">
        <v>500</v>
      </c>
      <c r="G19" s="118">
        <f>51991+144981</f>
        <v>196972</v>
      </c>
      <c r="H19" s="118">
        <f>40003+136323</f>
        <v>176326</v>
      </c>
      <c r="I19" s="118">
        <f>31389+114272</f>
        <v>145661</v>
      </c>
      <c r="J19" s="118">
        <f>28607+151442</f>
        <v>180049</v>
      </c>
      <c r="K19" s="118">
        <f>40689+135152</f>
        <v>175841</v>
      </c>
      <c r="L19" s="119">
        <f>52012+ 123355</f>
        <v>175367</v>
      </c>
      <c r="M19" s="119">
        <f>39586+ 110110</f>
        <v>149696</v>
      </c>
      <c r="N19" s="119">
        <f>44818+127239</f>
        <v>172057</v>
      </c>
      <c r="O19" s="119">
        <f>38236+125268</f>
        <v>163504</v>
      </c>
      <c r="P19" s="119">
        <f>35449+160262</f>
        <v>195711</v>
      </c>
      <c r="Q19" s="119">
        <f>41334+145501</f>
        <v>186835</v>
      </c>
      <c r="R19" s="119">
        <f>41982+128861</f>
        <v>170843</v>
      </c>
      <c r="S19" s="119">
        <f>43747.302886873+133145</f>
        <v>176892.30288687302</v>
      </c>
      <c r="T19" s="119">
        <f t="shared" si="3"/>
        <v>176016.06260095575</v>
      </c>
      <c r="U19" s="119">
        <f t="shared" si="3"/>
        <v>186741.56165618252</v>
      </c>
      <c r="V19" s="119">
        <f t="shared" si="3"/>
        <v>187063.94766357663</v>
      </c>
      <c r="W19" s="119">
        <f t="shared" si="3"/>
        <v>198291.27933848134</v>
      </c>
      <c r="X19" s="119">
        <f t="shared" si="3"/>
        <v>203221.54940610306</v>
      </c>
      <c r="Y19" s="119">
        <f t="shared" si="3"/>
        <v>208374.16691782646</v>
      </c>
      <c r="Z19" s="119">
        <f t="shared" si="3"/>
        <v>212962.34690784369</v>
      </c>
      <c r="AA19" s="119">
        <f t="shared" si="3"/>
        <v>218327.18353330443</v>
      </c>
      <c r="AB19" s="119">
        <f t="shared" si="3"/>
        <v>215617.75699717077</v>
      </c>
      <c r="AC19" s="119">
        <f t="shared" si="3"/>
        <v>219629.00067447309</v>
      </c>
      <c r="AD19" s="119">
        <f t="shared" si="3"/>
        <v>224479.00142514534</v>
      </c>
      <c r="AE19" s="119">
        <f t="shared" si="3"/>
        <v>228019.81375713204</v>
      </c>
      <c r="AF19" s="119">
        <f t="shared" si="3"/>
        <v>231406.68225403724</v>
      </c>
      <c r="AG19" s="119">
        <f t="shared" si="3"/>
        <v>234679.36765470469</v>
      </c>
      <c r="AH19" s="119">
        <f t="shared" si="3"/>
        <v>237506.14931234639</v>
      </c>
      <c r="AI19" s="119">
        <f t="shared" si="3"/>
        <v>239972.41565600972</v>
      </c>
      <c r="AJ19" s="119">
        <f t="shared" si="3"/>
        <v>243512.93622333943</v>
      </c>
      <c r="AK19" s="119">
        <f t="shared" si="3"/>
        <v>246793.73021857726</v>
      </c>
      <c r="AL19" s="119">
        <f t="shared" si="3"/>
        <v>249894.39917362208</v>
      </c>
      <c r="AM19" s="119">
        <f t="shared" si="3"/>
        <v>252890.99156699952</v>
      </c>
      <c r="AN19" s="119">
        <f t="shared" si="3"/>
        <v>255485.24740918333</v>
      </c>
      <c r="AO19" s="119">
        <f t="shared" si="3"/>
        <v>258379.13103845855</v>
      </c>
      <c r="AP19" s="119">
        <f t="shared" si="3"/>
        <v>261040.43287430884</v>
      </c>
      <c r="AQ19" s="119">
        <f t="shared" si="3"/>
        <v>264103.79031209735</v>
      </c>
      <c r="AR19" s="119">
        <f t="shared" si="3"/>
        <v>266778.45805959962</v>
      </c>
      <c r="AS19" s="119">
        <f t="shared" si="3"/>
        <v>269362.65003993292</v>
      </c>
      <c r="AT19" s="119">
        <f t="shared" si="3"/>
        <v>271944.51332118508</v>
      </c>
      <c r="AU19" s="119">
        <f t="shared" si="3"/>
        <v>274490.98784354149</v>
      </c>
      <c r="AV19" s="119">
        <f t="shared" si="3"/>
        <v>277187.83339402208</v>
      </c>
      <c r="AW19" s="119">
        <f t="shared" si="3"/>
        <v>279700.77890227566</v>
      </c>
      <c r="AX19" s="119">
        <f t="shared" si="3"/>
        <v>282170.52933768474</v>
      </c>
      <c r="AY19" s="119">
        <f t="shared" si="3"/>
        <v>284627.08218300366</v>
      </c>
      <c r="AZ19" s="119">
        <f t="shared" si="3"/>
        <v>287041.18852013769</v>
      </c>
      <c r="BA19" s="119">
        <f t="shared" si="3"/>
        <v>289442.53034566861</v>
      </c>
      <c r="BB19" s="119">
        <f t="shared" si="3"/>
        <v>291744.26055217581</v>
      </c>
      <c r="BC19" s="119">
        <f t="shared" si="3"/>
        <v>294006.72492419119</v>
      </c>
      <c r="BD19" s="119">
        <f t="shared" si="3"/>
        <v>296227.49324828543</v>
      </c>
      <c r="BE19" s="119">
        <f t="shared" si="3"/>
        <v>298397.77128155832</v>
      </c>
      <c r="BF19" s="119">
        <f t="shared" si="3"/>
        <v>300509.77779231011</v>
      </c>
      <c r="BG19" s="119">
        <f t="shared" si="3"/>
        <v>302567.55297825602</v>
      </c>
      <c r="BH19" s="119">
        <f t="shared" si="3"/>
        <v>304572.26699145074</v>
      </c>
      <c r="BI19" s="119">
        <f t="shared" si="3"/>
        <v>306523.33595559077</v>
      </c>
      <c r="BJ19" s="119">
        <f t="shared" si="3"/>
        <v>308415.85331291164</v>
      </c>
      <c r="BK19" s="119">
        <f t="shared" si="3"/>
        <v>310248.59500511811</v>
      </c>
      <c r="BL19" s="119">
        <f t="shared" si="3"/>
        <v>312018.88409174338</v>
      </c>
      <c r="BM19" s="119">
        <f t="shared" si="3"/>
        <v>313728.78912057093</v>
      </c>
      <c r="BN19" s="119">
        <f t="shared" si="3"/>
        <v>315376.81602723623</v>
      </c>
      <c r="BO19" s="119">
        <f t="shared" si="3"/>
        <v>316961.44744380587</v>
      </c>
      <c r="BP19" s="114"/>
    </row>
    <row r="20" spans="1:68" x14ac:dyDescent="0.3">
      <c r="A20" s="388"/>
      <c r="D20" s="359"/>
      <c r="E20" s="115"/>
      <c r="F20" s="117" t="s">
        <v>501</v>
      </c>
      <c r="G20" s="118">
        <v>2798</v>
      </c>
      <c r="H20" s="118">
        <v>1668</v>
      </c>
      <c r="I20" s="118">
        <v>3115</v>
      </c>
      <c r="J20" s="118">
        <v>1353</v>
      </c>
      <c r="K20" s="118">
        <v>9844</v>
      </c>
      <c r="L20" s="119">
        <v>10361</v>
      </c>
      <c r="M20" s="119">
        <v>15758</v>
      </c>
      <c r="N20" s="119">
        <v>22174</v>
      </c>
      <c r="O20" s="119">
        <v>22916</v>
      </c>
      <c r="P20" s="119">
        <v>18966</v>
      </c>
      <c r="Q20" s="119">
        <v>17248</v>
      </c>
      <c r="R20" s="119">
        <v>13711</v>
      </c>
      <c r="S20" s="119">
        <v>15923.912236602624</v>
      </c>
      <c r="T20" s="119">
        <f t="shared" si="3"/>
        <v>15845.032753530681</v>
      </c>
      <c r="U20" s="119">
        <f t="shared" si="3"/>
        <v>16810.54624881499</v>
      </c>
      <c r="V20" s="119">
        <f t="shared" si="3"/>
        <v>16839.567559546274</v>
      </c>
      <c r="W20" s="119">
        <f t="shared" si="3"/>
        <v>17850.256217699742</v>
      </c>
      <c r="X20" s="119">
        <f t="shared" si="3"/>
        <v>18294.081000227256</v>
      </c>
      <c r="Y20" s="119">
        <f t="shared" si="3"/>
        <v>18757.921584053773</v>
      </c>
      <c r="Z20" s="119">
        <f t="shared" si="3"/>
        <v>19170.951287971959</v>
      </c>
      <c r="AA20" s="119">
        <f t="shared" si="3"/>
        <v>19653.895916954385</v>
      </c>
      <c r="AB20" s="119">
        <f t="shared" si="3"/>
        <v>19409.992311942769</v>
      </c>
      <c r="AC20" s="119">
        <f t="shared" si="3"/>
        <v>19771.085990042709</v>
      </c>
      <c r="AD20" s="119">
        <f t="shared" si="3"/>
        <v>20207.684898196178</v>
      </c>
      <c r="AE20" s="119">
        <f t="shared" si="3"/>
        <v>20526.430168061848</v>
      </c>
      <c r="AF20" s="119">
        <f t="shared" si="3"/>
        <v>20831.317355471714</v>
      </c>
      <c r="AG20" s="119">
        <f t="shared" si="3"/>
        <v>21125.925737225709</v>
      </c>
      <c r="AH20" s="119">
        <f t="shared" si="3"/>
        <v>21380.39369481181</v>
      </c>
      <c r="AI20" s="119">
        <f t="shared" si="3"/>
        <v>21602.407927017819</v>
      </c>
      <c r="AJ20" s="119">
        <f t="shared" si="3"/>
        <v>21921.126932118343</v>
      </c>
      <c r="AK20" s="119">
        <f t="shared" si="3"/>
        <v>22216.465252632781</v>
      </c>
      <c r="AL20" s="119">
        <f t="shared" si="3"/>
        <v>22495.588648671492</v>
      </c>
      <c r="AM20" s="119">
        <f t="shared" si="3"/>
        <v>22765.34303313179</v>
      </c>
      <c r="AN20" s="119">
        <f t="shared" si="3"/>
        <v>22998.878928566701</v>
      </c>
      <c r="AO20" s="119">
        <f t="shared" si="3"/>
        <v>23259.387431104486</v>
      </c>
      <c r="AP20" s="119">
        <f t="shared" si="3"/>
        <v>23498.958832333239</v>
      </c>
      <c r="AQ20" s="119">
        <f t="shared" si="3"/>
        <v>23774.723431428789</v>
      </c>
      <c r="AR20" s="119">
        <f t="shared" si="3"/>
        <v>24015.498037096822</v>
      </c>
      <c r="AS20" s="119">
        <f t="shared" si="3"/>
        <v>24248.127979868706</v>
      </c>
      <c r="AT20" s="119">
        <f t="shared" si="3"/>
        <v>24480.548292265561</v>
      </c>
      <c r="AU20" s="119">
        <f t="shared" si="3"/>
        <v>24709.782895156564</v>
      </c>
      <c r="AV20" s="119">
        <f t="shared" si="3"/>
        <v>24952.553955065196</v>
      </c>
      <c r="AW20" s="119">
        <f t="shared" si="3"/>
        <v>25178.77026338239</v>
      </c>
      <c r="AX20" s="119">
        <f t="shared" si="3"/>
        <v>25401.098134849559</v>
      </c>
      <c r="AY20" s="119">
        <f t="shared" si="3"/>
        <v>25622.237954248329</v>
      </c>
      <c r="AZ20" s="119">
        <f t="shared" si="3"/>
        <v>25839.556722871821</v>
      </c>
      <c r="BA20" s="119">
        <f t="shared" si="3"/>
        <v>26055.726425316658</v>
      </c>
      <c r="BB20" s="119">
        <f t="shared" si="3"/>
        <v>26262.929052014315</v>
      </c>
      <c r="BC20" s="119">
        <f t="shared" si="3"/>
        <v>26466.59695338962</v>
      </c>
      <c r="BD20" s="119">
        <f t="shared" si="3"/>
        <v>26666.511360707384</v>
      </c>
      <c r="BE20" s="119">
        <f t="shared" si="3"/>
        <v>26861.880612884313</v>
      </c>
      <c r="BF20" s="119">
        <f t="shared" si="3"/>
        <v>27052.004240489823</v>
      </c>
      <c r="BG20" s="119">
        <f t="shared" si="3"/>
        <v>27237.245943655489</v>
      </c>
      <c r="BH20" s="119">
        <f t="shared" si="3"/>
        <v>27417.711059913348</v>
      </c>
      <c r="BI20" s="119">
        <f t="shared" si="3"/>
        <v>27593.347028496984</v>
      </c>
      <c r="BJ20" s="119">
        <f t="shared" si="3"/>
        <v>27763.712159214389</v>
      </c>
      <c r="BK20" s="119">
        <f t="shared" si="3"/>
        <v>27928.696261873294</v>
      </c>
      <c r="BL20" s="119">
        <f t="shared" si="3"/>
        <v>28088.058357276986</v>
      </c>
      <c r="BM20" s="119">
        <f t="shared" si="3"/>
        <v>28241.984656881938</v>
      </c>
      <c r="BN20" s="119">
        <f t="shared" si="3"/>
        <v>28390.340664447063</v>
      </c>
      <c r="BO20" s="119">
        <f t="shared" si="3"/>
        <v>28532.989785935159</v>
      </c>
      <c r="BP20" s="114"/>
    </row>
    <row r="21" spans="1:68" x14ac:dyDescent="0.3">
      <c r="A21" s="354"/>
      <c r="B21" s="354"/>
      <c r="C21" s="354"/>
      <c r="D21" s="359"/>
      <c r="E21" s="115"/>
      <c r="F21" s="117" t="s">
        <v>502</v>
      </c>
      <c r="G21" s="118">
        <v>5961</v>
      </c>
      <c r="H21" s="118">
        <v>6595</v>
      </c>
      <c r="I21" s="118">
        <v>6682</v>
      </c>
      <c r="J21" s="118">
        <v>9327</v>
      </c>
      <c r="K21" s="118">
        <v>6867</v>
      </c>
      <c r="L21" s="119">
        <v>7724</v>
      </c>
      <c r="M21" s="119">
        <v>8454</v>
      </c>
      <c r="N21" s="119">
        <v>9986</v>
      </c>
      <c r="O21" s="119">
        <v>7508</v>
      </c>
      <c r="P21" s="119">
        <v>9316</v>
      </c>
      <c r="Q21" s="119">
        <v>5218</v>
      </c>
      <c r="R21" s="119">
        <v>7464</v>
      </c>
      <c r="S21" s="119">
        <v>7854</v>
      </c>
      <c r="T21" s="119">
        <f t="shared" si="3"/>
        <v>7815.0950216980591</v>
      </c>
      <c r="U21" s="119">
        <f t="shared" si="3"/>
        <v>8291.3060733096336</v>
      </c>
      <c r="V21" s="119">
        <f t="shared" si="3"/>
        <v>8305.6199787806527</v>
      </c>
      <c r="W21" s="119">
        <f t="shared" si="3"/>
        <v>8804.1123469369668</v>
      </c>
      <c r="X21" s="119">
        <f t="shared" si="3"/>
        <v>9023.0158293336244</v>
      </c>
      <c r="Y21" s="119">
        <f t="shared" si="3"/>
        <v>9251.7915153110753</v>
      </c>
      <c r="Z21" s="119">
        <f t="shared" si="3"/>
        <v>9455.5062335520452</v>
      </c>
      <c r="AA21" s="119">
        <f t="shared" si="3"/>
        <v>9693.7044262869513</v>
      </c>
      <c r="AB21" s="119">
        <f t="shared" si="3"/>
        <v>9573.406167586556</v>
      </c>
      <c r="AC21" s="119">
        <f t="shared" si="3"/>
        <v>9751.5049730596256</v>
      </c>
      <c r="AD21" s="119">
        <f t="shared" si="3"/>
        <v>9966.8445060642935</v>
      </c>
      <c r="AE21" s="119">
        <f t="shared" si="3"/>
        <v>10124.056208334958</v>
      </c>
      <c r="AF21" s="119">
        <f t="shared" si="3"/>
        <v>10274.432820208824</v>
      </c>
      <c r="AG21" s="119">
        <f t="shared" si="3"/>
        <v>10419.739714388839</v>
      </c>
      <c r="AH21" s="119">
        <f t="shared" si="3"/>
        <v>10545.248528377859</v>
      </c>
      <c r="AI21" s="119">
        <f t="shared" si="3"/>
        <v>10654.750499616932</v>
      </c>
      <c r="AJ21" s="119">
        <f t="shared" si="3"/>
        <v>10811.949247566927</v>
      </c>
      <c r="AK21" s="119">
        <f t="shared" si="3"/>
        <v>10957.616162509386</v>
      </c>
      <c r="AL21" s="119">
        <f t="shared" si="3"/>
        <v>11095.285544248942</v>
      </c>
      <c r="AM21" s="119">
        <f t="shared" si="3"/>
        <v>11228.333937386982</v>
      </c>
      <c r="AN21" s="119">
        <f t="shared" si="3"/>
        <v>11343.518629156992</v>
      </c>
      <c r="AO21" s="119">
        <f t="shared" si="3"/>
        <v>11472.006763764313</v>
      </c>
      <c r="AP21" s="119">
        <f t="shared" si="3"/>
        <v>11590.168290736661</v>
      </c>
      <c r="AQ21" s="119">
        <f t="shared" si="3"/>
        <v>11726.181044959085</v>
      </c>
      <c r="AR21" s="119">
        <f t="shared" si="3"/>
        <v>11844.936017029955</v>
      </c>
      <c r="AS21" s="119">
        <f t="shared" si="3"/>
        <v>11959.673874371991</v>
      </c>
      <c r="AT21" s="119">
        <f t="shared" si="3"/>
        <v>12074.308337715047</v>
      </c>
      <c r="AU21" s="119">
        <f t="shared" si="3"/>
        <v>12187.371543813832</v>
      </c>
      <c r="AV21" s="119">
        <f t="shared" si="3"/>
        <v>12307.111208049082</v>
      </c>
      <c r="AW21" s="119">
        <f t="shared" si="3"/>
        <v>12418.68572938055</v>
      </c>
      <c r="AX21" s="119">
        <f t="shared" si="3"/>
        <v>12528.342393933714</v>
      </c>
      <c r="AY21" s="119">
        <f t="shared" si="3"/>
        <v>12637.413086848339</v>
      </c>
      <c r="AZ21" s="119">
        <f t="shared" si="3"/>
        <v>12744.599159178331</v>
      </c>
      <c r="BA21" s="119">
        <f t="shared" si="3"/>
        <v>12851.218488509927</v>
      </c>
      <c r="BB21" s="119">
        <f t="shared" si="3"/>
        <v>12953.415072232783</v>
      </c>
      <c r="BC21" s="119">
        <f t="shared" si="3"/>
        <v>13053.868256954866</v>
      </c>
      <c r="BD21" s="119">
        <f t="shared" si="3"/>
        <v>13152.4701414506</v>
      </c>
      <c r="BE21" s="119">
        <f t="shared" si="3"/>
        <v>13248.830262242436</v>
      </c>
      <c r="BF21" s="119">
        <f t="shared" si="3"/>
        <v>13342.603133445615</v>
      </c>
      <c r="BG21" s="119">
        <f t="shared" si="3"/>
        <v>13433.968139421908</v>
      </c>
      <c r="BH21" s="119">
        <f t="shared" si="3"/>
        <v>13522.977234801827</v>
      </c>
      <c r="BI21" s="119">
        <f t="shared" si="3"/>
        <v>13609.604495537735</v>
      </c>
      <c r="BJ21" s="119">
        <f t="shared" si="3"/>
        <v>13693.632070971042</v>
      </c>
      <c r="BK21" s="119">
        <f t="shared" si="3"/>
        <v>13775.005613039717</v>
      </c>
      <c r="BL21" s="119">
        <f t="shared" si="3"/>
        <v>13853.606265863185</v>
      </c>
      <c r="BM21" s="119">
        <f t="shared" si="3"/>
        <v>13929.525872749644</v>
      </c>
      <c r="BN21" s="119">
        <f t="shared" si="3"/>
        <v>14002.698097395431</v>
      </c>
      <c r="BO21" s="119">
        <f t="shared" si="3"/>
        <v>14073.055568820841</v>
      </c>
      <c r="BP21" s="114"/>
    </row>
    <row r="22" spans="1:68" x14ac:dyDescent="0.3">
      <c r="A22" s="354"/>
      <c r="B22" s="354"/>
      <c r="C22" s="354"/>
      <c r="D22" s="359"/>
      <c r="E22" s="115"/>
      <c r="F22" s="117"/>
      <c r="G22" s="118"/>
      <c r="H22" s="118"/>
      <c r="I22" s="118"/>
      <c r="J22" s="118"/>
      <c r="K22" s="118"/>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c r="AI22" s="119"/>
      <c r="AJ22" s="119"/>
      <c r="AK22" s="119"/>
      <c r="AL22" s="119"/>
      <c r="AM22" s="119"/>
      <c r="AN22" s="119"/>
      <c r="AO22" s="119"/>
      <c r="AP22" s="119"/>
      <c r="AQ22" s="119"/>
      <c r="AR22" s="119"/>
      <c r="AS22" s="119"/>
      <c r="AT22" s="119"/>
      <c r="AU22" s="119"/>
      <c r="AV22" s="119"/>
      <c r="AW22" s="119"/>
      <c r="AX22" s="119"/>
      <c r="AY22" s="119"/>
      <c r="AZ22" s="119"/>
      <c r="BA22" s="119"/>
      <c r="BB22" s="119"/>
      <c r="BC22" s="119"/>
      <c r="BD22" s="119"/>
      <c r="BE22" s="119"/>
      <c r="BF22" s="119"/>
      <c r="BG22" s="119"/>
      <c r="BH22" s="119"/>
      <c r="BI22" s="119"/>
      <c r="BJ22" s="119"/>
      <c r="BK22" s="119"/>
      <c r="BL22" s="119"/>
      <c r="BM22" s="119"/>
      <c r="BN22" s="119"/>
      <c r="BO22" s="119"/>
      <c r="BP22" s="114"/>
    </row>
    <row r="23" spans="1:68" ht="15.6" x14ac:dyDescent="0.3">
      <c r="A23" s="354"/>
      <c r="B23" s="354"/>
      <c r="C23" s="354"/>
      <c r="D23" s="359"/>
      <c r="E23" s="115"/>
      <c r="F23" s="116" t="s">
        <v>503</v>
      </c>
      <c r="G23" s="111"/>
      <c r="H23" s="111"/>
      <c r="I23" s="111"/>
      <c r="J23" s="111"/>
      <c r="K23" s="111"/>
      <c r="L23" s="112"/>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c r="BG23" s="113"/>
      <c r="BH23" s="113"/>
      <c r="BI23" s="113"/>
      <c r="BJ23" s="113"/>
      <c r="BK23" s="113"/>
      <c r="BL23" s="113"/>
      <c r="BM23" s="113"/>
      <c r="BN23" s="113"/>
      <c r="BO23" s="113"/>
      <c r="BP23" s="114"/>
    </row>
    <row r="24" spans="1:68" x14ac:dyDescent="0.3">
      <c r="A24" s="382" t="s">
        <v>487</v>
      </c>
      <c r="B24" s="354"/>
      <c r="C24" s="354"/>
      <c r="D24" s="359"/>
      <c r="E24" s="115"/>
      <c r="F24" s="117" t="s">
        <v>431</v>
      </c>
      <c r="G24" s="122">
        <f t="shared" ref="G24:R37" si="4">G8/1000000</f>
        <v>0.23577300000000001</v>
      </c>
      <c r="H24" s="122">
        <f t="shared" si="4"/>
        <v>0.20011000000000001</v>
      </c>
      <c r="I24" s="122">
        <f t="shared" si="4"/>
        <v>0.221775</v>
      </c>
      <c r="J24" s="122">
        <f t="shared" si="4"/>
        <v>0.21787400000000001</v>
      </c>
      <c r="K24" s="122">
        <f t="shared" si="4"/>
        <v>0.19667299999999999</v>
      </c>
      <c r="L24" s="123">
        <f t="shared" si="4"/>
        <v>0.19553300000000001</v>
      </c>
      <c r="M24" s="123">
        <f t="shared" si="4"/>
        <v>0.186222</v>
      </c>
      <c r="N24" s="123">
        <f t="shared" si="4"/>
        <v>0.16697200000000001</v>
      </c>
      <c r="O24" s="123">
        <f t="shared" si="4"/>
        <v>0.173706</v>
      </c>
      <c r="P24" s="123">
        <f t="shared" si="4"/>
        <v>0.19038099999999999</v>
      </c>
      <c r="Q24" s="123">
        <f t="shared" si="4"/>
        <v>0.16508</v>
      </c>
      <c r="R24" s="123">
        <f t="shared" si="4"/>
        <v>0.16789299999999999</v>
      </c>
      <c r="S24" s="123">
        <f t="shared" ref="S24" si="5">S8/1000000</f>
        <v>0.172653</v>
      </c>
      <c r="T24" s="124">
        <v>0.17179775920311113</v>
      </c>
      <c r="U24" s="124">
        <v>0.18226621689268246</v>
      </c>
      <c r="V24" s="124">
        <v>0.18258087677570864</v>
      </c>
      <c r="W24" s="124">
        <v>0.19353914044253984</v>
      </c>
      <c r="X24" s="124">
        <v>0.19835125439036647</v>
      </c>
      <c r="Y24" s="125">
        <f t="shared" ref="Y24:BO24" si="6">1.005*X24</f>
        <v>0.19934301066231827</v>
      </c>
      <c r="Z24" s="125">
        <f t="shared" si="6"/>
        <v>0.20033972571562983</v>
      </c>
      <c r="AA24" s="125">
        <f t="shared" si="6"/>
        <v>0.20134142434420796</v>
      </c>
      <c r="AB24" s="125">
        <f t="shared" si="6"/>
        <v>0.20234813146592898</v>
      </c>
      <c r="AC24" s="125">
        <f t="shared" si="6"/>
        <v>0.20335987212325859</v>
      </c>
      <c r="AD24" s="125">
        <f t="shared" si="6"/>
        <v>0.20437667148387487</v>
      </c>
      <c r="AE24" s="125">
        <f t="shared" si="6"/>
        <v>0.20539855484129421</v>
      </c>
      <c r="AF24" s="125">
        <f t="shared" si="6"/>
        <v>0.20642554761550067</v>
      </c>
      <c r="AG24" s="125">
        <f t="shared" si="6"/>
        <v>0.20745767535357815</v>
      </c>
      <c r="AH24" s="125">
        <f t="shared" si="6"/>
        <v>0.20849496373034601</v>
      </c>
      <c r="AI24" s="125">
        <f t="shared" si="6"/>
        <v>0.20953743854899773</v>
      </c>
      <c r="AJ24" s="125">
        <f t="shared" si="6"/>
        <v>0.21058512574174271</v>
      </c>
      <c r="AK24" s="125">
        <f t="shared" si="6"/>
        <v>0.21163805137045139</v>
      </c>
      <c r="AL24" s="125">
        <f t="shared" si="6"/>
        <v>0.21269624162730361</v>
      </c>
      <c r="AM24" s="125">
        <f t="shared" si="6"/>
        <v>0.21375972283544009</v>
      </c>
      <c r="AN24" s="125">
        <f t="shared" si="6"/>
        <v>0.21482852144961728</v>
      </c>
      <c r="AO24" s="125">
        <f t="shared" si="6"/>
        <v>0.21590266405686534</v>
      </c>
      <c r="AP24" s="125">
        <f t="shared" si="6"/>
        <v>0.21698217737714964</v>
      </c>
      <c r="AQ24" s="125">
        <f t="shared" si="6"/>
        <v>0.21806708826403537</v>
      </c>
      <c r="AR24" s="125">
        <f t="shared" si="6"/>
        <v>0.21915742370535551</v>
      </c>
      <c r="AS24" s="125">
        <f t="shared" si="6"/>
        <v>0.22025321082388227</v>
      </c>
      <c r="AT24" s="125">
        <f t="shared" si="6"/>
        <v>0.22135447687800167</v>
      </c>
      <c r="AU24" s="125">
        <f t="shared" si="6"/>
        <v>0.22246124926239166</v>
      </c>
      <c r="AV24" s="125">
        <f t="shared" si="6"/>
        <v>0.22357355550870359</v>
      </c>
      <c r="AW24" s="125">
        <f t="shared" si="6"/>
        <v>0.22469142328624708</v>
      </c>
      <c r="AX24" s="125">
        <f t="shared" si="6"/>
        <v>0.2258148804026783</v>
      </c>
      <c r="AY24" s="125">
        <f t="shared" si="6"/>
        <v>0.22694395480469168</v>
      </c>
      <c r="AZ24" s="125">
        <f t="shared" si="6"/>
        <v>0.22807867457871511</v>
      </c>
      <c r="BA24" s="125">
        <f t="shared" si="6"/>
        <v>0.22921906795160865</v>
      </c>
      <c r="BB24" s="125">
        <f t="shared" si="6"/>
        <v>0.23036516329136666</v>
      </c>
      <c r="BC24" s="125">
        <f t="shared" si="6"/>
        <v>0.23151698910782348</v>
      </c>
      <c r="BD24" s="125">
        <f t="shared" si="6"/>
        <v>0.23267457405336256</v>
      </c>
      <c r="BE24" s="125">
        <f t="shared" si="6"/>
        <v>0.23383794692362936</v>
      </c>
      <c r="BF24" s="125">
        <f t="shared" si="6"/>
        <v>0.23500713665824749</v>
      </c>
      <c r="BG24" s="125">
        <f t="shared" si="6"/>
        <v>0.23618217234153871</v>
      </c>
      <c r="BH24" s="125">
        <f t="shared" si="6"/>
        <v>0.23736308320324637</v>
      </c>
      <c r="BI24" s="125">
        <f t="shared" si="6"/>
        <v>0.23854989861926257</v>
      </c>
      <c r="BJ24" s="125">
        <f t="shared" si="6"/>
        <v>0.23974264811235885</v>
      </c>
      <c r="BK24" s="125">
        <f t="shared" si="6"/>
        <v>0.2409413613529206</v>
      </c>
      <c r="BL24" s="125">
        <f t="shared" si="6"/>
        <v>0.24214606815968517</v>
      </c>
      <c r="BM24" s="125">
        <f t="shared" si="6"/>
        <v>0.24335679850048358</v>
      </c>
      <c r="BN24" s="125">
        <f t="shared" si="6"/>
        <v>0.24457358249298597</v>
      </c>
      <c r="BO24" s="125">
        <f t="shared" si="6"/>
        <v>0.24579645040545087</v>
      </c>
      <c r="BP24" s="114"/>
    </row>
    <row r="25" spans="1:68" x14ac:dyDescent="0.3">
      <c r="A25" s="388"/>
      <c r="D25" s="359"/>
      <c r="E25" s="115"/>
      <c r="F25" s="117" t="s">
        <v>432</v>
      </c>
      <c r="G25" s="122">
        <f t="shared" si="4"/>
        <v>0.47005400000000003</v>
      </c>
      <c r="H25" s="122">
        <f t="shared" si="4"/>
        <v>0.52109099999999997</v>
      </c>
      <c r="I25" s="122">
        <f t="shared" si="4"/>
        <v>0.50772099999999998</v>
      </c>
      <c r="J25" s="122">
        <f t="shared" si="4"/>
        <v>0.50888500000000003</v>
      </c>
      <c r="K25" s="122">
        <f t="shared" si="4"/>
        <v>0.48731600000000003</v>
      </c>
      <c r="L25" s="123">
        <f t="shared" si="4"/>
        <v>0.53741000000000005</v>
      </c>
      <c r="M25" s="123">
        <f t="shared" si="4"/>
        <v>0.55961700000000003</v>
      </c>
      <c r="N25" s="123">
        <f t="shared" si="4"/>
        <v>0.57351600000000003</v>
      </c>
      <c r="O25" s="123">
        <f t="shared" si="4"/>
        <v>0.57383300000000004</v>
      </c>
      <c r="P25" s="123">
        <f t="shared" si="4"/>
        <v>0.60195399999999999</v>
      </c>
      <c r="Q25" s="123">
        <f t="shared" si="4"/>
        <v>0.59057899999999997</v>
      </c>
      <c r="R25" s="123">
        <f t="shared" si="4"/>
        <v>0.62696200000000002</v>
      </c>
      <c r="S25" s="123">
        <f t="shared" ref="S25" si="7">S9/1000000</f>
        <v>0.59155680703088576</v>
      </c>
      <c r="T25" s="124">
        <v>0.58862651612919203</v>
      </c>
      <c r="U25" s="124">
        <v>0.62449434006147664</v>
      </c>
      <c r="V25" s="124">
        <v>0.62557245162457531</v>
      </c>
      <c r="W25" s="125">
        <v>0.67638085567470507</v>
      </c>
      <c r="X25" s="125">
        <v>0.7070622029176018</v>
      </c>
      <c r="Y25" s="125">
        <v>0.73948933014761298</v>
      </c>
      <c r="Z25" s="125">
        <v>0.77088754955945371</v>
      </c>
      <c r="AA25" s="125">
        <v>0.80611349451750147</v>
      </c>
      <c r="AB25" s="125">
        <v>0.81203187058670045</v>
      </c>
      <c r="AC25" s="125">
        <v>0.84368127074164234</v>
      </c>
      <c r="AD25" s="125">
        <v>0.87955826947938021</v>
      </c>
      <c r="AE25" s="125">
        <v>0.91130059271647901</v>
      </c>
      <c r="AF25" s="125">
        <v>0.94333323094324006</v>
      </c>
      <c r="AG25" s="126">
        <v>0.95667438800405158</v>
      </c>
      <c r="AH25" s="126">
        <v>0.96819781095925761</v>
      </c>
      <c r="AI25" s="126">
        <v>0.97825158717554017</v>
      </c>
      <c r="AJ25" s="126">
        <v>0.99268457879647198</v>
      </c>
      <c r="AK25" s="126">
        <v>1.0060587906793828</v>
      </c>
      <c r="AL25" s="126">
        <v>1.0186987198074311</v>
      </c>
      <c r="AM25" s="126">
        <v>1.0309143790819608</v>
      </c>
      <c r="AN25" s="126">
        <v>1.0414899066409018</v>
      </c>
      <c r="AO25" s="126">
        <v>1.0532868719116846</v>
      </c>
      <c r="AP25" s="126">
        <v>1.0641357135910783</v>
      </c>
      <c r="AQ25" s="126">
        <v>1.0766235416916974</v>
      </c>
      <c r="AR25" s="126">
        <v>1.0875268697346667</v>
      </c>
      <c r="AS25" s="126">
        <v>1.0980613717915662</v>
      </c>
      <c r="AT25" s="126">
        <v>1.1085863808675078</v>
      </c>
      <c r="AU25" s="126">
        <v>1.1189671270728054</v>
      </c>
      <c r="AV25" s="126">
        <v>1.1299608633025007</v>
      </c>
      <c r="AW25" s="126">
        <v>1.1402049279180713</v>
      </c>
      <c r="AX25" s="126">
        <v>1.1502729070929347</v>
      </c>
      <c r="AY25" s="126">
        <v>1.1602870860698995</v>
      </c>
      <c r="AZ25" s="126">
        <v>1.1701282311425782</v>
      </c>
      <c r="BA25" s="126">
        <v>1.1799173414690918</v>
      </c>
      <c r="BB25" s="126">
        <v>1.1893003833558442</v>
      </c>
      <c r="BC25" s="126">
        <v>1.1985233574080989</v>
      </c>
      <c r="BD25" s="126">
        <v>1.20757635681995</v>
      </c>
      <c r="BE25" s="126">
        <v>1.216423531712354</v>
      </c>
      <c r="BF25" s="126">
        <v>1.225033161763458</v>
      </c>
      <c r="BG25" s="126">
        <v>1.2334217169071775</v>
      </c>
      <c r="BH25" s="126">
        <v>1.2415939672880378</v>
      </c>
      <c r="BI25" s="126">
        <v>1.2495475327244707</v>
      </c>
      <c r="BJ25" s="126">
        <v>1.2572624115512532</v>
      </c>
      <c r="BK25" s="126">
        <v>1.2647336138741643</v>
      </c>
      <c r="BL25" s="126">
        <v>1.2719502271003826</v>
      </c>
      <c r="BM25" s="126">
        <v>1.2789206836997269</v>
      </c>
      <c r="BN25" s="126">
        <v>1.2856388930936944</v>
      </c>
      <c r="BO25" s="126">
        <v>1.292098669706393</v>
      </c>
      <c r="BP25" s="114"/>
    </row>
    <row r="26" spans="1:68" x14ac:dyDescent="0.3">
      <c r="A26" s="388"/>
      <c r="D26" s="359"/>
      <c r="E26" s="115"/>
      <c r="F26" s="117" t="s">
        <v>433</v>
      </c>
      <c r="G26" s="122">
        <f t="shared" si="4"/>
        <v>0.19108</v>
      </c>
      <c r="H26" s="122">
        <f t="shared" si="4"/>
        <v>0.12285600000000001</v>
      </c>
      <c r="I26" s="122">
        <f t="shared" si="4"/>
        <v>0.113029</v>
      </c>
      <c r="J26" s="122">
        <f t="shared" si="4"/>
        <v>9.7683999999999993E-2</v>
      </c>
      <c r="K26" s="122">
        <f t="shared" si="4"/>
        <v>7.0268999999999998E-2</v>
      </c>
      <c r="L26" s="123">
        <f t="shared" si="4"/>
        <v>7.9743999999999995E-2</v>
      </c>
      <c r="M26" s="123">
        <f t="shared" si="4"/>
        <v>5.5898000000000003E-2</v>
      </c>
      <c r="N26" s="123">
        <f t="shared" si="4"/>
        <v>5.2713999999999997E-2</v>
      </c>
      <c r="O26" s="123">
        <f t="shared" si="4"/>
        <v>4.5851999999999997E-2</v>
      </c>
      <c r="P26" s="123">
        <f t="shared" si="4"/>
        <v>4.8097000000000001E-2</v>
      </c>
      <c r="Q26" s="123">
        <f t="shared" si="4"/>
        <v>3.4789E-2</v>
      </c>
      <c r="R26" s="123">
        <f t="shared" si="4"/>
        <v>3.4930999999999997E-2</v>
      </c>
      <c r="S26" s="123">
        <f t="shared" ref="S26" si="8">S10/1000000</f>
        <v>3.6397649194333068E-2</v>
      </c>
      <c r="T26" s="124">
        <v>3.6217352561770395E-2</v>
      </c>
      <c r="U26" s="124">
        <v>3.842424876740097E-2</v>
      </c>
      <c r="V26" s="124">
        <v>3.8490583438897656E-2</v>
      </c>
      <c r="W26" s="124">
        <v>4.0800737544093205E-2</v>
      </c>
      <c r="X26" s="124">
        <v>4.1815197966768462E-2</v>
      </c>
      <c r="Y26" s="124">
        <v>4.2875408962745054E-2</v>
      </c>
      <c r="Z26" s="124">
        <v>4.3819480372250676E-2</v>
      </c>
      <c r="AA26" s="124">
        <v>4.4923357919728298E-2</v>
      </c>
      <c r="AB26" s="124">
        <v>4.4365861889824283E-2</v>
      </c>
      <c r="AC26" s="124">
        <v>4.5191221941204292E-2</v>
      </c>
      <c r="AD26" s="124">
        <v>4.6189166018104653E-2</v>
      </c>
      <c r="AE26" s="124">
        <v>4.6917729347426225E-2</v>
      </c>
      <c r="AF26" s="124">
        <v>4.761461694177526E-2</v>
      </c>
      <c r="AG26" s="124">
        <v>4.8288010035725137E-2</v>
      </c>
      <c r="AH26" s="124">
        <v>4.8869653247129406E-2</v>
      </c>
      <c r="AI26" s="124">
        <v>4.937711623863026E-2</v>
      </c>
      <c r="AJ26" s="124">
        <v>5.010561953397942E-2</v>
      </c>
      <c r="AK26" s="124">
        <v>5.0780681065593421E-2</v>
      </c>
      <c r="AL26" s="124">
        <v>5.141867977470433E-2</v>
      </c>
      <c r="AM26" s="124">
        <v>5.2035263520478228E-2</v>
      </c>
      <c r="AN26" s="124">
        <v>5.2569061840264608E-2</v>
      </c>
      <c r="AO26" s="124">
        <v>5.3164512062962792E-2</v>
      </c>
      <c r="AP26" s="124">
        <v>5.3712105875925134E-2</v>
      </c>
      <c r="AQ26" s="124">
        <v>5.4342427306297278E-2</v>
      </c>
      <c r="AR26" s="124">
        <v>5.489277131107425E-2</v>
      </c>
      <c r="AS26" s="124">
        <v>5.5424498874207022E-2</v>
      </c>
      <c r="AT26" s="124">
        <v>5.5955747280412936E-2</v>
      </c>
      <c r="AU26" s="124">
        <v>5.6479714037781167E-2</v>
      </c>
      <c r="AV26" s="124">
        <v>5.7034621383526253E-2</v>
      </c>
      <c r="AW26" s="124">
        <v>5.7551689156183292E-2</v>
      </c>
      <c r="AX26" s="124">
        <v>5.8059869040092985E-2</v>
      </c>
      <c r="AY26" s="124">
        <v>5.8565333366307572E-2</v>
      </c>
      <c r="AZ26" s="124">
        <v>5.9062063829661969E-2</v>
      </c>
      <c r="BA26" s="124">
        <v>5.9556167846258161E-2</v>
      </c>
      <c r="BB26" s="124">
        <v>6.0029775613409143E-2</v>
      </c>
      <c r="BC26" s="124">
        <v>6.0495303978314652E-2</v>
      </c>
      <c r="BD26" s="124">
        <v>6.0952252896289687E-2</v>
      </c>
      <c r="BE26" s="124">
        <v>6.1398812849549782E-2</v>
      </c>
      <c r="BF26" s="124">
        <v>6.1833382759149819E-2</v>
      </c>
      <c r="BG26" s="124">
        <v>6.225679394277131E-2</v>
      </c>
      <c r="BH26" s="124">
        <v>6.2669287172812463E-2</v>
      </c>
      <c r="BI26" s="124">
        <v>6.307074230993133E-2</v>
      </c>
      <c r="BJ26" s="124">
        <v>6.3460149772787439E-2</v>
      </c>
      <c r="BK26" s="124">
        <v>6.3837257697146474E-2</v>
      </c>
      <c r="BL26" s="124">
        <v>6.4201515271365237E-2</v>
      </c>
      <c r="BM26" s="124">
        <v>6.4553348123214602E-2</v>
      </c>
      <c r="BN26" s="124">
        <v>6.4892448831570387E-2</v>
      </c>
      <c r="BO26" s="124">
        <v>6.5218505180328012E-2</v>
      </c>
      <c r="BP26" s="114"/>
    </row>
    <row r="27" spans="1:68" x14ac:dyDescent="0.3">
      <c r="A27" s="388"/>
      <c r="D27" s="359"/>
      <c r="E27" s="115"/>
      <c r="F27" s="117" t="s">
        <v>434</v>
      </c>
      <c r="G27" s="122">
        <f t="shared" si="4"/>
        <v>0.15653</v>
      </c>
      <c r="H27" s="122">
        <f t="shared" si="4"/>
        <v>0.13782900000000001</v>
      </c>
      <c r="I27" s="122">
        <f t="shared" si="4"/>
        <v>0.150448</v>
      </c>
      <c r="J27" s="122">
        <f t="shared" si="4"/>
        <v>0.16347600000000001</v>
      </c>
      <c r="K27" s="122">
        <f t="shared" si="4"/>
        <v>0.13946700000000001</v>
      </c>
      <c r="L27" s="123">
        <f t="shared" si="4"/>
        <v>0.10455778184174712</v>
      </c>
      <c r="M27" s="123">
        <f t="shared" si="4"/>
        <v>0.125587</v>
      </c>
      <c r="N27" s="123">
        <f t="shared" si="4"/>
        <v>0.13494999999999999</v>
      </c>
      <c r="O27" s="123">
        <f t="shared" si="4"/>
        <v>0.132771</v>
      </c>
      <c r="P27" s="123">
        <f t="shared" si="4"/>
        <v>0.14411599999999999</v>
      </c>
      <c r="Q27" s="123">
        <f t="shared" si="4"/>
        <v>0.15798599999999999</v>
      </c>
      <c r="R27" s="123">
        <f t="shared" si="4"/>
        <v>0.15176400000000001</v>
      </c>
      <c r="S27" s="123">
        <f t="shared" ref="S27" si="9">S11/1000000</f>
        <v>0.14103099999999999</v>
      </c>
      <c r="T27" s="124">
        <v>0.14033239954228405</v>
      </c>
      <c r="U27" s="124">
        <v>0.14888352264132046</v>
      </c>
      <c r="V27" s="124">
        <v>0.14914055146771252</v>
      </c>
      <c r="W27" s="124">
        <v>0.15809177086845777</v>
      </c>
      <c r="X27" s="125">
        <f>W27</f>
        <v>0.15809177086845777</v>
      </c>
      <c r="Y27" s="125">
        <f t="shared" ref="Y27:BO27" si="10">X27</f>
        <v>0.15809177086845777</v>
      </c>
      <c r="Z27" s="125">
        <f t="shared" si="10"/>
        <v>0.15809177086845777</v>
      </c>
      <c r="AA27" s="125">
        <f t="shared" si="10"/>
        <v>0.15809177086845777</v>
      </c>
      <c r="AB27" s="125">
        <f t="shared" si="10"/>
        <v>0.15809177086845777</v>
      </c>
      <c r="AC27" s="125">
        <f t="shared" si="10"/>
        <v>0.15809177086845777</v>
      </c>
      <c r="AD27" s="125">
        <f t="shared" si="10"/>
        <v>0.15809177086845777</v>
      </c>
      <c r="AE27" s="125">
        <f t="shared" si="10"/>
        <v>0.15809177086845777</v>
      </c>
      <c r="AF27" s="125">
        <f t="shared" si="10"/>
        <v>0.15809177086845777</v>
      </c>
      <c r="AG27" s="125">
        <f t="shared" si="10"/>
        <v>0.15809177086845777</v>
      </c>
      <c r="AH27" s="125">
        <f t="shared" si="10"/>
        <v>0.15809177086845777</v>
      </c>
      <c r="AI27" s="125">
        <f t="shared" si="10"/>
        <v>0.15809177086845777</v>
      </c>
      <c r="AJ27" s="125">
        <f t="shared" si="10"/>
        <v>0.15809177086845777</v>
      </c>
      <c r="AK27" s="125">
        <f t="shared" si="10"/>
        <v>0.15809177086845777</v>
      </c>
      <c r="AL27" s="125">
        <f t="shared" si="10"/>
        <v>0.15809177086845777</v>
      </c>
      <c r="AM27" s="125">
        <f t="shared" si="10"/>
        <v>0.15809177086845777</v>
      </c>
      <c r="AN27" s="125">
        <f t="shared" si="10"/>
        <v>0.15809177086845777</v>
      </c>
      <c r="AO27" s="125">
        <f t="shared" si="10"/>
        <v>0.15809177086845777</v>
      </c>
      <c r="AP27" s="125">
        <f t="shared" si="10"/>
        <v>0.15809177086845777</v>
      </c>
      <c r="AQ27" s="125">
        <f t="shared" si="10"/>
        <v>0.15809177086845777</v>
      </c>
      <c r="AR27" s="125">
        <f t="shared" si="10"/>
        <v>0.15809177086845777</v>
      </c>
      <c r="AS27" s="125">
        <f t="shared" si="10"/>
        <v>0.15809177086845777</v>
      </c>
      <c r="AT27" s="125">
        <f t="shared" si="10"/>
        <v>0.15809177086845777</v>
      </c>
      <c r="AU27" s="125">
        <f t="shared" si="10"/>
        <v>0.15809177086845777</v>
      </c>
      <c r="AV27" s="125">
        <f t="shared" si="10"/>
        <v>0.15809177086845777</v>
      </c>
      <c r="AW27" s="125">
        <f t="shared" si="10"/>
        <v>0.15809177086845777</v>
      </c>
      <c r="AX27" s="125">
        <f t="shared" si="10"/>
        <v>0.15809177086845777</v>
      </c>
      <c r="AY27" s="125">
        <f t="shared" si="10"/>
        <v>0.15809177086845777</v>
      </c>
      <c r="AZ27" s="125">
        <f t="shared" si="10"/>
        <v>0.15809177086845777</v>
      </c>
      <c r="BA27" s="125">
        <f t="shared" si="10"/>
        <v>0.15809177086845777</v>
      </c>
      <c r="BB27" s="125">
        <f t="shared" si="10"/>
        <v>0.15809177086845777</v>
      </c>
      <c r="BC27" s="125">
        <f t="shared" si="10"/>
        <v>0.15809177086845777</v>
      </c>
      <c r="BD27" s="125">
        <f t="shared" si="10"/>
        <v>0.15809177086845777</v>
      </c>
      <c r="BE27" s="125">
        <f t="shared" si="10"/>
        <v>0.15809177086845777</v>
      </c>
      <c r="BF27" s="125">
        <f t="shared" si="10"/>
        <v>0.15809177086845777</v>
      </c>
      <c r="BG27" s="125">
        <f t="shared" si="10"/>
        <v>0.15809177086845777</v>
      </c>
      <c r="BH27" s="125">
        <f t="shared" si="10"/>
        <v>0.15809177086845777</v>
      </c>
      <c r="BI27" s="125">
        <f t="shared" si="10"/>
        <v>0.15809177086845777</v>
      </c>
      <c r="BJ27" s="125">
        <f t="shared" si="10"/>
        <v>0.15809177086845777</v>
      </c>
      <c r="BK27" s="125">
        <f t="shared" si="10"/>
        <v>0.15809177086845777</v>
      </c>
      <c r="BL27" s="125">
        <f t="shared" si="10"/>
        <v>0.15809177086845777</v>
      </c>
      <c r="BM27" s="125">
        <f t="shared" si="10"/>
        <v>0.15809177086845777</v>
      </c>
      <c r="BN27" s="125">
        <f t="shared" si="10"/>
        <v>0.15809177086845777</v>
      </c>
      <c r="BO27" s="125">
        <f t="shared" si="10"/>
        <v>0.15809177086845777</v>
      </c>
      <c r="BP27" s="114"/>
    </row>
    <row r="28" spans="1:68" x14ac:dyDescent="0.3">
      <c r="A28" s="388"/>
      <c r="D28" s="359"/>
      <c r="E28" s="115"/>
      <c r="F28" s="117" t="s">
        <v>435</v>
      </c>
      <c r="G28" s="122">
        <f t="shared" si="4"/>
        <v>0.47614800000000002</v>
      </c>
      <c r="H28" s="122">
        <f t="shared" si="4"/>
        <v>0.65010500000000004</v>
      </c>
      <c r="I28" s="122">
        <f t="shared" si="4"/>
        <v>0.532003</v>
      </c>
      <c r="J28" s="122">
        <f t="shared" si="4"/>
        <v>0.53061199999999997</v>
      </c>
      <c r="K28" s="122">
        <f t="shared" si="4"/>
        <v>0.51839299999999999</v>
      </c>
      <c r="L28" s="123">
        <f t="shared" si="4"/>
        <v>0.57212300000000005</v>
      </c>
      <c r="M28" s="123">
        <f t="shared" si="4"/>
        <v>0.42573699999999998</v>
      </c>
      <c r="N28" s="123">
        <f t="shared" si="4"/>
        <v>0.48248200000000002</v>
      </c>
      <c r="O28" s="123">
        <f t="shared" si="4"/>
        <v>0.46154699999999999</v>
      </c>
      <c r="P28" s="123">
        <f t="shared" si="4"/>
        <v>0.40525899999999998</v>
      </c>
      <c r="Q28" s="123">
        <f t="shared" si="4"/>
        <v>0.44468099999999999</v>
      </c>
      <c r="R28" s="123">
        <f t="shared" si="4"/>
        <v>0.45371800000000001</v>
      </c>
      <c r="S28" s="123">
        <f t="shared" ref="S28" si="11">S12/1000000</f>
        <v>0.43321599999999999</v>
      </c>
      <c r="T28" s="124">
        <v>0.43107005410236138</v>
      </c>
      <c r="U28" s="124">
        <v>0.45733721057485438</v>
      </c>
      <c r="V28" s="124">
        <v>0.45812674620924865</v>
      </c>
      <c r="W28" s="124">
        <v>0.48562290991732171</v>
      </c>
      <c r="X28" s="124">
        <v>0.4976973294525841</v>
      </c>
      <c r="Y28" s="124">
        <v>0.51031628636325477</v>
      </c>
      <c r="Z28" s="124">
        <v>0.5215529142442682</v>
      </c>
      <c r="AA28" s="124">
        <v>0.5346916038627868</v>
      </c>
      <c r="AB28" s="124">
        <v>0.52805611488377602</v>
      </c>
      <c r="AC28" s="124">
        <v>0.53787980371899646</v>
      </c>
      <c r="AD28" s="124">
        <v>0.54975764063396348</v>
      </c>
      <c r="AE28" s="124">
        <v>0.55842922515279314</v>
      </c>
      <c r="AF28" s="124">
        <v>0.56672379534499429</v>
      </c>
      <c r="AG28" s="124">
        <v>0.57473872677726956</v>
      </c>
      <c r="AH28" s="124">
        <v>0.58166162292713808</v>
      </c>
      <c r="AI28" s="124">
        <v>0.58770160331576882</v>
      </c>
      <c r="AJ28" s="124">
        <v>0.59637247329181986</v>
      </c>
      <c r="AK28" s="124">
        <v>0.60440726298162284</v>
      </c>
      <c r="AL28" s="124">
        <v>0.6120009195744015</v>
      </c>
      <c r="AM28" s="124">
        <v>0.61933968869608347</v>
      </c>
      <c r="AN28" s="124">
        <v>0.62569312025068458</v>
      </c>
      <c r="AO28" s="124">
        <v>0.63278035168970237</v>
      </c>
      <c r="AP28" s="124">
        <v>0.63929798144127514</v>
      </c>
      <c r="AQ28" s="124">
        <v>0.64680026070448138</v>
      </c>
      <c r="AR28" s="124">
        <v>0.65335062408373445</v>
      </c>
      <c r="AS28" s="124">
        <v>0.65967940885662557</v>
      </c>
      <c r="AT28" s="124">
        <v>0.66600249055660343</v>
      </c>
      <c r="AU28" s="124">
        <v>0.67223890383560658</v>
      </c>
      <c r="AV28" s="124">
        <v>0.67884358150066115</v>
      </c>
      <c r="AW28" s="124">
        <v>0.68499788094465563</v>
      </c>
      <c r="AX28" s="124">
        <v>0.69104639400692502</v>
      </c>
      <c r="AY28" s="124">
        <v>0.69706258566744228</v>
      </c>
      <c r="AZ28" s="124">
        <v>0.70297482420965129</v>
      </c>
      <c r="BA28" s="124">
        <v>0.70885580197584896</v>
      </c>
      <c r="BB28" s="124">
        <v>0.71449282708586692</v>
      </c>
      <c r="BC28" s="124">
        <v>0.72003368866882611</v>
      </c>
      <c r="BD28" s="124">
        <v>0.72547243503930037</v>
      </c>
      <c r="BE28" s="124">
        <v>0.73078752876083786</v>
      </c>
      <c r="BF28" s="124">
        <v>0.73595991330007349</v>
      </c>
      <c r="BG28" s="124">
        <v>0.74099948325538612</v>
      </c>
      <c r="BH28" s="124">
        <v>0.74590910437381075</v>
      </c>
      <c r="BI28" s="124">
        <v>0.75068734671999948</v>
      </c>
      <c r="BJ28" s="124">
        <v>0.75532219394675215</v>
      </c>
      <c r="BK28" s="124">
        <v>0.75981064828859357</v>
      </c>
      <c r="BL28" s="124">
        <v>0.76414615381616835</v>
      </c>
      <c r="BM28" s="124">
        <v>0.76833377648193402</v>
      </c>
      <c r="BN28" s="124">
        <v>0.77236985726524821</v>
      </c>
      <c r="BO28" s="124">
        <v>0.77625068007413922</v>
      </c>
      <c r="BP28" s="114"/>
    </row>
    <row r="29" spans="1:68" x14ac:dyDescent="0.3">
      <c r="A29" s="388"/>
      <c r="D29" s="359"/>
      <c r="E29" s="115"/>
      <c r="F29" s="117" t="s">
        <v>436</v>
      </c>
      <c r="G29" s="122">
        <f t="shared" si="4"/>
        <v>0.248199</v>
      </c>
      <c r="H29" s="122">
        <f t="shared" si="4"/>
        <v>0.24457400000000001</v>
      </c>
      <c r="I29" s="122">
        <f t="shared" si="4"/>
        <v>0.24033299999999999</v>
      </c>
      <c r="J29" s="122">
        <f t="shared" si="4"/>
        <v>0.28819899999999998</v>
      </c>
      <c r="K29" s="122">
        <f t="shared" si="4"/>
        <v>0.387799</v>
      </c>
      <c r="L29" s="123">
        <f t="shared" si="4"/>
        <v>0.36940600000000001</v>
      </c>
      <c r="M29" s="123">
        <f t="shared" si="4"/>
        <v>0.319602</v>
      </c>
      <c r="N29" s="123">
        <f t="shared" si="4"/>
        <v>0.31388199999999999</v>
      </c>
      <c r="O29" s="123">
        <f t="shared" si="4"/>
        <v>0.26776</v>
      </c>
      <c r="P29" s="123">
        <f t="shared" si="4"/>
        <v>0.24657399999999999</v>
      </c>
      <c r="Q29" s="123">
        <f t="shared" si="4"/>
        <v>0.25685400000000003</v>
      </c>
      <c r="R29" s="123">
        <f t="shared" si="4"/>
        <v>0.225575</v>
      </c>
      <c r="S29" s="123">
        <f t="shared" ref="S29" si="12">S13/1000000</f>
        <v>0.19608229763042201</v>
      </c>
      <c r="T29" s="124">
        <v>0.19511099924301351</v>
      </c>
      <c r="U29" s="124">
        <v>0.20700004395360647</v>
      </c>
      <c r="V29" s="124">
        <v>0.20735740370313815</v>
      </c>
      <c r="W29" s="124">
        <v>0.21980272187213742</v>
      </c>
      <c r="X29" s="124">
        <v>0.22526784764087152</v>
      </c>
      <c r="Y29" s="124">
        <v>0.23097944200660037</v>
      </c>
      <c r="Z29" s="124">
        <v>0.23606536637810827</v>
      </c>
      <c r="AA29" s="124">
        <v>0.2420122022480948</v>
      </c>
      <c r="AB29" s="124">
        <v>0.23900884612803971</v>
      </c>
      <c r="AC29" s="124">
        <v>0.24345524579475644</v>
      </c>
      <c r="AD29" s="124">
        <v>0.248831394305352</v>
      </c>
      <c r="AE29" s="124">
        <v>0.25275632832567563</v>
      </c>
      <c r="AF29" s="124">
        <v>0.25651061805907333</v>
      </c>
      <c r="AG29" s="124">
        <v>0.26013833765066463</v>
      </c>
      <c r="AH29" s="124">
        <v>0.26327178005196794</v>
      </c>
      <c r="AI29" s="124">
        <v>0.26600559697527043</v>
      </c>
      <c r="AJ29" s="124">
        <v>0.26993020757912328</v>
      </c>
      <c r="AK29" s="124">
        <v>0.2735669154185239</v>
      </c>
      <c r="AL29" s="124">
        <v>0.27700395752252843</v>
      </c>
      <c r="AM29" s="124">
        <v>0.28032563241717356</v>
      </c>
      <c r="AN29" s="124">
        <v>0.28320132365910322</v>
      </c>
      <c r="AO29" s="124">
        <v>0.28640914752618374</v>
      </c>
      <c r="AP29" s="124">
        <v>0.28935915818320657</v>
      </c>
      <c r="AQ29" s="124">
        <v>0.2927548410651743</v>
      </c>
      <c r="AR29" s="124">
        <v>0.29571966762217616</v>
      </c>
      <c r="AS29" s="124">
        <v>0.29858420323368845</v>
      </c>
      <c r="AT29" s="124">
        <v>0.30144615751939474</v>
      </c>
      <c r="AU29" s="124">
        <v>0.30426888393005319</v>
      </c>
      <c r="AV29" s="124">
        <v>0.3072582942280852</v>
      </c>
      <c r="AW29" s="124">
        <v>0.31004385426114972</v>
      </c>
      <c r="AX29" s="124">
        <v>0.31278153324460695</v>
      </c>
      <c r="AY29" s="124">
        <v>0.31550458290985295</v>
      </c>
      <c r="AZ29" s="124">
        <v>0.31818058129748283</v>
      </c>
      <c r="BA29" s="124">
        <v>0.32084243042749988</v>
      </c>
      <c r="BB29" s="124">
        <v>0.32339386166589529</v>
      </c>
      <c r="BC29" s="124">
        <v>0.32590176735275533</v>
      </c>
      <c r="BD29" s="124">
        <v>0.32836345363523728</v>
      </c>
      <c r="BE29" s="124">
        <v>0.33076917223528923</v>
      </c>
      <c r="BF29" s="124">
        <v>0.33311029778162499</v>
      </c>
      <c r="BG29" s="124">
        <v>0.33539130876900064</v>
      </c>
      <c r="BH29" s="124">
        <v>0.33761350229231363</v>
      </c>
      <c r="BI29" s="124">
        <v>0.33977623113398997</v>
      </c>
      <c r="BJ29" s="124">
        <v>0.34187405645297092</v>
      </c>
      <c r="BK29" s="124">
        <v>0.34390562140015085</v>
      </c>
      <c r="BL29" s="124">
        <v>0.34586795862969971</v>
      </c>
      <c r="BM29" s="124">
        <v>0.34776336109385747</v>
      </c>
      <c r="BN29" s="124">
        <v>0.34959017264609521</v>
      </c>
      <c r="BO29" s="124">
        <v>0.35134671130824963</v>
      </c>
      <c r="BP29" s="114"/>
    </row>
    <row r="30" spans="1:68" x14ac:dyDescent="0.3">
      <c r="A30" s="388"/>
      <c r="D30" s="359" t="s">
        <v>494</v>
      </c>
      <c r="E30" s="115"/>
      <c r="F30" s="117" t="s">
        <v>437</v>
      </c>
      <c r="G30" s="127">
        <f t="shared" si="4"/>
        <v>0</v>
      </c>
      <c r="H30" s="127">
        <f t="shared" si="4"/>
        <v>0</v>
      </c>
      <c r="I30" s="127">
        <f t="shared" si="4"/>
        <v>0</v>
      </c>
      <c r="J30" s="127">
        <f t="shared" si="4"/>
        <v>0</v>
      </c>
      <c r="K30" s="122">
        <f t="shared" si="4"/>
        <v>2.8290797925940001E-2</v>
      </c>
      <c r="L30" s="123">
        <f t="shared" si="4"/>
        <v>2.3277033257341456E-2</v>
      </c>
      <c r="M30" s="123">
        <f t="shared" si="4"/>
        <v>2.7322836046693558E-2</v>
      </c>
      <c r="N30" s="123">
        <f t="shared" si="4"/>
        <v>2.854258061590375E-2</v>
      </c>
      <c r="O30" s="123">
        <f t="shared" si="4"/>
        <v>2.3358380584547072E-2</v>
      </c>
      <c r="P30" s="123">
        <f t="shared" si="4"/>
        <v>2.7960008202566927E-2</v>
      </c>
      <c r="Q30" s="123">
        <f t="shared" si="4"/>
        <v>2.0921872758601575E-2</v>
      </c>
      <c r="R30" s="123">
        <f t="shared" si="4"/>
        <v>1.8807754924945446E-2</v>
      </c>
      <c r="S30" s="123">
        <f t="shared" ref="S30" si="13">S14/1000000</f>
        <v>2.2163448591049351E-2</v>
      </c>
      <c r="T30" s="124">
        <v>2.205366141425651E-2</v>
      </c>
      <c r="U30" s="124">
        <v>2.3397496295957894E-2</v>
      </c>
      <c r="V30" s="124">
        <v>2.3437889154124949E-2</v>
      </c>
      <c r="W30" s="124">
        <v>2.4844600380845464E-2</v>
      </c>
      <c r="X30" s="124">
        <v>2.5462330973982723E-2</v>
      </c>
      <c r="Y30" s="124">
        <v>2.6107920247606772E-2</v>
      </c>
      <c r="Z30" s="124">
        <v>2.6682789191453705E-2</v>
      </c>
      <c r="AA30" s="124">
        <v>2.7354968132014049E-2</v>
      </c>
      <c r="AB30" s="124">
        <v>2.7015494707988204E-2</v>
      </c>
      <c r="AC30" s="124">
        <v>2.7518077305292724E-2</v>
      </c>
      <c r="AD30" s="124">
        <v>2.812575067801612E-2</v>
      </c>
      <c r="AE30" s="124">
        <v>2.8569391304599675E-2</v>
      </c>
      <c r="AF30" s="124">
        <v>2.8993743775514186E-2</v>
      </c>
      <c r="AG30" s="124">
        <v>2.9403789851282437E-2</v>
      </c>
      <c r="AH30" s="124">
        <v>2.9757967104474342E-2</v>
      </c>
      <c r="AI30" s="124">
        <v>3.0066974146768174E-2</v>
      </c>
      <c r="AJ30" s="124">
        <v>3.0510578217148494E-2</v>
      </c>
      <c r="AK30" s="124">
        <v>3.0921640246782303E-2</v>
      </c>
      <c r="AL30" s="124">
        <v>3.1310133786984259E-2</v>
      </c>
      <c r="AM30" s="124">
        <v>3.1685587214720028E-2</v>
      </c>
      <c r="AN30" s="124">
        <v>3.2010630504065649E-2</v>
      </c>
      <c r="AO30" s="124">
        <v>3.237321519542409E-2</v>
      </c>
      <c r="AP30" s="124">
        <v>3.2706658909263095E-2</v>
      </c>
      <c r="AQ30" s="124">
        <v>3.309047756038809E-2</v>
      </c>
      <c r="AR30" s="124">
        <v>3.3425595935537594E-2</v>
      </c>
      <c r="AS30" s="124">
        <v>3.3749378288815836E-2</v>
      </c>
      <c r="AT30" s="124">
        <v>3.4072868871330021E-2</v>
      </c>
      <c r="AU30" s="124">
        <v>3.4391925473814054E-2</v>
      </c>
      <c r="AV30" s="124">
        <v>3.4729822582623263E-2</v>
      </c>
      <c r="AW30" s="124">
        <v>3.5044678218936087E-2</v>
      </c>
      <c r="AX30" s="124">
        <v>3.535412179513802E-2</v>
      </c>
      <c r="AY30" s="124">
        <v>3.5661911799620249E-2</v>
      </c>
      <c r="AZ30" s="124">
        <v>3.5964383534247475E-2</v>
      </c>
      <c r="BA30" s="124">
        <v>3.6265255959056872E-2</v>
      </c>
      <c r="BB30" s="124">
        <v>3.6553647699510451E-2</v>
      </c>
      <c r="BC30" s="124">
        <v>3.6837119687719647E-2</v>
      </c>
      <c r="BD30" s="124">
        <v>3.7115367433836505E-2</v>
      </c>
      <c r="BE30" s="124">
        <v>3.7387289076744212E-2</v>
      </c>
      <c r="BF30" s="124">
        <v>3.7651909679003795E-2</v>
      </c>
      <c r="BG30" s="124">
        <v>3.7909735450964127E-2</v>
      </c>
      <c r="BH30" s="124">
        <v>3.8160913005024305E-2</v>
      </c>
      <c r="BI30" s="124">
        <v>3.8405369185302338E-2</v>
      </c>
      <c r="BJ30" s="124">
        <v>3.8642489232201579E-2</v>
      </c>
      <c r="BK30" s="124">
        <v>3.8872119779223557E-2</v>
      </c>
      <c r="BL30" s="124">
        <v>3.9093925423236274E-2</v>
      </c>
      <c r="BM30" s="124">
        <v>3.9308165339747694E-2</v>
      </c>
      <c r="BN30" s="124">
        <v>3.9514652332264838E-2</v>
      </c>
      <c r="BO30" s="124">
        <v>3.971319628450997E-2</v>
      </c>
      <c r="BP30" s="114"/>
    </row>
    <row r="31" spans="1:68" x14ac:dyDescent="0.3">
      <c r="A31" s="388"/>
      <c r="D31" s="359" t="s">
        <v>494</v>
      </c>
      <c r="E31" s="115"/>
      <c r="F31" s="117" t="s">
        <v>438</v>
      </c>
      <c r="G31" s="127">
        <f t="shared" si="4"/>
        <v>0</v>
      </c>
      <c r="H31" s="127">
        <f t="shared" si="4"/>
        <v>0</v>
      </c>
      <c r="I31" s="127">
        <f t="shared" si="4"/>
        <v>0</v>
      </c>
      <c r="J31" s="127">
        <f t="shared" si="4"/>
        <v>0</v>
      </c>
      <c r="K31" s="127">
        <f t="shared" si="4"/>
        <v>0</v>
      </c>
      <c r="L31" s="123">
        <f t="shared" si="4"/>
        <v>1.1011083479568758E-2</v>
      </c>
      <c r="M31" s="123">
        <f t="shared" si="4"/>
        <v>6.8589586998662154E-3</v>
      </c>
      <c r="N31" s="123">
        <f t="shared" si="4"/>
        <v>7.691335586589655E-3</v>
      </c>
      <c r="O31" s="123">
        <f t="shared" si="4"/>
        <v>6.376215061464699E-3</v>
      </c>
      <c r="P31" s="123">
        <f t="shared" si="4"/>
        <v>5.2425295496718273E-3</v>
      </c>
      <c r="Q31" s="123">
        <f t="shared" si="4"/>
        <v>7.438902636199618E-3</v>
      </c>
      <c r="R31" s="123">
        <f t="shared" si="4"/>
        <v>4.3327007360931232E-3</v>
      </c>
      <c r="S31" s="123">
        <f t="shared" ref="S31" si="14">S15/1000000</f>
        <v>3.9575663504758931E-3</v>
      </c>
      <c r="T31" s="124">
        <v>3.937962450171111E-3</v>
      </c>
      <c r="U31" s="124">
        <v>4.1779213034411275E-3</v>
      </c>
      <c r="V31" s="124">
        <v>4.1851339633132935E-3</v>
      </c>
      <c r="W31" s="124">
        <v>4.4363201897182425E-3</v>
      </c>
      <c r="X31" s="124">
        <v>4.5466238637614067E-3</v>
      </c>
      <c r="Y31" s="124">
        <v>4.661902060429525E-3</v>
      </c>
      <c r="Z31" s="124">
        <v>4.7645522404660837E-3</v>
      </c>
      <c r="AA31" s="124">
        <v>4.8845783612086139E-3</v>
      </c>
      <c r="AB31" s="124">
        <v>4.8239610527475068E-3</v>
      </c>
      <c r="AC31" s="124">
        <v>4.913703583890895E-3</v>
      </c>
      <c r="AD31" s="124">
        <v>5.0222114129902674E-3</v>
      </c>
      <c r="AE31" s="124">
        <v>5.1014291036965854E-3</v>
      </c>
      <c r="AF31" s="124">
        <v>5.1772026482663049E-3</v>
      </c>
      <c r="AG31" s="124">
        <v>5.2504216035628411E-3</v>
      </c>
      <c r="AH31" s="124">
        <v>5.3136644682090194E-3</v>
      </c>
      <c r="AI31" s="124">
        <v>5.368841615737226E-3</v>
      </c>
      <c r="AJ31" s="124">
        <v>5.4480527788673301E-3</v>
      </c>
      <c r="AK31" s="124">
        <v>5.5214531456809169E-3</v>
      </c>
      <c r="AL31" s="124">
        <v>5.5908236209372556E-3</v>
      </c>
      <c r="AM31" s="124">
        <v>5.6578656178392171E-3</v>
      </c>
      <c r="AN31" s="124">
        <v>5.7159062417555563E-3</v>
      </c>
      <c r="AO31" s="124">
        <v>5.7806503616890112E-3</v>
      </c>
      <c r="AP31" s="124">
        <v>5.8401909885118551E-3</v>
      </c>
      <c r="AQ31" s="124">
        <v>5.9087267027143264E-3</v>
      </c>
      <c r="AR31" s="124">
        <v>5.968566361667647E-3</v>
      </c>
      <c r="AS31" s="124">
        <v>6.0263818293710509E-3</v>
      </c>
      <c r="AT31" s="124">
        <v>6.0841451976841841E-3</v>
      </c>
      <c r="AU31" s="124">
        <v>6.1411168223255725E-3</v>
      </c>
      <c r="AV31" s="124">
        <v>6.2014526596052659E-3</v>
      </c>
      <c r="AW31" s="124">
        <v>6.2576741481705665E-3</v>
      </c>
      <c r="AX31" s="124">
        <v>6.3129292443942775E-3</v>
      </c>
      <c r="AY31" s="124">
        <v>6.3678890743028606E-3</v>
      </c>
      <c r="AZ31" s="124">
        <v>6.421899259315955E-3</v>
      </c>
      <c r="BA31" s="124">
        <v>6.4756238671683907E-3</v>
      </c>
      <c r="BB31" s="124">
        <v>6.5271198896887841E-3</v>
      </c>
      <c r="BC31" s="124">
        <v>6.577737427714535E-3</v>
      </c>
      <c r="BD31" s="124">
        <v>6.6274221107007628E-3</v>
      </c>
      <c r="BE31" s="124">
        <v>6.6759771872953082E-3</v>
      </c>
      <c r="BF31" s="124">
        <v>6.7232285699870848E-3</v>
      </c>
      <c r="BG31" s="124">
        <v>6.7692666490885367E-3</v>
      </c>
      <c r="BH31" s="124">
        <v>6.814117604112966E-3</v>
      </c>
      <c r="BI31" s="124">
        <v>6.8577683721448386E-3</v>
      </c>
      <c r="BJ31" s="124">
        <v>6.9001091800194158E-3</v>
      </c>
      <c r="BK31" s="124">
        <v>6.9411126421928329E-3</v>
      </c>
      <c r="BL31" s="124">
        <v>6.9807188681591682E-3</v>
      </c>
      <c r="BM31" s="124">
        <v>7.0189741370100976E-3</v>
      </c>
      <c r="BN31" s="124">
        <v>7.0558450224248708E-3</v>
      </c>
      <c r="BO31" s="124">
        <v>7.0912975767179406E-3</v>
      </c>
      <c r="BP31" s="114"/>
    </row>
    <row r="32" spans="1:68" x14ac:dyDescent="0.3">
      <c r="A32" s="388"/>
      <c r="D32" s="359"/>
      <c r="E32" s="115"/>
      <c r="F32" s="117" t="s">
        <v>439</v>
      </c>
      <c r="G32" s="122">
        <f t="shared" si="4"/>
        <v>0.118954</v>
      </c>
      <c r="H32" s="122">
        <f t="shared" si="4"/>
        <v>0.153977</v>
      </c>
      <c r="I32" s="122">
        <f t="shared" si="4"/>
        <v>0.113577</v>
      </c>
      <c r="J32" s="122">
        <f t="shared" si="4"/>
        <v>9.4705999999999999E-2</v>
      </c>
      <c r="K32" s="122">
        <f t="shared" si="4"/>
        <v>8.1821000000000005E-2</v>
      </c>
      <c r="L32" s="123">
        <f t="shared" si="4"/>
        <v>7.9089999999999994E-2</v>
      </c>
      <c r="M32" s="123">
        <f t="shared" si="4"/>
        <v>6.2613000000000002E-2</v>
      </c>
      <c r="N32" s="123">
        <f t="shared" si="4"/>
        <v>7.3791999999999996E-2</v>
      </c>
      <c r="O32" s="123">
        <f t="shared" si="4"/>
        <v>4.5637999999999998E-2</v>
      </c>
      <c r="P32" s="123">
        <f t="shared" si="4"/>
        <v>4.7366999999999999E-2</v>
      </c>
      <c r="Q32" s="123">
        <f t="shared" si="4"/>
        <v>4.1949E-2</v>
      </c>
      <c r="R32" s="123">
        <f t="shared" si="4"/>
        <v>5.9409999999999998E-2</v>
      </c>
      <c r="S32" s="123">
        <f t="shared" ref="S32" si="15">S16/1000000</f>
        <v>5.0866617530966163E-2</v>
      </c>
      <c r="T32" s="124">
        <v>5.0614648515008E-2</v>
      </c>
      <c r="U32" s="124">
        <v>5.3698840700689837E-2</v>
      </c>
      <c r="V32" s="124">
        <v>5.3791545049425342E-2</v>
      </c>
      <c r="W32" s="124">
        <v>5.70200427108861E-2</v>
      </c>
      <c r="X32" s="124">
        <v>5.8437776313543015E-2</v>
      </c>
      <c r="Y32" s="124">
        <v>5.9919447477153838E-2</v>
      </c>
      <c r="Z32" s="124">
        <v>6.1238810688026245E-2</v>
      </c>
      <c r="AA32" s="124">
        <v>6.2781506940434426E-2</v>
      </c>
      <c r="AB32" s="124">
        <v>6.2002392410901157E-2</v>
      </c>
      <c r="AC32" s="124">
        <v>6.3155853554359348E-2</v>
      </c>
      <c r="AD32" s="124">
        <v>6.4550505154135934E-2</v>
      </c>
      <c r="AE32" s="124">
        <v>6.5568690477639122E-2</v>
      </c>
      <c r="AF32" s="124">
        <v>6.6542608175855375E-2</v>
      </c>
      <c r="AG32" s="124">
        <v>6.7483691727022607E-2</v>
      </c>
      <c r="AH32" s="124">
        <v>6.8296552541632319E-2</v>
      </c>
      <c r="AI32" s="124">
        <v>6.9005744659012602E-2</v>
      </c>
      <c r="AJ32" s="124">
        <v>7.0023846083550306E-2</v>
      </c>
      <c r="AK32" s="124">
        <v>7.0967261317735925E-2</v>
      </c>
      <c r="AL32" s="124">
        <v>7.1858880338193085E-2</v>
      </c>
      <c r="AM32" s="124">
        <v>7.2720571416224969E-2</v>
      </c>
      <c r="AN32" s="124">
        <v>7.3466567808087371E-2</v>
      </c>
      <c r="AO32" s="124">
        <v>7.4298724263439794E-2</v>
      </c>
      <c r="AP32" s="124">
        <v>7.5064000199189393E-2</v>
      </c>
      <c r="AQ32" s="124">
        <v>7.5944890032187268E-2</v>
      </c>
      <c r="AR32" s="124">
        <v>7.6714009429211652E-2</v>
      </c>
      <c r="AS32" s="124">
        <v>7.7457111887289043E-2</v>
      </c>
      <c r="AT32" s="124">
        <v>7.8199544711676477E-2</v>
      </c>
      <c r="AU32" s="124">
        <v>7.8931801251204317E-2</v>
      </c>
      <c r="AV32" s="124">
        <v>7.9707298030417567E-2</v>
      </c>
      <c r="AW32" s="124">
        <v>8.0429913067693898E-2</v>
      </c>
      <c r="AX32" s="124">
        <v>8.114010705999683E-2</v>
      </c>
      <c r="AY32" s="124">
        <v>8.184650599306606E-2</v>
      </c>
      <c r="AZ32" s="124">
        <v>8.2540699136159523E-2</v>
      </c>
      <c r="BA32" s="124">
        <v>8.3231221754763857E-2</v>
      </c>
      <c r="BB32" s="124">
        <v>8.3893100356393843E-2</v>
      </c>
      <c r="BC32" s="124">
        <v>8.454368779298993E-2</v>
      </c>
      <c r="BD32" s="124">
        <v>8.518228523970206E-2</v>
      </c>
      <c r="BE32" s="124">
        <v>8.5806363850544437E-2</v>
      </c>
      <c r="BF32" s="124">
        <v>8.641368607797921E-2</v>
      </c>
      <c r="BG32" s="124">
        <v>8.700541370908571E-2</v>
      </c>
      <c r="BH32" s="124">
        <v>8.7581883229262386E-2</v>
      </c>
      <c r="BI32" s="124">
        <v>8.8142926740799016E-2</v>
      </c>
      <c r="BJ32" s="124">
        <v>8.8687133328731335E-2</v>
      </c>
      <c r="BK32" s="124">
        <v>8.9214151006544826E-2</v>
      </c>
      <c r="BL32" s="124">
        <v>8.9723210001306175E-2</v>
      </c>
      <c r="BM32" s="124">
        <v>9.0214905138382151E-2</v>
      </c>
      <c r="BN32" s="124">
        <v>9.0688806789126636E-2</v>
      </c>
      <c r="BO32" s="124">
        <v>9.1144478623789507E-2</v>
      </c>
      <c r="BP32" s="114"/>
    </row>
    <row r="33" spans="1:81" x14ac:dyDescent="0.3">
      <c r="A33" s="388"/>
      <c r="D33" s="359"/>
      <c r="E33" s="115"/>
      <c r="F33" s="117" t="s">
        <v>440</v>
      </c>
      <c r="G33" s="122">
        <f t="shared" si="4"/>
        <v>3.7898000000000001E-2</v>
      </c>
      <c r="H33" s="122">
        <f t="shared" si="4"/>
        <v>3.8441000000000003E-2</v>
      </c>
      <c r="I33" s="122">
        <f t="shared" si="4"/>
        <v>3.0415000000000001E-2</v>
      </c>
      <c r="J33" s="122">
        <f t="shared" si="4"/>
        <v>3.5697E-2</v>
      </c>
      <c r="K33" s="122">
        <f t="shared" si="4"/>
        <v>2.3299E-2</v>
      </c>
      <c r="L33" s="123">
        <f t="shared" si="4"/>
        <v>2.2363999999999998E-2</v>
      </c>
      <c r="M33" s="123">
        <f t="shared" si="4"/>
        <v>2.6372E-2</v>
      </c>
      <c r="N33" s="123">
        <f t="shared" si="4"/>
        <v>1.8065000000000001E-2</v>
      </c>
      <c r="O33" s="123">
        <f t="shared" si="4"/>
        <v>1.5675000000000001E-2</v>
      </c>
      <c r="P33" s="123">
        <f t="shared" si="4"/>
        <v>1.5810000000000001E-2</v>
      </c>
      <c r="Q33" s="123">
        <f t="shared" si="4"/>
        <v>2.3879000000000001E-2</v>
      </c>
      <c r="R33" s="123">
        <f t="shared" si="4"/>
        <v>1.9668999999999999E-2</v>
      </c>
      <c r="S33" s="123">
        <f t="shared" ref="S33" si="16">S17/1000000</f>
        <v>1.3838983196032719E-2</v>
      </c>
      <c r="T33" s="124">
        <v>1.3770431459215481E-2</v>
      </c>
      <c r="U33" s="124">
        <v>1.4609529592780245E-2</v>
      </c>
      <c r="V33" s="124">
        <v>1.4634751122864663E-2</v>
      </c>
      <c r="W33" s="124">
        <v>1.5513109603417985E-2</v>
      </c>
      <c r="X33" s="124">
        <v>1.5898824094688728E-2</v>
      </c>
      <c r="Y33" s="124">
        <v>1.6301933704302021E-2</v>
      </c>
      <c r="Z33" s="124">
        <v>1.6660885138287417E-2</v>
      </c>
      <c r="AA33" s="124">
        <v>1.7080597486973909E-2</v>
      </c>
      <c r="AB33" s="124">
        <v>1.6868628352689877E-2</v>
      </c>
      <c r="AC33" s="124">
        <v>1.7182443781283627E-2</v>
      </c>
      <c r="AD33" s="124">
        <v>1.7561878486999586E-2</v>
      </c>
      <c r="AE33" s="124">
        <v>1.7838890214265112E-2</v>
      </c>
      <c r="AF33" s="124">
        <v>1.8103858307567729E-2</v>
      </c>
      <c r="AG33" s="124">
        <v>1.8359893406475921E-2</v>
      </c>
      <c r="AH33" s="124">
        <v>1.8581043695213895E-2</v>
      </c>
      <c r="AI33" s="124">
        <v>1.8773989447685244E-2</v>
      </c>
      <c r="AJ33" s="124">
        <v>1.9050978349049816E-2</v>
      </c>
      <c r="AK33" s="124">
        <v>1.9307647815322623E-2</v>
      </c>
      <c r="AL33" s="124">
        <v>1.9550225388597631E-2</v>
      </c>
      <c r="AM33" s="124">
        <v>1.9784660641576562E-2</v>
      </c>
      <c r="AN33" s="124">
        <v>1.9987619517798282E-2</v>
      </c>
      <c r="AO33" s="124">
        <v>2.0214019458684493E-2</v>
      </c>
      <c r="AP33" s="124">
        <v>2.0422223607677096E-2</v>
      </c>
      <c r="AQ33" s="124">
        <v>2.066188215365752E-2</v>
      </c>
      <c r="AR33" s="124">
        <v>2.0871131970685037E-2</v>
      </c>
      <c r="AS33" s="124">
        <v>2.1073303511263748E-2</v>
      </c>
      <c r="AT33" s="124">
        <v>2.1275292868520024E-2</v>
      </c>
      <c r="AU33" s="124">
        <v>2.1474513623458993E-2</v>
      </c>
      <c r="AV33" s="124">
        <v>2.1685498497567759E-2</v>
      </c>
      <c r="AW33" s="124">
        <v>2.1882096145366531E-2</v>
      </c>
      <c r="AX33" s="124">
        <v>2.2075314472089762E-2</v>
      </c>
      <c r="AY33" s="124">
        <v>2.2267500299238366E-2</v>
      </c>
      <c r="AZ33" s="124">
        <v>2.2456365368479961E-2</v>
      </c>
      <c r="BA33" s="124">
        <v>2.2644231819586687E-2</v>
      </c>
      <c r="BB33" s="124">
        <v>2.2824305260487194E-2</v>
      </c>
      <c r="BC33" s="124">
        <v>2.3001306780140472E-2</v>
      </c>
      <c r="BD33" s="124">
        <v>2.3175046253355858E-2</v>
      </c>
      <c r="BE33" s="124">
        <v>2.3344835671793074E-2</v>
      </c>
      <c r="BF33" s="124">
        <v>2.3510066278977254E-2</v>
      </c>
      <c r="BG33" s="124">
        <v>2.367105415552568E-2</v>
      </c>
      <c r="BH33" s="124">
        <v>2.3827890847053154E-2</v>
      </c>
      <c r="BI33" s="124">
        <v>2.3980530674611412E-2</v>
      </c>
      <c r="BJ33" s="124">
        <v>2.4128589778816264E-2</v>
      </c>
      <c r="BK33" s="124">
        <v>2.4271972396754899E-2</v>
      </c>
      <c r="BL33" s="124">
        <v>2.4410469100806489E-2</v>
      </c>
      <c r="BM33" s="124">
        <v>2.4544241721630413E-2</v>
      </c>
      <c r="BN33" s="124">
        <v>2.4673173372673114E-2</v>
      </c>
      <c r="BO33" s="124">
        <v>2.4797145344250857E-2</v>
      </c>
      <c r="BP33" s="114"/>
    </row>
    <row r="34" spans="1:81" x14ac:dyDescent="0.3">
      <c r="A34" s="388"/>
      <c r="D34" s="359"/>
      <c r="E34" s="115"/>
      <c r="F34" s="117" t="s">
        <v>441</v>
      </c>
      <c r="G34" s="122">
        <f t="shared" si="4"/>
        <v>6.8725999999999995E-2</v>
      </c>
      <c r="H34" s="122">
        <f t="shared" si="4"/>
        <v>6.8433999999999995E-2</v>
      </c>
      <c r="I34" s="122">
        <f t="shared" si="4"/>
        <v>5.2699000000000003E-2</v>
      </c>
      <c r="J34" s="122">
        <f t="shared" si="4"/>
        <v>7.0422999999999999E-2</v>
      </c>
      <c r="K34" s="122">
        <f t="shared" si="4"/>
        <v>5.4781000000000003E-2</v>
      </c>
      <c r="L34" s="123">
        <f t="shared" si="4"/>
        <v>5.1131000000000003E-2</v>
      </c>
      <c r="M34" s="123">
        <f t="shared" si="4"/>
        <v>5.1262000000000002E-2</v>
      </c>
      <c r="N34" s="123">
        <f t="shared" si="4"/>
        <v>4.9539E-2</v>
      </c>
      <c r="O34" s="123">
        <f t="shared" si="4"/>
        <v>3.9402E-2</v>
      </c>
      <c r="P34" s="123">
        <f t="shared" si="4"/>
        <v>3.5994999999999999E-2</v>
      </c>
      <c r="Q34" s="123">
        <f t="shared" si="4"/>
        <v>3.6186000000000003E-2</v>
      </c>
      <c r="R34" s="123">
        <f t="shared" si="4"/>
        <v>3.9580999999999998E-2</v>
      </c>
      <c r="S34" s="123">
        <f t="shared" ref="S34" si="17">S18/1000000</f>
        <v>3.7412769150859976E-2</v>
      </c>
      <c r="T34" s="124">
        <v>3.7227444097125605E-2</v>
      </c>
      <c r="U34" s="124">
        <v>3.9495890002528213E-2</v>
      </c>
      <c r="V34" s="124">
        <v>3.9564074728914059E-2</v>
      </c>
      <c r="W34" s="124">
        <v>4.1938658366970805E-2</v>
      </c>
      <c r="X34" s="124">
        <v>4.2981411798754039E-2</v>
      </c>
      <c r="Y34" s="124">
        <v>4.4071191774155617E-2</v>
      </c>
      <c r="Z34" s="124">
        <v>4.5041593063458119E-2</v>
      </c>
      <c r="AA34" s="124">
        <v>4.6176257437909742E-2</v>
      </c>
      <c r="AB34" s="124">
        <v>4.5603213004244303E-2</v>
      </c>
      <c r="AC34" s="124">
        <v>4.6451592109822082E-2</v>
      </c>
      <c r="AD34" s="124">
        <v>4.7477368559702103E-2</v>
      </c>
      <c r="AE34" s="124">
        <v>4.8226251310512662E-2</v>
      </c>
      <c r="AF34" s="124">
        <v>4.8942574899222283E-2</v>
      </c>
      <c r="AG34" s="124">
        <v>4.9634748732681082E-2</v>
      </c>
      <c r="AH34" s="124">
        <v>5.0232613805786433E-2</v>
      </c>
      <c r="AI34" s="124">
        <v>5.0754229794013013E-2</v>
      </c>
      <c r="AJ34" s="124">
        <v>5.1503050836520951E-2</v>
      </c>
      <c r="AK34" s="124">
        <v>5.2196939639889958E-2</v>
      </c>
      <c r="AL34" s="124">
        <v>5.2852731949307279E-2</v>
      </c>
      <c r="AM34" s="124">
        <v>5.3486512038225846E-2</v>
      </c>
      <c r="AN34" s="124">
        <v>5.4035197839461438E-2</v>
      </c>
      <c r="AO34" s="124">
        <v>5.4647254997430415E-2</v>
      </c>
      <c r="AP34" s="124">
        <v>5.52101210441747E-2</v>
      </c>
      <c r="AQ34" s="124">
        <v>5.585802195775965E-2</v>
      </c>
      <c r="AR34" s="124">
        <v>5.6423714898376442E-2</v>
      </c>
      <c r="AS34" s="124">
        <v>5.6970272190151564E-2</v>
      </c>
      <c r="AT34" s="124">
        <v>5.7516336961451101E-2</v>
      </c>
      <c r="AU34" s="124">
        <v>5.8054917000823381E-2</v>
      </c>
      <c r="AV34" s="124">
        <v>5.8625300552674023E-2</v>
      </c>
      <c r="AW34" s="124">
        <v>5.9156789196637846E-2</v>
      </c>
      <c r="AX34" s="124">
        <v>5.9679142071196137E-2</v>
      </c>
      <c r="AY34" s="124">
        <v>6.0198703651937059E-2</v>
      </c>
      <c r="AZ34" s="124">
        <v>6.0709287784897245E-2</v>
      </c>
      <c r="BA34" s="124">
        <v>6.1217172220255342E-2</v>
      </c>
      <c r="BB34" s="124">
        <v>6.1703988771672429E-2</v>
      </c>
      <c r="BC34" s="124">
        <v>6.2182500588641609E-2</v>
      </c>
      <c r="BD34" s="124">
        <v>6.2652193680375598E-2</v>
      </c>
      <c r="BE34" s="124">
        <v>6.3111208062159904E-2</v>
      </c>
      <c r="BF34" s="124">
        <v>6.3557898001418603E-2</v>
      </c>
      <c r="BG34" s="124">
        <v>6.3993118001044014E-2</v>
      </c>
      <c r="BH34" s="124">
        <v>6.4417115548507195E-2</v>
      </c>
      <c r="BI34" s="124">
        <v>6.4829767153814527E-2</v>
      </c>
      <c r="BJ34" s="124">
        <v>6.5230035078692655E-2</v>
      </c>
      <c r="BK34" s="124">
        <v>6.5617660434486275E-2</v>
      </c>
      <c r="BL34" s="124">
        <v>6.5992077047574038E-2</v>
      </c>
      <c r="BM34" s="124">
        <v>6.6353722416362823E-2</v>
      </c>
      <c r="BN34" s="124">
        <v>6.6702280545841777E-2</v>
      </c>
      <c r="BO34" s="124">
        <v>6.7037430512289067E-2</v>
      </c>
      <c r="BP34" s="114"/>
    </row>
    <row r="35" spans="1:81" x14ac:dyDescent="0.3">
      <c r="A35" s="388"/>
      <c r="D35" s="359"/>
      <c r="E35" s="115"/>
      <c r="F35" s="117" t="s">
        <v>442</v>
      </c>
      <c r="G35" s="122">
        <f t="shared" si="4"/>
        <v>0.19697200000000001</v>
      </c>
      <c r="H35" s="122">
        <f t="shared" si="4"/>
        <v>0.17632600000000001</v>
      </c>
      <c r="I35" s="122">
        <f t="shared" si="4"/>
        <v>0.14566100000000001</v>
      </c>
      <c r="J35" s="122">
        <f t="shared" si="4"/>
        <v>0.18004899999999999</v>
      </c>
      <c r="K35" s="122">
        <f t="shared" si="4"/>
        <v>0.175841</v>
      </c>
      <c r="L35" s="123">
        <f t="shared" si="4"/>
        <v>0.175367</v>
      </c>
      <c r="M35" s="123">
        <f t="shared" si="4"/>
        <v>0.149696</v>
      </c>
      <c r="N35" s="123">
        <f t="shared" si="4"/>
        <v>0.17205699999999999</v>
      </c>
      <c r="O35" s="123">
        <f t="shared" si="4"/>
        <v>0.16350400000000001</v>
      </c>
      <c r="P35" s="123">
        <f t="shared" si="4"/>
        <v>0.195711</v>
      </c>
      <c r="Q35" s="123">
        <f t="shared" si="4"/>
        <v>0.186835</v>
      </c>
      <c r="R35" s="123">
        <f t="shared" si="4"/>
        <v>0.17084299999999999</v>
      </c>
      <c r="S35" s="123">
        <f t="shared" ref="S35" si="18">S19/1000000</f>
        <v>0.17689230288687302</v>
      </c>
      <c r="T35" s="124">
        <v>0.17601606260095576</v>
      </c>
      <c r="U35" s="124">
        <v>0.18674156165618253</v>
      </c>
      <c r="V35" s="124">
        <v>0.18706394766357665</v>
      </c>
      <c r="W35" s="124">
        <v>0.19829127933848134</v>
      </c>
      <c r="X35" s="124">
        <v>0.20322154940610307</v>
      </c>
      <c r="Y35" s="124">
        <v>0.20837416691782645</v>
      </c>
      <c r="Z35" s="124">
        <v>0.21296234690784369</v>
      </c>
      <c r="AA35" s="124">
        <v>0.21832718353330444</v>
      </c>
      <c r="AB35" s="124">
        <v>0.21561775699717076</v>
      </c>
      <c r="AC35" s="124">
        <v>0.21962900067447311</v>
      </c>
      <c r="AD35" s="124">
        <v>0.22447900142514535</v>
      </c>
      <c r="AE35" s="124">
        <v>0.22801981375713204</v>
      </c>
      <c r="AF35" s="124">
        <v>0.23140668225403724</v>
      </c>
      <c r="AG35" s="124">
        <v>0.23467936765470471</v>
      </c>
      <c r="AH35" s="124">
        <v>0.2375061493123464</v>
      </c>
      <c r="AI35" s="124">
        <v>0.23997241565600971</v>
      </c>
      <c r="AJ35" s="124">
        <v>0.24351293622333944</v>
      </c>
      <c r="AK35" s="124">
        <v>0.24679373021857726</v>
      </c>
      <c r="AL35" s="124">
        <v>0.24989439917362208</v>
      </c>
      <c r="AM35" s="124">
        <v>0.25289099156699951</v>
      </c>
      <c r="AN35" s="124">
        <v>0.25548524740918332</v>
      </c>
      <c r="AO35" s="124">
        <v>0.25837913103845855</v>
      </c>
      <c r="AP35" s="124">
        <v>0.26104043287430884</v>
      </c>
      <c r="AQ35" s="124">
        <v>0.26410379031209735</v>
      </c>
      <c r="AR35" s="124">
        <v>0.2667784580595996</v>
      </c>
      <c r="AS35" s="124">
        <v>0.26936265003993293</v>
      </c>
      <c r="AT35" s="124">
        <v>0.27194451332118508</v>
      </c>
      <c r="AU35" s="124">
        <v>0.27449098784354148</v>
      </c>
      <c r="AV35" s="124">
        <v>0.27718783339402209</v>
      </c>
      <c r="AW35" s="124">
        <v>0.27970077890227568</v>
      </c>
      <c r="AX35" s="124">
        <v>0.28217052933768472</v>
      </c>
      <c r="AY35" s="124">
        <v>0.28462708218300364</v>
      </c>
      <c r="AZ35" s="124">
        <v>0.28704118852013771</v>
      </c>
      <c r="BA35" s="124">
        <v>0.28944253034566864</v>
      </c>
      <c r="BB35" s="124">
        <v>0.29174426055217578</v>
      </c>
      <c r="BC35" s="124">
        <v>0.29400672492419122</v>
      </c>
      <c r="BD35" s="124">
        <v>0.29622749324828546</v>
      </c>
      <c r="BE35" s="124">
        <v>0.29839777128155831</v>
      </c>
      <c r="BF35" s="124">
        <v>0.30050977779231008</v>
      </c>
      <c r="BG35" s="124">
        <v>0.30256755297825599</v>
      </c>
      <c r="BH35" s="124">
        <v>0.30457226699145074</v>
      </c>
      <c r="BI35" s="124">
        <v>0.30652333595559078</v>
      </c>
      <c r="BJ35" s="124">
        <v>0.30841585331291166</v>
      </c>
      <c r="BK35" s="124">
        <v>0.31024859500511809</v>
      </c>
      <c r="BL35" s="124">
        <v>0.31201888409174339</v>
      </c>
      <c r="BM35" s="124">
        <v>0.31372878912057095</v>
      </c>
      <c r="BN35" s="124">
        <v>0.31537681602723622</v>
      </c>
      <c r="BO35" s="124">
        <v>0.31696144744380589</v>
      </c>
      <c r="BP35" s="114"/>
    </row>
    <row r="36" spans="1:81" x14ac:dyDescent="0.3">
      <c r="A36" s="388"/>
      <c r="D36" s="359"/>
      <c r="E36" s="115"/>
      <c r="F36" s="117" t="s">
        <v>443</v>
      </c>
      <c r="G36" s="122">
        <f t="shared" si="4"/>
        <v>2.7980000000000001E-3</v>
      </c>
      <c r="H36" s="122">
        <f t="shared" si="4"/>
        <v>1.668E-3</v>
      </c>
      <c r="I36" s="122">
        <f t="shared" si="4"/>
        <v>3.1150000000000001E-3</v>
      </c>
      <c r="J36" s="122">
        <f t="shared" si="4"/>
        <v>1.353E-3</v>
      </c>
      <c r="K36" s="122">
        <f t="shared" si="4"/>
        <v>9.8440000000000003E-3</v>
      </c>
      <c r="L36" s="123">
        <f t="shared" si="4"/>
        <v>1.0361E-2</v>
      </c>
      <c r="M36" s="123">
        <f t="shared" si="4"/>
        <v>1.5758000000000001E-2</v>
      </c>
      <c r="N36" s="123">
        <f t="shared" si="4"/>
        <v>2.2173999999999999E-2</v>
      </c>
      <c r="O36" s="123">
        <f t="shared" si="4"/>
        <v>2.2915999999999999E-2</v>
      </c>
      <c r="P36" s="123">
        <f t="shared" si="4"/>
        <v>1.8966E-2</v>
      </c>
      <c r="Q36" s="123">
        <f t="shared" si="4"/>
        <v>1.7247999999999999E-2</v>
      </c>
      <c r="R36" s="123">
        <f t="shared" si="4"/>
        <v>1.3710999999999999E-2</v>
      </c>
      <c r="S36" s="123">
        <f t="shared" ref="S36" si="19">S20/1000000</f>
        <v>1.5923912236602625E-2</v>
      </c>
      <c r="T36" s="124">
        <v>1.5845032753530681E-2</v>
      </c>
      <c r="U36" s="124">
        <v>1.6810546248814989E-2</v>
      </c>
      <c r="V36" s="124">
        <v>1.6839567559546274E-2</v>
      </c>
      <c r="W36" s="124">
        <v>1.7850256217699742E-2</v>
      </c>
      <c r="X36" s="124">
        <v>1.8294081000227256E-2</v>
      </c>
      <c r="Y36" s="124">
        <v>1.8757921584053774E-2</v>
      </c>
      <c r="Z36" s="124">
        <v>1.9170951287971957E-2</v>
      </c>
      <c r="AA36" s="124">
        <v>1.9653895916954385E-2</v>
      </c>
      <c r="AB36" s="124">
        <v>1.9409992311942768E-2</v>
      </c>
      <c r="AC36" s="124">
        <v>1.9771085990042708E-2</v>
      </c>
      <c r="AD36" s="124">
        <v>2.0207684898196177E-2</v>
      </c>
      <c r="AE36" s="124">
        <v>2.0526430168061847E-2</v>
      </c>
      <c r="AF36" s="124">
        <v>2.0831317355471713E-2</v>
      </c>
      <c r="AG36" s="124">
        <v>2.1125925737225708E-2</v>
      </c>
      <c r="AH36" s="124">
        <v>2.138039369481181E-2</v>
      </c>
      <c r="AI36" s="124">
        <v>2.1602407927017817E-2</v>
      </c>
      <c r="AJ36" s="124">
        <v>2.1921126932118343E-2</v>
      </c>
      <c r="AK36" s="124">
        <v>2.221646525263278E-2</v>
      </c>
      <c r="AL36" s="124">
        <v>2.2495588648671492E-2</v>
      </c>
      <c r="AM36" s="124">
        <v>2.2765343033131789E-2</v>
      </c>
      <c r="AN36" s="124">
        <v>2.29988789285667E-2</v>
      </c>
      <c r="AO36" s="124">
        <v>2.3259387431104485E-2</v>
      </c>
      <c r="AP36" s="124">
        <v>2.3498958832333237E-2</v>
      </c>
      <c r="AQ36" s="124">
        <v>2.377472343142879E-2</v>
      </c>
      <c r="AR36" s="124">
        <v>2.4015498037096822E-2</v>
      </c>
      <c r="AS36" s="124">
        <v>2.4248127979868705E-2</v>
      </c>
      <c r="AT36" s="124">
        <v>2.448054829226556E-2</v>
      </c>
      <c r="AU36" s="124">
        <v>2.4709782895156563E-2</v>
      </c>
      <c r="AV36" s="124">
        <v>2.4952553955065196E-2</v>
      </c>
      <c r="AW36" s="124">
        <v>2.5178770263382388E-2</v>
      </c>
      <c r="AX36" s="124">
        <v>2.5401098134849559E-2</v>
      </c>
      <c r="AY36" s="124">
        <v>2.5622237954248329E-2</v>
      </c>
      <c r="AZ36" s="124">
        <v>2.5839556722871821E-2</v>
      </c>
      <c r="BA36" s="124">
        <v>2.6055726425316658E-2</v>
      </c>
      <c r="BB36" s="124">
        <v>2.6262929052014314E-2</v>
      </c>
      <c r="BC36" s="124">
        <v>2.6466596953389619E-2</v>
      </c>
      <c r="BD36" s="124">
        <v>2.6666511360707384E-2</v>
      </c>
      <c r="BE36" s="124">
        <v>2.6861880612884314E-2</v>
      </c>
      <c r="BF36" s="124">
        <v>2.7052004240489824E-2</v>
      </c>
      <c r="BG36" s="124">
        <v>2.7237245943655491E-2</v>
      </c>
      <c r="BH36" s="124">
        <v>2.7417711059913349E-2</v>
      </c>
      <c r="BI36" s="124">
        <v>2.7593347028496983E-2</v>
      </c>
      <c r="BJ36" s="124">
        <v>2.7763712159214388E-2</v>
      </c>
      <c r="BK36" s="124">
        <v>2.7928696261873293E-2</v>
      </c>
      <c r="BL36" s="124">
        <v>2.8088058357276985E-2</v>
      </c>
      <c r="BM36" s="124">
        <v>2.8241984656881939E-2</v>
      </c>
      <c r="BN36" s="124">
        <v>2.8390340664447063E-2</v>
      </c>
      <c r="BO36" s="124">
        <v>2.8532989785935159E-2</v>
      </c>
      <c r="BP36" s="114"/>
    </row>
    <row r="37" spans="1:81" x14ac:dyDescent="0.3">
      <c r="A37" s="354"/>
      <c r="B37" s="354"/>
      <c r="C37" s="354"/>
      <c r="D37" s="359"/>
      <c r="E37" s="115"/>
      <c r="F37" s="117" t="s">
        <v>444</v>
      </c>
      <c r="G37" s="122">
        <f t="shared" si="4"/>
        <v>5.9610000000000002E-3</v>
      </c>
      <c r="H37" s="122">
        <f t="shared" si="4"/>
        <v>6.5950000000000002E-3</v>
      </c>
      <c r="I37" s="122">
        <f t="shared" si="4"/>
        <v>6.6819999999999996E-3</v>
      </c>
      <c r="J37" s="122">
        <f t="shared" si="4"/>
        <v>9.3270000000000002E-3</v>
      </c>
      <c r="K37" s="122">
        <f t="shared" si="4"/>
        <v>6.8669999999999998E-3</v>
      </c>
      <c r="L37" s="123">
        <f t="shared" si="4"/>
        <v>7.724E-3</v>
      </c>
      <c r="M37" s="123">
        <f t="shared" si="4"/>
        <v>8.4539999999999997E-3</v>
      </c>
      <c r="N37" s="123">
        <f t="shared" si="4"/>
        <v>9.9860000000000001E-3</v>
      </c>
      <c r="O37" s="123">
        <f t="shared" si="4"/>
        <v>7.5079999999999999E-3</v>
      </c>
      <c r="P37" s="123">
        <f t="shared" si="4"/>
        <v>9.3159999999999996E-3</v>
      </c>
      <c r="Q37" s="123">
        <f t="shared" si="4"/>
        <v>5.2180000000000004E-3</v>
      </c>
      <c r="R37" s="123">
        <f t="shared" si="4"/>
        <v>7.4640000000000001E-3</v>
      </c>
      <c r="S37" s="123">
        <f t="shared" ref="S37" si="20">S21/1000000</f>
        <v>7.8539999999999999E-3</v>
      </c>
      <c r="T37" s="124">
        <v>7.8150950216980593E-3</v>
      </c>
      <c r="U37" s="124">
        <v>8.2913060733096344E-3</v>
      </c>
      <c r="V37" s="124">
        <v>8.3056199787806522E-3</v>
      </c>
      <c r="W37" s="124">
        <v>8.8041123469369664E-3</v>
      </c>
      <c r="X37" s="124">
        <v>9.0230158293336249E-3</v>
      </c>
      <c r="Y37" s="124">
        <v>9.2517915153110756E-3</v>
      </c>
      <c r="Z37" s="124">
        <v>9.4555062335520447E-3</v>
      </c>
      <c r="AA37" s="124">
        <v>9.6937044262869511E-3</v>
      </c>
      <c r="AB37" s="124">
        <v>9.5734061675865553E-3</v>
      </c>
      <c r="AC37" s="124">
        <v>9.7515049730596253E-3</v>
      </c>
      <c r="AD37" s="124">
        <v>9.9668445060642936E-3</v>
      </c>
      <c r="AE37" s="124">
        <v>1.0124056208334958E-2</v>
      </c>
      <c r="AF37" s="124">
        <v>1.0274432820208823E-2</v>
      </c>
      <c r="AG37" s="124">
        <v>1.0419739714388839E-2</v>
      </c>
      <c r="AH37" s="124">
        <v>1.0545248528377859E-2</v>
      </c>
      <c r="AI37" s="124">
        <v>1.0654750499616932E-2</v>
      </c>
      <c r="AJ37" s="124">
        <v>1.0811949247566927E-2</v>
      </c>
      <c r="AK37" s="124">
        <v>1.0957616162509386E-2</v>
      </c>
      <c r="AL37" s="124">
        <v>1.1095285544248941E-2</v>
      </c>
      <c r="AM37" s="124">
        <v>1.1228333937386982E-2</v>
      </c>
      <c r="AN37" s="124">
        <v>1.1343518629156992E-2</v>
      </c>
      <c r="AO37" s="124">
        <v>1.1472006763764314E-2</v>
      </c>
      <c r="AP37" s="124">
        <v>1.1590168290736662E-2</v>
      </c>
      <c r="AQ37" s="124">
        <v>1.1726181044959086E-2</v>
      </c>
      <c r="AR37" s="124">
        <v>1.1844936017029956E-2</v>
      </c>
      <c r="AS37" s="124">
        <v>1.195967387437199E-2</v>
      </c>
      <c r="AT37" s="124">
        <v>1.2074308337715048E-2</v>
      </c>
      <c r="AU37" s="124">
        <v>1.2187371543813831E-2</v>
      </c>
      <c r="AV37" s="124">
        <v>1.2307111208049082E-2</v>
      </c>
      <c r="AW37" s="124">
        <v>1.241868572938055E-2</v>
      </c>
      <c r="AX37" s="124">
        <v>1.2528342393933713E-2</v>
      </c>
      <c r="AY37" s="124">
        <v>1.2637413086848339E-2</v>
      </c>
      <c r="AZ37" s="124">
        <v>1.2744599159178331E-2</v>
      </c>
      <c r="BA37" s="124">
        <v>1.2851218488509926E-2</v>
      </c>
      <c r="BB37" s="124">
        <v>1.2953415072232783E-2</v>
      </c>
      <c r="BC37" s="124">
        <v>1.3053868256954865E-2</v>
      </c>
      <c r="BD37" s="124">
        <v>1.3152470141450601E-2</v>
      </c>
      <c r="BE37" s="124">
        <v>1.3248830262242436E-2</v>
      </c>
      <c r="BF37" s="124">
        <v>1.3342603133445615E-2</v>
      </c>
      <c r="BG37" s="124">
        <v>1.3433968139421907E-2</v>
      </c>
      <c r="BH37" s="124">
        <v>1.3522977234801828E-2</v>
      </c>
      <c r="BI37" s="124">
        <v>1.3609604495537735E-2</v>
      </c>
      <c r="BJ37" s="124">
        <v>1.3693632070971042E-2</v>
      </c>
      <c r="BK37" s="124">
        <v>1.3775005613039716E-2</v>
      </c>
      <c r="BL37" s="124">
        <v>1.3853606265863185E-2</v>
      </c>
      <c r="BM37" s="124">
        <v>1.3929525872749643E-2</v>
      </c>
      <c r="BN37" s="124">
        <v>1.4002698097395431E-2</v>
      </c>
      <c r="BO37" s="124">
        <v>1.407305556882084E-2</v>
      </c>
      <c r="BP37" s="114"/>
    </row>
    <row r="38" spans="1:81" x14ac:dyDescent="0.3">
      <c r="A38" s="16"/>
      <c r="B38" s="16"/>
      <c r="C38" s="16"/>
      <c r="D38" s="128"/>
      <c r="E38" s="129"/>
      <c r="F38" s="111" t="s">
        <v>504</v>
      </c>
      <c r="G38" s="130">
        <f t="shared" ref="G38:BO38" si="21">SUM(G24:G37)</f>
        <v>2.2090930000000002</v>
      </c>
      <c r="H38" s="130">
        <f t="shared" si="21"/>
        <v>2.322006</v>
      </c>
      <c r="I38" s="130">
        <f t="shared" si="21"/>
        <v>2.1174580000000005</v>
      </c>
      <c r="J38" s="130">
        <f t="shared" si="21"/>
        <v>2.1982849999999998</v>
      </c>
      <c r="K38" s="130">
        <f t="shared" si="21"/>
        <v>2.18066079792594</v>
      </c>
      <c r="L38" s="131">
        <f t="shared" si="21"/>
        <v>2.239098898578658</v>
      </c>
      <c r="M38" s="131">
        <f t="shared" si="21"/>
        <v>2.0209997947465599</v>
      </c>
      <c r="N38" s="131">
        <f t="shared" si="21"/>
        <v>2.1063629162024937</v>
      </c>
      <c r="O38" s="131">
        <f t="shared" si="21"/>
        <v>1.9798465956460121</v>
      </c>
      <c r="P38" s="131">
        <f t="shared" si="21"/>
        <v>1.9927485377522389</v>
      </c>
      <c r="Q38" s="131">
        <f t="shared" si="21"/>
        <v>1.9896447753948012</v>
      </c>
      <c r="R38" s="131">
        <f t="shared" si="21"/>
        <v>1.9946614556610387</v>
      </c>
      <c r="S38" s="112">
        <f t="shared" si="21"/>
        <v>1.8998463537985006</v>
      </c>
      <c r="T38" s="112">
        <f t="shared" si="21"/>
        <v>1.8904354190936938</v>
      </c>
      <c r="U38" s="112">
        <f t="shared" si="21"/>
        <v>2.0056286747650458</v>
      </c>
      <c r="V38" s="112">
        <f t="shared" si="21"/>
        <v>2.0090911424398268</v>
      </c>
      <c r="W38" s="112">
        <f t="shared" si="21"/>
        <v>2.1429365154742115</v>
      </c>
      <c r="X38" s="112">
        <f t="shared" si="21"/>
        <v>2.2061512165170445</v>
      </c>
      <c r="Y38" s="112">
        <f t="shared" si="21"/>
        <v>2.2685415242918276</v>
      </c>
      <c r="Z38" s="112">
        <f t="shared" si="21"/>
        <v>2.3267342418892278</v>
      </c>
      <c r="AA38" s="112">
        <f t="shared" si="21"/>
        <v>2.3931265459958642</v>
      </c>
      <c r="AB38" s="112">
        <f t="shared" si="21"/>
        <v>2.384817440827999</v>
      </c>
      <c r="AC38" s="112">
        <f t="shared" si="21"/>
        <v>2.4400324471605397</v>
      </c>
      <c r="AD38" s="112">
        <f t="shared" si="21"/>
        <v>2.5041961579103824</v>
      </c>
      <c r="AE38" s="112">
        <f t="shared" si="21"/>
        <v>2.5568691537963675</v>
      </c>
      <c r="AF38" s="112">
        <f t="shared" si="21"/>
        <v>2.6089720000091847</v>
      </c>
      <c r="AG38" s="112">
        <f t="shared" si="21"/>
        <v>2.6417464871170906</v>
      </c>
      <c r="AH38" s="112">
        <f t="shared" si="21"/>
        <v>2.6702012349351483</v>
      </c>
      <c r="AI38" s="112">
        <f t="shared" si="21"/>
        <v>2.6951644668685257</v>
      </c>
      <c r="AJ38" s="112">
        <f t="shared" si="21"/>
        <v>2.7305522944797564</v>
      </c>
      <c r="AK38" s="112">
        <f t="shared" si="21"/>
        <v>2.7634262261831632</v>
      </c>
      <c r="AL38" s="112">
        <f t="shared" si="21"/>
        <v>2.7945583576253883</v>
      </c>
      <c r="AM38" s="112">
        <f t="shared" si="21"/>
        <v>2.8246863228856993</v>
      </c>
      <c r="AN38" s="112">
        <f t="shared" si="21"/>
        <v>2.8509172715871052</v>
      </c>
      <c r="AO38" s="112">
        <f t="shared" si="21"/>
        <v>2.880059707625851</v>
      </c>
      <c r="AP38" s="112">
        <f t="shared" si="21"/>
        <v>2.9069516620832871</v>
      </c>
      <c r="AQ38" s="112">
        <f t="shared" si="21"/>
        <v>2.9377486230953362</v>
      </c>
      <c r="AR38" s="112">
        <f t="shared" si="21"/>
        <v>2.96478103803467</v>
      </c>
      <c r="AS38" s="112">
        <f t="shared" si="21"/>
        <v>2.9909413640494917</v>
      </c>
      <c r="AT38" s="112">
        <f t="shared" si="21"/>
        <v>3.0170845825322052</v>
      </c>
      <c r="AU38" s="112">
        <f t="shared" si="21"/>
        <v>3.0428900654612332</v>
      </c>
      <c r="AV38" s="112">
        <f t="shared" si="21"/>
        <v>3.0701595576719587</v>
      </c>
      <c r="AW38" s="112">
        <f t="shared" si="21"/>
        <v>3.0956509321066084</v>
      </c>
      <c r="AX38" s="112">
        <f t="shared" si="21"/>
        <v>3.1207289391649784</v>
      </c>
      <c r="AY38" s="112">
        <f t="shared" si="21"/>
        <v>3.145684557728917</v>
      </c>
      <c r="AZ38" s="112">
        <f t="shared" si="21"/>
        <v>3.1702341254118349</v>
      </c>
      <c r="BA38" s="112">
        <f t="shared" si="21"/>
        <v>3.1946655614190917</v>
      </c>
      <c r="BB38" s="112">
        <f t="shared" si="21"/>
        <v>3.2181365485350151</v>
      </c>
      <c r="BC38" s="112">
        <f t="shared" si="21"/>
        <v>3.2412324197960185</v>
      </c>
      <c r="BD38" s="112">
        <f t="shared" si="21"/>
        <v>3.2639296327810117</v>
      </c>
      <c r="BE38" s="112">
        <f t="shared" si="21"/>
        <v>3.2861429193553398</v>
      </c>
      <c r="BF38" s="112">
        <f t="shared" si="21"/>
        <v>3.3077968369046231</v>
      </c>
      <c r="BG38" s="112">
        <f t="shared" si="21"/>
        <v>3.3289306011113733</v>
      </c>
      <c r="BH38" s="112">
        <f t="shared" si="21"/>
        <v>3.349555590718805</v>
      </c>
      <c r="BI38" s="112">
        <f t="shared" si="21"/>
        <v>3.3696661719824093</v>
      </c>
      <c r="BJ38" s="112">
        <f t="shared" si="21"/>
        <v>3.3892147848461387</v>
      </c>
      <c r="BK38" s="112">
        <f t="shared" si="21"/>
        <v>3.4081895866206664</v>
      </c>
      <c r="BL38" s="112">
        <f t="shared" si="21"/>
        <v>3.4265646430017256</v>
      </c>
      <c r="BM38" s="112">
        <f t="shared" si="21"/>
        <v>3.4443600471710094</v>
      </c>
      <c r="BN38" s="112">
        <f t="shared" si="21"/>
        <v>3.4615613380494619</v>
      </c>
      <c r="BO38" s="112">
        <f t="shared" si="21"/>
        <v>3.4781538286831375</v>
      </c>
      <c r="BP38" s="132"/>
      <c r="BQ38" s="13"/>
      <c r="BR38" s="13"/>
      <c r="BS38" s="13"/>
      <c r="BT38" s="13"/>
      <c r="BU38" s="13"/>
      <c r="BV38" s="13"/>
      <c r="BW38" s="13"/>
      <c r="BX38" s="13"/>
      <c r="BY38" s="13"/>
      <c r="BZ38" s="13"/>
      <c r="CA38" s="13"/>
      <c r="CB38" s="13"/>
      <c r="CC38" s="13"/>
    </row>
    <row r="39" spans="1:81" x14ac:dyDescent="0.3">
      <c r="A39" s="354"/>
      <c r="B39" s="354"/>
      <c r="C39" s="354"/>
      <c r="D39" s="359"/>
      <c r="E39" s="115"/>
      <c r="F39" s="133"/>
      <c r="G39" s="133"/>
      <c r="H39" s="133"/>
      <c r="I39" s="133"/>
      <c r="J39" s="133"/>
      <c r="K39" s="133"/>
      <c r="L39" s="134"/>
      <c r="M39" s="134"/>
      <c r="N39" s="134"/>
      <c r="O39" s="134"/>
      <c r="P39" s="134"/>
      <c r="Q39" s="134"/>
      <c r="R39" s="134"/>
      <c r="S39" s="134"/>
      <c r="T39" s="134"/>
      <c r="U39" s="134"/>
      <c r="V39" s="134"/>
      <c r="W39" s="134"/>
      <c r="X39" s="134"/>
      <c r="Y39" s="134"/>
      <c r="Z39" s="134"/>
      <c r="AA39" s="134"/>
      <c r="AB39" s="134"/>
      <c r="AC39" s="134"/>
      <c r="AD39" s="134"/>
      <c r="AE39" s="134"/>
      <c r="AF39" s="134"/>
      <c r="AG39" s="134"/>
      <c r="AH39" s="134"/>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14"/>
    </row>
    <row r="40" spans="1:81" ht="15.6" x14ac:dyDescent="0.3">
      <c r="A40" s="354"/>
      <c r="B40" s="354"/>
      <c r="C40" s="354"/>
      <c r="D40" s="359"/>
      <c r="E40" s="109"/>
      <c r="F40" s="110" t="s">
        <v>505</v>
      </c>
      <c r="G40" s="111"/>
      <c r="H40" s="111"/>
      <c r="I40" s="111"/>
      <c r="J40" s="111"/>
      <c r="K40" s="111"/>
      <c r="L40" s="112"/>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3"/>
      <c r="BA40" s="113"/>
      <c r="BB40" s="113"/>
      <c r="BC40" s="113"/>
      <c r="BD40" s="113"/>
      <c r="BE40" s="113"/>
      <c r="BF40" s="113"/>
      <c r="BG40" s="113"/>
      <c r="BH40" s="113"/>
      <c r="BI40" s="113"/>
      <c r="BJ40" s="113"/>
      <c r="BK40" s="113"/>
      <c r="BL40" s="113"/>
      <c r="BM40" s="113"/>
      <c r="BN40" s="113"/>
      <c r="BO40" s="113"/>
      <c r="BP40" s="114"/>
    </row>
    <row r="41" spans="1:81" ht="15.6" x14ac:dyDescent="0.3">
      <c r="A41" s="354"/>
      <c r="B41" s="354"/>
      <c r="C41" s="354"/>
      <c r="D41" s="359"/>
      <c r="E41" s="115"/>
      <c r="F41" s="116" t="s">
        <v>486</v>
      </c>
      <c r="G41" s="111"/>
      <c r="H41" s="111"/>
      <c r="I41" s="111"/>
      <c r="J41" s="111"/>
      <c r="K41" s="111"/>
      <c r="L41" s="112"/>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c r="BG41" s="113"/>
      <c r="BH41" s="113"/>
      <c r="BI41" s="113"/>
      <c r="BJ41" s="113"/>
      <c r="BK41" s="113"/>
      <c r="BL41" s="113"/>
      <c r="BM41" s="113"/>
      <c r="BN41" s="113"/>
      <c r="BO41" s="113"/>
      <c r="BP41" s="114"/>
    </row>
    <row r="42" spans="1:81" x14ac:dyDescent="0.3">
      <c r="A42" s="382" t="s">
        <v>487</v>
      </c>
      <c r="B42" s="354"/>
      <c r="C42" s="354"/>
      <c r="D42" s="359"/>
      <c r="E42" s="115"/>
      <c r="F42" s="117" t="s">
        <v>488</v>
      </c>
      <c r="G42" s="118">
        <v>215647</v>
      </c>
      <c r="H42" s="118">
        <v>191973</v>
      </c>
      <c r="I42" s="118">
        <v>210894</v>
      </c>
      <c r="J42" s="118">
        <v>188658</v>
      </c>
      <c r="K42" s="118">
        <v>186225</v>
      </c>
      <c r="L42" s="119">
        <v>185489</v>
      </c>
      <c r="M42" s="119">
        <v>180337</v>
      </c>
      <c r="N42" s="119">
        <v>158057</v>
      </c>
      <c r="O42" s="119">
        <v>161583</v>
      </c>
      <c r="P42" s="119">
        <v>183347</v>
      </c>
      <c r="Q42" s="119">
        <v>160630</v>
      </c>
      <c r="R42" s="119">
        <v>164085</v>
      </c>
      <c r="S42" s="119">
        <v>167544</v>
      </c>
      <c r="T42" s="119">
        <f t="shared" ref="T42:T47" si="22">T58*1000000</f>
        <v>166714.06675775143</v>
      </c>
      <c r="U42" s="119">
        <f t="shared" ref="U42:BO47" si="23">U58*1000000</f>
        <v>176872.75079533859</v>
      </c>
      <c r="V42" s="119">
        <f t="shared" si="23"/>
        <v>177178.09953206335</v>
      </c>
      <c r="W42" s="119">
        <f t="shared" si="23"/>
        <v>178063.99002972365</v>
      </c>
      <c r="X42" s="119">
        <f t="shared" si="23"/>
        <v>178954.30997987225</v>
      </c>
      <c r="Y42" s="119">
        <f t="shared" si="23"/>
        <v>179849.08152977159</v>
      </c>
      <c r="Z42" s="119">
        <f t="shared" si="23"/>
        <v>180748.32693742044</v>
      </c>
      <c r="AA42" s="119">
        <f t="shared" si="23"/>
        <v>181652.06857210753</v>
      </c>
      <c r="AB42" s="119">
        <f t="shared" si="23"/>
        <v>182560.32891496803</v>
      </c>
      <c r="AC42" s="119">
        <f t="shared" si="23"/>
        <v>183473.13055954286</v>
      </c>
      <c r="AD42" s="119">
        <f t="shared" si="23"/>
        <v>184390.49621234057</v>
      </c>
      <c r="AE42" s="119">
        <f t="shared" si="23"/>
        <v>185312.44869340226</v>
      </c>
      <c r="AF42" s="119">
        <f t="shared" si="23"/>
        <v>186239.01093686925</v>
      </c>
      <c r="AG42" s="119">
        <f t="shared" si="23"/>
        <v>187170.20599155361</v>
      </c>
      <c r="AH42" s="119">
        <f t="shared" si="23"/>
        <v>188106.05702151134</v>
      </c>
      <c r="AI42" s="119">
        <f t="shared" si="23"/>
        <v>189046.58730661889</v>
      </c>
      <c r="AJ42" s="119">
        <f t="shared" si="23"/>
        <v>189991.82024315195</v>
      </c>
      <c r="AK42" s="119">
        <f t="shared" si="23"/>
        <v>190941.77934436768</v>
      </c>
      <c r="AL42" s="119">
        <f t="shared" si="23"/>
        <v>191896.48824108948</v>
      </c>
      <c r="AM42" s="119">
        <f t="shared" si="23"/>
        <v>192855.97068229489</v>
      </c>
      <c r="AN42" s="119">
        <f t="shared" si="23"/>
        <v>193820.25053570638</v>
      </c>
      <c r="AO42" s="119">
        <f t="shared" si="23"/>
        <v>194789.3517883849</v>
      </c>
      <c r="AP42" s="119">
        <f t="shared" si="23"/>
        <v>195763.29854732679</v>
      </c>
      <c r="AQ42" s="119">
        <f t="shared" si="23"/>
        <v>196742.11504006342</v>
      </c>
      <c r="AR42" s="119">
        <f t="shared" si="23"/>
        <v>197725.82561526372</v>
      </c>
      <c r="AS42" s="119">
        <f t="shared" si="23"/>
        <v>198714.45474334</v>
      </c>
      <c r="AT42" s="119">
        <f t="shared" si="23"/>
        <v>199708.02701705671</v>
      </c>
      <c r="AU42" s="119">
        <f t="shared" si="23"/>
        <v>200706.56715214197</v>
      </c>
      <c r="AV42" s="119">
        <f t="shared" si="23"/>
        <v>201710.09998790265</v>
      </c>
      <c r="AW42" s="119">
        <f t="shared" si="23"/>
        <v>202718.65048784215</v>
      </c>
      <c r="AX42" s="119">
        <f t="shared" si="23"/>
        <v>203732.24374028135</v>
      </c>
      <c r="AY42" s="119">
        <f t="shared" si="23"/>
        <v>204750.90495898275</v>
      </c>
      <c r="AZ42" s="119">
        <f t="shared" si="23"/>
        <v>205774.65948377762</v>
      </c>
      <c r="BA42" s="119">
        <f t="shared" si="23"/>
        <v>206803.53278119647</v>
      </c>
      <c r="BB42" s="119">
        <f t="shared" si="23"/>
        <v>207837.55044510245</v>
      </c>
      <c r="BC42" s="119">
        <f t="shared" si="23"/>
        <v>208876.73819732794</v>
      </c>
      <c r="BD42" s="119">
        <f t="shared" si="23"/>
        <v>209921.12188831455</v>
      </c>
      <c r="BE42" s="119">
        <f t="shared" si="23"/>
        <v>210970.7274977561</v>
      </c>
      <c r="BF42" s="119">
        <f t="shared" si="23"/>
        <v>212025.58113524487</v>
      </c>
      <c r="BG42" s="119">
        <f t="shared" si="23"/>
        <v>213085.70904092107</v>
      </c>
      <c r="BH42" s="119">
        <f t="shared" si="23"/>
        <v>214151.13758612564</v>
      </c>
      <c r="BI42" s="119">
        <f t="shared" si="23"/>
        <v>215221.89327405626</v>
      </c>
      <c r="BJ42" s="119">
        <f t="shared" si="23"/>
        <v>216298.00274042651</v>
      </c>
      <c r="BK42" s="119">
        <f t="shared" si="23"/>
        <v>217379.49275412862</v>
      </c>
      <c r="BL42" s="119">
        <f t="shared" si="23"/>
        <v>218466.39021789923</v>
      </c>
      <c r="BM42" s="119">
        <f t="shared" si="23"/>
        <v>219558.72216898869</v>
      </c>
      <c r="BN42" s="119">
        <f t="shared" si="23"/>
        <v>220656.5157798336</v>
      </c>
      <c r="BO42" s="119">
        <f t="shared" si="23"/>
        <v>221759.79835873275</v>
      </c>
      <c r="BP42" s="114"/>
    </row>
    <row r="43" spans="1:81" x14ac:dyDescent="0.3">
      <c r="A43" s="388"/>
      <c r="D43" s="359"/>
      <c r="E43" s="115"/>
      <c r="F43" s="117" t="s">
        <v>489</v>
      </c>
      <c r="G43" s="118">
        <v>360025</v>
      </c>
      <c r="H43" s="118">
        <v>399467</v>
      </c>
      <c r="I43" s="118">
        <v>390176</v>
      </c>
      <c r="J43" s="118">
        <v>402434</v>
      </c>
      <c r="K43" s="118">
        <v>372637</v>
      </c>
      <c r="L43" s="119">
        <v>432094</v>
      </c>
      <c r="M43" s="119">
        <v>454257</v>
      </c>
      <c r="N43" s="119">
        <v>467327</v>
      </c>
      <c r="O43" s="119">
        <v>501950</v>
      </c>
      <c r="P43" s="119">
        <v>525435</v>
      </c>
      <c r="Q43" s="119">
        <v>527347</v>
      </c>
      <c r="R43" s="119">
        <v>543547</v>
      </c>
      <c r="S43" s="119">
        <v>509178.59212063102</v>
      </c>
      <c r="T43" s="119">
        <f>T59*1000000</f>
        <v>506656.36369202571</v>
      </c>
      <c r="U43" s="119">
        <f t="shared" ref="U43:BO43" si="24">U59*1000000</f>
        <v>537529.3548827396</v>
      </c>
      <c r="V43" s="119">
        <f t="shared" si="24"/>
        <v>538457.33224911091</v>
      </c>
      <c r="W43" s="119">
        <f t="shared" si="24"/>
        <v>582190.32853054919</v>
      </c>
      <c r="X43" s="119">
        <f t="shared" si="24"/>
        <v>608599.0943630531</v>
      </c>
      <c r="Y43" s="119">
        <f t="shared" si="24"/>
        <v>636510.5287227825</v>
      </c>
      <c r="Z43" s="119">
        <f t="shared" si="24"/>
        <v>663536.33751274203</v>
      </c>
      <c r="AA43" s="119">
        <f t="shared" si="24"/>
        <v>693856.83564018738</v>
      </c>
      <c r="AB43" s="119">
        <f t="shared" si="24"/>
        <v>698951.03852778568</v>
      </c>
      <c r="AC43" s="119">
        <f t="shared" si="24"/>
        <v>726193.04947385262</v>
      </c>
      <c r="AD43" s="119">
        <f t="shared" si="24"/>
        <v>757073.93781741511</v>
      </c>
      <c r="AE43" s="119">
        <f t="shared" si="24"/>
        <v>784395.93168918882</v>
      </c>
      <c r="AF43" s="119">
        <f t="shared" si="24"/>
        <v>811967.81225984066</v>
      </c>
      <c r="AG43" s="119">
        <f t="shared" si="24"/>
        <v>839920.14707027643</v>
      </c>
      <c r="AH43" s="119">
        <f t="shared" si="24"/>
        <v>850037.23102763284</v>
      </c>
      <c r="AI43" s="119">
        <f t="shared" si="24"/>
        <v>858864.02654351317</v>
      </c>
      <c r="AJ43" s="119">
        <f t="shared" si="24"/>
        <v>871535.59024054999</v>
      </c>
      <c r="AK43" s="119">
        <f t="shared" si="24"/>
        <v>883277.58955870848</v>
      </c>
      <c r="AL43" s="119">
        <f t="shared" si="24"/>
        <v>894374.91929316276</v>
      </c>
      <c r="AM43" s="119">
        <f t="shared" si="24"/>
        <v>905099.75782033359</v>
      </c>
      <c r="AN43" s="119">
        <f t="shared" si="24"/>
        <v>914384.62921861943</v>
      </c>
      <c r="AO43" s="119">
        <f t="shared" si="24"/>
        <v>924741.8719016721</v>
      </c>
      <c r="AP43" s="119">
        <f t="shared" si="24"/>
        <v>934266.70167986827</v>
      </c>
      <c r="AQ43" s="119">
        <f t="shared" si="24"/>
        <v>945230.4930663436</v>
      </c>
      <c r="AR43" s="119">
        <f t="shared" si="24"/>
        <v>954803.15959556145</v>
      </c>
      <c r="AS43" s="119">
        <f t="shared" si="24"/>
        <v>964052.01231691777</v>
      </c>
      <c r="AT43" s="119">
        <f t="shared" si="24"/>
        <v>973292.53059756756</v>
      </c>
      <c r="AU43" s="119">
        <f t="shared" si="24"/>
        <v>982406.39210445248</v>
      </c>
      <c r="AV43" s="119">
        <f t="shared" si="24"/>
        <v>992058.43324476399</v>
      </c>
      <c r="AW43" s="119">
        <f t="shared" si="24"/>
        <v>1001052.2940258168</v>
      </c>
      <c r="AX43" s="119">
        <f t="shared" si="24"/>
        <v>1009891.5591459947</v>
      </c>
      <c r="AY43" s="119">
        <f t="shared" si="24"/>
        <v>1018683.5899399505</v>
      </c>
      <c r="AZ43" s="119">
        <f t="shared" si="24"/>
        <v>1027323.7041945291</v>
      </c>
      <c r="BA43" s="119">
        <f t="shared" si="24"/>
        <v>1035918.1341157549</v>
      </c>
      <c r="BB43" s="119">
        <f t="shared" si="24"/>
        <v>1044156.0529106022</v>
      </c>
      <c r="BC43" s="119">
        <f t="shared" si="24"/>
        <v>1052253.4388336821</v>
      </c>
      <c r="BD43" s="119">
        <f t="shared" si="24"/>
        <v>1060201.5941232715</v>
      </c>
      <c r="BE43" s="119">
        <f t="shared" si="24"/>
        <v>1067969.0440832186</v>
      </c>
      <c r="BF43" s="119">
        <f t="shared" si="24"/>
        <v>1075527.9395960702</v>
      </c>
      <c r="BG43" s="119">
        <f t="shared" si="24"/>
        <v>1082892.7405757639</v>
      </c>
      <c r="BH43" s="119">
        <f t="shared" si="24"/>
        <v>1090067.635009917</v>
      </c>
      <c r="BI43" s="119">
        <f t="shared" si="24"/>
        <v>1097050.5331985466</v>
      </c>
      <c r="BJ43" s="119">
        <f t="shared" si="24"/>
        <v>1103823.874515167</v>
      </c>
      <c r="BK43" s="119">
        <f t="shared" si="24"/>
        <v>1110383.2780411078</v>
      </c>
      <c r="BL43" s="119">
        <f t="shared" si="24"/>
        <v>1116719.1629757518</v>
      </c>
      <c r="BM43" s="119">
        <f t="shared" si="24"/>
        <v>1122838.9326753283</v>
      </c>
      <c r="BN43" s="119">
        <f t="shared" si="24"/>
        <v>1128737.2398663496</v>
      </c>
      <c r="BO43" s="119">
        <f t="shared" si="24"/>
        <v>1134408.6538715879</v>
      </c>
      <c r="BP43" s="114"/>
    </row>
    <row r="44" spans="1:81" x14ac:dyDescent="0.3">
      <c r="A44" s="388"/>
      <c r="D44" s="359"/>
      <c r="E44" s="115"/>
      <c r="F44" s="117" t="s">
        <v>490</v>
      </c>
      <c r="G44" s="118">
        <v>144931</v>
      </c>
      <c r="H44" s="118">
        <v>98347</v>
      </c>
      <c r="I44" s="118">
        <v>78710</v>
      </c>
      <c r="J44" s="118">
        <v>61627</v>
      </c>
      <c r="K44" s="118">
        <v>35483</v>
      </c>
      <c r="L44" s="119">
        <v>44027</v>
      </c>
      <c r="M44" s="119">
        <v>29872</v>
      </c>
      <c r="N44" s="119">
        <v>37260</v>
      </c>
      <c r="O44" s="119">
        <v>31924</v>
      </c>
      <c r="P44" s="119">
        <v>36047</v>
      </c>
      <c r="Q44" s="119">
        <v>26909</v>
      </c>
      <c r="R44" s="119">
        <v>29481</v>
      </c>
      <c r="S44" s="119">
        <v>29901.328666485719</v>
      </c>
      <c r="T44" s="119">
        <f t="shared" si="22"/>
        <v>29753.211714236058</v>
      </c>
      <c r="U44" s="119">
        <f t="shared" si="23"/>
        <v>31566.216956004646</v>
      </c>
      <c r="V44" s="119">
        <f t="shared" si="23"/>
        <v>31620.712091221081</v>
      </c>
      <c r="W44" s="119">
        <f t="shared" si="23"/>
        <v>33518.545569445778</v>
      </c>
      <c r="X44" s="119">
        <f t="shared" si="23"/>
        <v>34351.94319783651</v>
      </c>
      <c r="Y44" s="119">
        <f t="shared" si="23"/>
        <v>35222.925751606876</v>
      </c>
      <c r="Z44" s="119">
        <f t="shared" si="23"/>
        <v>35998.497529595632</v>
      </c>
      <c r="AA44" s="119">
        <f t="shared" si="23"/>
        <v>36905.352947055442</v>
      </c>
      <c r="AB44" s="119">
        <f t="shared" si="23"/>
        <v>36447.35985163827</v>
      </c>
      <c r="AC44" s="119">
        <f t="shared" si="23"/>
        <v>37125.408096807456</v>
      </c>
      <c r="AD44" s="119">
        <f t="shared" si="23"/>
        <v>37945.237247719117</v>
      </c>
      <c r="AE44" s="119">
        <f t="shared" si="23"/>
        <v>38543.765230888566</v>
      </c>
      <c r="AF44" s="119">
        <f t="shared" si="23"/>
        <v>39116.271023528367</v>
      </c>
      <c r="AG44" s="119">
        <f t="shared" si="23"/>
        <v>39669.475658158233</v>
      </c>
      <c r="AH44" s="119">
        <f t="shared" si="23"/>
        <v>40147.306100942355</v>
      </c>
      <c r="AI44" s="119">
        <f t="shared" si="23"/>
        <v>40564.196148261879</v>
      </c>
      <c r="AJ44" s="119">
        <f t="shared" si="23"/>
        <v>41162.674812434634</v>
      </c>
      <c r="AK44" s="119">
        <f t="shared" si="23"/>
        <v>41717.250098852703</v>
      </c>
      <c r="AL44" s="119">
        <f t="shared" si="23"/>
        <v>42241.377604672198</v>
      </c>
      <c r="AM44" s="119">
        <f t="shared" si="23"/>
        <v>42747.912329878258</v>
      </c>
      <c r="AN44" s="119">
        <f t="shared" si="23"/>
        <v>43186.437326817766</v>
      </c>
      <c r="AO44" s="119">
        <f t="shared" si="23"/>
        <v>43675.61047968729</v>
      </c>
      <c r="AP44" s="119">
        <f t="shared" si="23"/>
        <v>44125.468724369486</v>
      </c>
      <c r="AQ44" s="119">
        <f t="shared" si="23"/>
        <v>44643.289206523637</v>
      </c>
      <c r="AR44" s="119">
        <f t="shared" si="23"/>
        <v>45095.406783639803</v>
      </c>
      <c r="AS44" s="119">
        <f t="shared" si="23"/>
        <v>45532.23061644761</v>
      </c>
      <c r="AT44" s="119">
        <f t="shared" si="23"/>
        <v>45968.660813153358</v>
      </c>
      <c r="AU44" s="119">
        <f t="shared" si="23"/>
        <v>46399.109003329875</v>
      </c>
      <c r="AV44" s="119">
        <f t="shared" si="23"/>
        <v>46854.975447780205</v>
      </c>
      <c r="AW44" s="119">
        <f t="shared" si="23"/>
        <v>47279.75599694471</v>
      </c>
      <c r="AX44" s="119">
        <f t="shared" si="23"/>
        <v>47697.234984374649</v>
      </c>
      <c r="AY44" s="119">
        <f t="shared" si="23"/>
        <v>48112.483091927686</v>
      </c>
      <c r="AZ44" s="119">
        <f t="shared" si="23"/>
        <v>48520.556172804791</v>
      </c>
      <c r="BA44" s="119">
        <f t="shared" si="23"/>
        <v>48926.471580055149</v>
      </c>
      <c r="BB44" s="119">
        <f t="shared" si="23"/>
        <v>49315.548946809562</v>
      </c>
      <c r="BC44" s="119">
        <f t="shared" si="23"/>
        <v>49697.988938147755</v>
      </c>
      <c r="BD44" s="119">
        <f t="shared" si="23"/>
        <v>50073.380758295687</v>
      </c>
      <c r="BE44" s="119">
        <f t="shared" si="23"/>
        <v>50440.237855588646</v>
      </c>
      <c r="BF44" s="119">
        <f t="shared" si="23"/>
        <v>50797.24491464725</v>
      </c>
      <c r="BG44" s="119">
        <f t="shared" si="23"/>
        <v>51145.084878017835</v>
      </c>
      <c r="BH44" s="119">
        <f t="shared" si="23"/>
        <v>51483.955544590477</v>
      </c>
      <c r="BI44" s="119">
        <f t="shared" si="23"/>
        <v>51813.758217717761</v>
      </c>
      <c r="BJ44" s="119">
        <f t="shared" si="23"/>
        <v>52133.663508025784</v>
      </c>
      <c r="BK44" s="119">
        <f t="shared" si="23"/>
        <v>52443.464504480013</v>
      </c>
      <c r="BL44" s="119">
        <f t="shared" si="23"/>
        <v>52742.708705329882</v>
      </c>
      <c r="BM44" s="119">
        <f t="shared" si="23"/>
        <v>53031.745771505375</v>
      </c>
      <c r="BN44" s="119">
        <f t="shared" si="23"/>
        <v>53310.323150979733</v>
      </c>
      <c r="BO44" s="119">
        <f t="shared" si="23"/>
        <v>53578.184352562879</v>
      </c>
      <c r="BP44" s="114"/>
    </row>
    <row r="45" spans="1:81" x14ac:dyDescent="0.3">
      <c r="A45" s="388"/>
      <c r="D45" s="359"/>
      <c r="E45" s="115"/>
      <c r="F45" s="117" t="s">
        <v>491</v>
      </c>
      <c r="G45" s="118">
        <v>106928</v>
      </c>
      <c r="H45" s="118">
        <v>86455</v>
      </c>
      <c r="I45" s="118">
        <v>95239</v>
      </c>
      <c r="J45" s="118">
        <v>101066</v>
      </c>
      <c r="K45" s="118">
        <v>96892</v>
      </c>
      <c r="L45" s="119">
        <v>102616</v>
      </c>
      <c r="M45" s="119">
        <v>104661</v>
      </c>
      <c r="N45" s="119">
        <v>127081</v>
      </c>
      <c r="O45" s="119">
        <v>115321</v>
      </c>
      <c r="P45" s="119">
        <v>137337</v>
      </c>
      <c r="Q45" s="119">
        <v>153207</v>
      </c>
      <c r="R45" s="119">
        <v>150189</v>
      </c>
      <c r="S45" s="119">
        <v>135649</v>
      </c>
      <c r="T45" s="119">
        <f t="shared" si="22"/>
        <v>134977.05940900432</v>
      </c>
      <c r="U45" s="119">
        <f t="shared" si="23"/>
        <v>143201.85606549255</v>
      </c>
      <c r="V45" s="119">
        <f t="shared" si="23"/>
        <v>143449.07620341438</v>
      </c>
      <c r="W45" s="119">
        <f t="shared" si="23"/>
        <v>152058.70075753151</v>
      </c>
      <c r="X45" s="119">
        <f t="shared" si="23"/>
        <v>152058.70075753151</v>
      </c>
      <c r="Y45" s="119">
        <f t="shared" si="23"/>
        <v>152058.70075753151</v>
      </c>
      <c r="Z45" s="119">
        <f t="shared" si="23"/>
        <v>152058.70075753151</v>
      </c>
      <c r="AA45" s="119">
        <f t="shared" si="23"/>
        <v>152058.70075753151</v>
      </c>
      <c r="AB45" s="119">
        <f t="shared" si="23"/>
        <v>152058.70075753151</v>
      </c>
      <c r="AC45" s="119">
        <f t="shared" si="23"/>
        <v>152058.70075753151</v>
      </c>
      <c r="AD45" s="119">
        <f t="shared" si="23"/>
        <v>152058.70075753151</v>
      </c>
      <c r="AE45" s="119">
        <f t="shared" si="23"/>
        <v>152058.70075753151</v>
      </c>
      <c r="AF45" s="119">
        <f t="shared" si="23"/>
        <v>152058.70075753151</v>
      </c>
      <c r="AG45" s="119">
        <f t="shared" si="23"/>
        <v>152058.70075753151</v>
      </c>
      <c r="AH45" s="119">
        <f t="shared" si="23"/>
        <v>152058.70075753151</v>
      </c>
      <c r="AI45" s="119">
        <f t="shared" si="23"/>
        <v>152058.70075753151</v>
      </c>
      <c r="AJ45" s="119">
        <f t="shared" si="23"/>
        <v>152058.70075753151</v>
      </c>
      <c r="AK45" s="119">
        <f t="shared" si="23"/>
        <v>152058.70075753151</v>
      </c>
      <c r="AL45" s="119">
        <f t="shared" si="23"/>
        <v>152058.70075753151</v>
      </c>
      <c r="AM45" s="119">
        <f t="shared" si="23"/>
        <v>152058.70075753151</v>
      </c>
      <c r="AN45" s="119">
        <f t="shared" si="23"/>
        <v>152058.70075753151</v>
      </c>
      <c r="AO45" s="119">
        <f t="shared" si="23"/>
        <v>152058.70075753151</v>
      </c>
      <c r="AP45" s="119">
        <f t="shared" si="23"/>
        <v>152058.70075753151</v>
      </c>
      <c r="AQ45" s="119">
        <f t="shared" si="23"/>
        <v>152058.70075753151</v>
      </c>
      <c r="AR45" s="119">
        <f t="shared" si="23"/>
        <v>152058.70075753151</v>
      </c>
      <c r="AS45" s="119">
        <f t="shared" si="23"/>
        <v>152058.70075753151</v>
      </c>
      <c r="AT45" s="119">
        <f t="shared" si="23"/>
        <v>152058.70075753151</v>
      </c>
      <c r="AU45" s="119">
        <f t="shared" si="23"/>
        <v>152058.70075753151</v>
      </c>
      <c r="AV45" s="119">
        <f t="shared" si="23"/>
        <v>152058.70075753151</v>
      </c>
      <c r="AW45" s="119">
        <f t="shared" si="23"/>
        <v>152058.70075753151</v>
      </c>
      <c r="AX45" s="119">
        <f t="shared" si="23"/>
        <v>152058.70075753151</v>
      </c>
      <c r="AY45" s="119">
        <f t="shared" si="23"/>
        <v>152058.70075753151</v>
      </c>
      <c r="AZ45" s="119">
        <f t="shared" si="23"/>
        <v>152058.70075753151</v>
      </c>
      <c r="BA45" s="119">
        <f t="shared" si="23"/>
        <v>152058.70075753151</v>
      </c>
      <c r="BB45" s="119">
        <f t="shared" si="23"/>
        <v>152058.70075753151</v>
      </c>
      <c r="BC45" s="119">
        <f t="shared" si="23"/>
        <v>152058.70075753151</v>
      </c>
      <c r="BD45" s="119">
        <f t="shared" si="23"/>
        <v>152058.70075753151</v>
      </c>
      <c r="BE45" s="119">
        <f t="shared" si="23"/>
        <v>152058.70075753151</v>
      </c>
      <c r="BF45" s="119">
        <f t="shared" si="23"/>
        <v>152058.70075753151</v>
      </c>
      <c r="BG45" s="119">
        <f t="shared" si="23"/>
        <v>152058.70075753151</v>
      </c>
      <c r="BH45" s="119">
        <f t="shared" si="23"/>
        <v>152058.70075753151</v>
      </c>
      <c r="BI45" s="119">
        <f t="shared" si="23"/>
        <v>152058.70075753151</v>
      </c>
      <c r="BJ45" s="119">
        <f t="shared" si="23"/>
        <v>152058.70075753151</v>
      </c>
      <c r="BK45" s="119">
        <f t="shared" si="23"/>
        <v>152058.70075753151</v>
      </c>
      <c r="BL45" s="119">
        <f t="shared" si="23"/>
        <v>152058.70075753151</v>
      </c>
      <c r="BM45" s="119">
        <f t="shared" si="23"/>
        <v>152058.70075753151</v>
      </c>
      <c r="BN45" s="119">
        <f t="shared" si="23"/>
        <v>152058.70075753151</v>
      </c>
      <c r="BO45" s="119">
        <f t="shared" si="23"/>
        <v>152058.70075753151</v>
      </c>
      <c r="BP45" s="114"/>
    </row>
    <row r="46" spans="1:81" x14ac:dyDescent="0.3">
      <c r="A46" s="388"/>
      <c r="D46" s="359"/>
      <c r="E46" s="115"/>
      <c r="F46" s="117" t="s">
        <v>492</v>
      </c>
      <c r="G46" s="118">
        <v>440346</v>
      </c>
      <c r="H46" s="118">
        <v>577784</v>
      </c>
      <c r="I46" s="118">
        <v>486580</v>
      </c>
      <c r="J46" s="118">
        <v>496652</v>
      </c>
      <c r="K46" s="118">
        <v>485696</v>
      </c>
      <c r="L46" s="119">
        <v>533290</v>
      </c>
      <c r="M46" s="119">
        <v>378335</v>
      </c>
      <c r="N46" s="119">
        <v>444623</v>
      </c>
      <c r="O46" s="119">
        <v>435391</v>
      </c>
      <c r="P46" s="119">
        <v>388838</v>
      </c>
      <c r="Q46" s="119">
        <v>415235</v>
      </c>
      <c r="R46" s="119">
        <v>439400</v>
      </c>
      <c r="S46" s="119">
        <v>416091</v>
      </c>
      <c r="T46" s="119">
        <f t="shared" si="22"/>
        <v>414029.88320261863</v>
      </c>
      <c r="U46" s="119">
        <f t="shared" si="23"/>
        <v>439258.7007065799</v>
      </c>
      <c r="V46" s="119">
        <f t="shared" si="23"/>
        <v>440017.02604925132</v>
      </c>
      <c r="W46" s="119">
        <f t="shared" si="23"/>
        <v>466426.26821356622</v>
      </c>
      <c r="X46" s="119">
        <f t="shared" si="23"/>
        <v>478023.38673838263</v>
      </c>
      <c r="Y46" s="119">
        <f t="shared" si="23"/>
        <v>490143.51711195573</v>
      </c>
      <c r="Z46" s="119">
        <f t="shared" si="23"/>
        <v>500935.96183153841</v>
      </c>
      <c r="AA46" s="119">
        <f t="shared" si="23"/>
        <v>513555.27991318592</v>
      </c>
      <c r="AB46" s="119">
        <f t="shared" si="23"/>
        <v>507182.09137729253</v>
      </c>
      <c r="AC46" s="119">
        <f t="shared" si="23"/>
        <v>516617.45043867471</v>
      </c>
      <c r="AD46" s="119">
        <f t="shared" si="23"/>
        <v>528025.75724125246</v>
      </c>
      <c r="AE46" s="119">
        <f t="shared" si="23"/>
        <v>536354.55459413037</v>
      </c>
      <c r="AF46" s="119">
        <f t="shared" si="23"/>
        <v>544321.24097192625</v>
      </c>
      <c r="AG46" s="119">
        <f t="shared" si="23"/>
        <v>552019.34269159241</v>
      </c>
      <c r="AH46" s="119">
        <f t="shared" si="23"/>
        <v>558668.57721177384</v>
      </c>
      <c r="AI46" s="119">
        <f t="shared" si="23"/>
        <v>564469.79757271567</v>
      </c>
      <c r="AJ46" s="119">
        <f t="shared" si="23"/>
        <v>572797.90862864396</v>
      </c>
      <c r="AK46" s="119">
        <f t="shared" si="23"/>
        <v>580515.08361022314</v>
      </c>
      <c r="AL46" s="119">
        <f t="shared" si="23"/>
        <v>587808.56345710298</v>
      </c>
      <c r="AM46" s="119">
        <f t="shared" si="23"/>
        <v>594857.23151786195</v>
      </c>
      <c r="AN46" s="119">
        <f t="shared" si="23"/>
        <v>600959.51234078978</v>
      </c>
      <c r="AO46" s="119">
        <f t="shared" si="23"/>
        <v>607766.58598694403</v>
      </c>
      <c r="AP46" s="119">
        <f t="shared" si="23"/>
        <v>614026.5742629118</v>
      </c>
      <c r="AQ46" s="119">
        <f t="shared" si="23"/>
        <v>621232.2889200499</v>
      </c>
      <c r="AR46" s="119">
        <f t="shared" si="23"/>
        <v>627523.7168655477</v>
      </c>
      <c r="AS46" s="119">
        <f t="shared" si="23"/>
        <v>633602.32519242633</v>
      </c>
      <c r="AT46" s="119">
        <f t="shared" si="23"/>
        <v>639675.45588848891</v>
      </c>
      <c r="AU46" s="119">
        <f t="shared" si="23"/>
        <v>645665.3441605604</v>
      </c>
      <c r="AV46" s="119">
        <f t="shared" si="23"/>
        <v>652008.9393517127</v>
      </c>
      <c r="AW46" s="119">
        <f t="shared" si="23"/>
        <v>657919.95974327507</v>
      </c>
      <c r="AX46" s="119">
        <f t="shared" si="23"/>
        <v>663729.37548182753</v>
      </c>
      <c r="AY46" s="119">
        <f t="shared" si="23"/>
        <v>669507.74748151423</v>
      </c>
      <c r="AZ46" s="119">
        <f t="shared" si="23"/>
        <v>675186.27562282537</v>
      </c>
      <c r="BA46" s="119">
        <f t="shared" si="23"/>
        <v>680834.77872454585</v>
      </c>
      <c r="BB46" s="119">
        <f t="shared" si="23"/>
        <v>686248.97260254784</v>
      </c>
      <c r="BC46" s="119">
        <f t="shared" si="23"/>
        <v>691570.80429139372</v>
      </c>
      <c r="BD46" s="119">
        <f t="shared" si="23"/>
        <v>696794.55737539113</v>
      </c>
      <c r="BE46" s="119">
        <f t="shared" si="23"/>
        <v>701899.54579153517</v>
      </c>
      <c r="BF46" s="119">
        <f t="shared" si="23"/>
        <v>706867.46630997187</v>
      </c>
      <c r="BG46" s="119">
        <f t="shared" si="23"/>
        <v>711707.82239625673</v>
      </c>
      <c r="BH46" s="119">
        <f t="shared" si="23"/>
        <v>716423.36651463294</v>
      </c>
      <c r="BI46" s="119">
        <f t="shared" si="23"/>
        <v>721012.72525500273</v>
      </c>
      <c r="BJ46" s="119">
        <f t="shared" si="23"/>
        <v>725464.35727558075</v>
      </c>
      <c r="BK46" s="119">
        <f t="shared" si="23"/>
        <v>729775.38331236411</v>
      </c>
      <c r="BL46" s="119">
        <f t="shared" si="23"/>
        <v>733939.5065914538</v>
      </c>
      <c r="BM46" s="119">
        <f t="shared" si="23"/>
        <v>737961.59280853975</v>
      </c>
      <c r="BN46" s="119">
        <f t="shared" si="23"/>
        <v>741838.12758382503</v>
      </c>
      <c r="BO46" s="119">
        <f t="shared" si="23"/>
        <v>745565.54172220931</v>
      </c>
      <c r="BP46" s="114"/>
    </row>
    <row r="47" spans="1:81" x14ac:dyDescent="0.3">
      <c r="A47" s="388"/>
      <c r="D47" s="359"/>
      <c r="E47" s="115"/>
      <c r="F47" s="117" t="s">
        <v>493</v>
      </c>
      <c r="G47" s="118">
        <v>193502</v>
      </c>
      <c r="H47" s="118">
        <v>202651</v>
      </c>
      <c r="I47" s="118">
        <v>198578</v>
      </c>
      <c r="J47" s="118">
        <v>218833</v>
      </c>
      <c r="K47" s="118">
        <v>272011</v>
      </c>
      <c r="L47" s="119">
        <v>290343</v>
      </c>
      <c r="M47" s="119">
        <v>263839</v>
      </c>
      <c r="N47" s="119">
        <v>260292</v>
      </c>
      <c r="O47" s="119">
        <v>223962</v>
      </c>
      <c r="P47" s="119">
        <v>200908</v>
      </c>
      <c r="Q47" s="119">
        <v>188469</v>
      </c>
      <c r="R47" s="119">
        <v>152529</v>
      </c>
      <c r="S47" s="119">
        <v>141381.08868806413</v>
      </c>
      <c r="T47" s="119">
        <f t="shared" si="22"/>
        <v>140680.75405759379</v>
      </c>
      <c r="U47" s="119">
        <f t="shared" si="23"/>
        <v>149253.10406041174</v>
      </c>
      <c r="V47" s="119">
        <f t="shared" si="23"/>
        <v>149510.77092301304</v>
      </c>
      <c r="W47" s="119">
        <f t="shared" si="23"/>
        <v>158484.21040768723</v>
      </c>
      <c r="X47" s="119">
        <f t="shared" si="23"/>
        <v>162424.72640703127</v>
      </c>
      <c r="Y47" s="119">
        <f t="shared" si="23"/>
        <v>166542.95349499289</v>
      </c>
      <c r="Z47" s="119">
        <f t="shared" si="23"/>
        <v>170210.05416302072</v>
      </c>
      <c r="AA47" s="119">
        <f t="shared" si="23"/>
        <v>174497.89727638845</v>
      </c>
      <c r="AB47" s="119">
        <f t="shared" si="23"/>
        <v>172332.38941003496</v>
      </c>
      <c r="AC47" s="119">
        <f t="shared" si="23"/>
        <v>175538.37400537828</v>
      </c>
      <c r="AD47" s="119">
        <f t="shared" si="23"/>
        <v>179414.73479144645</v>
      </c>
      <c r="AE47" s="119">
        <f t="shared" si="23"/>
        <v>182244.72735848624</v>
      </c>
      <c r="AF47" s="119">
        <f t="shared" si="23"/>
        <v>184951.68038878281</v>
      </c>
      <c r="AG47" s="119">
        <f t="shared" si="23"/>
        <v>187567.37263388748</v>
      </c>
      <c r="AH47" s="119">
        <f t="shared" si="23"/>
        <v>189826.67652511684</v>
      </c>
      <c r="AI47" s="119">
        <f t="shared" si="23"/>
        <v>191797.83872364869</v>
      </c>
      <c r="AJ47" s="119">
        <f t="shared" si="23"/>
        <v>194627.5980979256</v>
      </c>
      <c r="AK47" s="119">
        <f t="shared" si="23"/>
        <v>197249.77113337207</v>
      </c>
      <c r="AL47" s="119">
        <f t="shared" si="23"/>
        <v>199727.97931638084</v>
      </c>
      <c r="AM47" s="119">
        <f t="shared" si="23"/>
        <v>202123.00435713129</v>
      </c>
      <c r="AN47" s="119">
        <f t="shared" si="23"/>
        <v>204196.46210129262</v>
      </c>
      <c r="AO47" s="119">
        <f t="shared" si="23"/>
        <v>206509.39721133615</v>
      </c>
      <c r="AP47" s="119">
        <f t="shared" si="23"/>
        <v>208636.44143394817</v>
      </c>
      <c r="AQ47" s="119">
        <f t="shared" si="23"/>
        <v>211084.82840459095</v>
      </c>
      <c r="AR47" s="119">
        <f t="shared" si="23"/>
        <v>213222.55532571397</v>
      </c>
      <c r="AS47" s="119">
        <f t="shared" si="23"/>
        <v>215287.96953309269</v>
      </c>
      <c r="AT47" s="119">
        <f t="shared" si="23"/>
        <v>217351.52252884183</v>
      </c>
      <c r="AU47" s="119">
        <f t="shared" si="23"/>
        <v>219386.79107592726</v>
      </c>
      <c r="AV47" s="119">
        <f t="shared" si="23"/>
        <v>221542.24359549984</v>
      </c>
      <c r="AW47" s="119">
        <f t="shared" si="23"/>
        <v>223550.71409406012</v>
      </c>
      <c r="AX47" s="119">
        <f t="shared" si="23"/>
        <v>225524.66095125751</v>
      </c>
      <c r="AY47" s="119">
        <f t="shared" si="23"/>
        <v>227488.05964087188</v>
      </c>
      <c r="AZ47" s="119">
        <f t="shared" si="23"/>
        <v>229417.53297907047</v>
      </c>
      <c r="BA47" s="119">
        <f t="shared" si="23"/>
        <v>231336.80428746011</v>
      </c>
      <c r="BB47" s="119">
        <f t="shared" si="23"/>
        <v>233176.46105686913</v>
      </c>
      <c r="BC47" s="119">
        <f t="shared" si="23"/>
        <v>234984.73462679415</v>
      </c>
      <c r="BD47" s="119">
        <f t="shared" si="23"/>
        <v>236759.68265031106</v>
      </c>
      <c r="BE47" s="119">
        <f t="shared" si="23"/>
        <v>238494.27633297761</v>
      </c>
      <c r="BF47" s="119">
        <f t="shared" si="23"/>
        <v>240182.29652907015</v>
      </c>
      <c r="BG47" s="119">
        <f t="shared" si="23"/>
        <v>241826.97236468509</v>
      </c>
      <c r="BH47" s="119">
        <f t="shared" si="23"/>
        <v>243429.23908329377</v>
      </c>
      <c r="BI47" s="119">
        <f t="shared" si="23"/>
        <v>244988.63002203929</v>
      </c>
      <c r="BJ47" s="119">
        <f t="shared" si="23"/>
        <v>246501.22361696919</v>
      </c>
      <c r="BK47" s="119">
        <f t="shared" si="23"/>
        <v>247966.04154007501</v>
      </c>
      <c r="BL47" s="119">
        <f t="shared" si="23"/>
        <v>249380.94424796585</v>
      </c>
      <c r="BM47" s="119">
        <f t="shared" si="23"/>
        <v>250747.58502647071</v>
      </c>
      <c r="BN47" s="119">
        <f t="shared" si="23"/>
        <v>252064.76974535908</v>
      </c>
      <c r="BO47" s="119">
        <f t="shared" si="23"/>
        <v>253331.28564903411</v>
      </c>
      <c r="BP47" s="114"/>
    </row>
    <row r="48" spans="1:81" x14ac:dyDescent="0.3">
      <c r="A48" s="388"/>
      <c r="D48" s="359" t="s">
        <v>494</v>
      </c>
      <c r="E48" s="115"/>
      <c r="F48" s="117" t="s">
        <v>495</v>
      </c>
      <c r="G48" s="120">
        <v>0</v>
      </c>
      <c r="H48" s="120">
        <v>0</v>
      </c>
      <c r="I48" s="120">
        <v>0</v>
      </c>
      <c r="J48" s="120">
        <v>0</v>
      </c>
      <c r="K48" s="118">
        <v>26517</v>
      </c>
      <c r="L48" s="119">
        <v>22493</v>
      </c>
      <c r="M48" s="119">
        <v>26280</v>
      </c>
      <c r="N48" s="119">
        <v>28021</v>
      </c>
      <c r="O48" s="119">
        <v>23134</v>
      </c>
      <c r="P48" s="119">
        <v>27020</v>
      </c>
      <c r="Q48" s="119">
        <v>19682</v>
      </c>
      <c r="R48" s="119">
        <v>18807</v>
      </c>
      <c r="S48" s="119">
        <v>22113.025127347406</v>
      </c>
      <c r="T48" s="119">
        <f>T64*1000000</f>
        <v>22003.48772439735</v>
      </c>
      <c r="U48" s="119">
        <f t="shared" ref="U48:BO48" si="25">U64*1000000</f>
        <v>23344.26528362924</v>
      </c>
      <c r="V48" s="119">
        <f t="shared" si="25"/>
        <v>23384.566245094873</v>
      </c>
      <c r="W48" s="119">
        <f t="shared" si="25"/>
        <v>24788.077101070361</v>
      </c>
      <c r="X48" s="119">
        <f t="shared" si="25"/>
        <v>25404.402312007613</v>
      </c>
      <c r="Y48" s="119">
        <f t="shared" si="25"/>
        <v>26048.52282289958</v>
      </c>
      <c r="Z48" s="119">
        <f t="shared" si="25"/>
        <v>26622.083897927976</v>
      </c>
      <c r="AA48" s="119">
        <f t="shared" si="25"/>
        <v>27292.733582322642</v>
      </c>
      <c r="AB48" s="119">
        <f t="shared" si="25"/>
        <v>26954.032485121472</v>
      </c>
      <c r="AC48" s="119">
        <f t="shared" si="25"/>
        <v>27455.471670323477</v>
      </c>
      <c r="AD48" s="119">
        <f t="shared" si="25"/>
        <v>28061.762541757587</v>
      </c>
      <c r="AE48" s="119">
        <f t="shared" si="25"/>
        <v>28504.393853525384</v>
      </c>
      <c r="AF48" s="119">
        <f t="shared" si="25"/>
        <v>28927.780891586517</v>
      </c>
      <c r="AG48" s="119">
        <f t="shared" si="25"/>
        <v>29336.894082594856</v>
      </c>
      <c r="AH48" s="119">
        <f t="shared" si="25"/>
        <v>29690.265556677205</v>
      </c>
      <c r="AI48" s="119">
        <f t="shared" si="25"/>
        <v>29998.569585389159</v>
      </c>
      <c r="AJ48" s="119">
        <f t="shared" si="25"/>
        <v>30441.164424121751</v>
      </c>
      <c r="AK48" s="119">
        <f t="shared" si="25"/>
        <v>30851.291257626435</v>
      </c>
      <c r="AL48" s="119">
        <f t="shared" si="25"/>
        <v>31238.900946660451</v>
      </c>
      <c r="AM48" s="119">
        <f t="shared" si="25"/>
        <v>31613.500190436196</v>
      </c>
      <c r="AN48" s="119">
        <f t="shared" si="25"/>
        <v>31937.803982567086</v>
      </c>
      <c r="AO48" s="119">
        <f t="shared" si="25"/>
        <v>32299.563767280313</v>
      </c>
      <c r="AP48" s="119">
        <f t="shared" si="25"/>
        <v>32632.248872325548</v>
      </c>
      <c r="AQ48" s="119">
        <f t="shared" si="25"/>
        <v>33015.194307996564</v>
      </c>
      <c r="AR48" s="119">
        <f t="shared" si="25"/>
        <v>33349.550264375554</v>
      </c>
      <c r="AS48" s="119">
        <f t="shared" si="25"/>
        <v>33672.595989160684</v>
      </c>
      <c r="AT48" s="119">
        <f t="shared" si="25"/>
        <v>33995.350606981541</v>
      </c>
      <c r="AU48" s="119">
        <f t="shared" si="25"/>
        <v>34313.681332400549</v>
      </c>
      <c r="AV48" s="119">
        <f t="shared" si="25"/>
        <v>34650.80970061729</v>
      </c>
      <c r="AW48" s="119">
        <f t="shared" si="25"/>
        <v>34964.949017369836</v>
      </c>
      <c r="AX48" s="119">
        <f t="shared" si="25"/>
        <v>35273.688586843382</v>
      </c>
      <c r="AY48" s="119">
        <f t="shared" si="25"/>
        <v>35580.778346593615</v>
      </c>
      <c r="AZ48" s="119">
        <f t="shared" si="25"/>
        <v>35882.561935941056</v>
      </c>
      <c r="BA48" s="119">
        <f t="shared" si="25"/>
        <v>36182.74985401726</v>
      </c>
      <c r="BB48" s="119">
        <f t="shared" si="25"/>
        <v>36470.485482205775</v>
      </c>
      <c r="BC48" s="119">
        <f t="shared" si="25"/>
        <v>36753.312550945455</v>
      </c>
      <c r="BD48" s="119">
        <f t="shared" si="25"/>
        <v>37030.927263124977</v>
      </c>
      <c r="BE48" s="119">
        <f t="shared" si="25"/>
        <v>37302.23026444202</v>
      </c>
      <c r="BF48" s="119">
        <f t="shared" si="25"/>
        <v>37566.248835511469</v>
      </c>
      <c r="BG48" s="119">
        <f t="shared" si="25"/>
        <v>37823.488035016686</v>
      </c>
      <c r="BH48" s="119">
        <f t="shared" si="25"/>
        <v>38074.094141802867</v>
      </c>
      <c r="BI48" s="119">
        <f t="shared" si="25"/>
        <v>38317.994166422977</v>
      </c>
      <c r="BJ48" s="119">
        <f t="shared" si="25"/>
        <v>38554.574747903345</v>
      </c>
      <c r="BK48" s="119">
        <f t="shared" si="25"/>
        <v>38783.682868665477</v>
      </c>
      <c r="BL48" s="119">
        <f t="shared" si="25"/>
        <v>39004.983888643997</v>
      </c>
      <c r="BM48" s="119">
        <f t="shared" si="25"/>
        <v>39218.736393703657</v>
      </c>
      <c r="BN48" s="119">
        <f t="shared" si="25"/>
        <v>39424.753613237168</v>
      </c>
      <c r="BO48" s="119">
        <f t="shared" si="25"/>
        <v>39622.845863495219</v>
      </c>
      <c r="BP48" s="114"/>
    </row>
    <row r="49" spans="1:68" x14ac:dyDescent="0.3">
      <c r="A49" s="388"/>
      <c r="D49" s="359"/>
      <c r="E49" s="115"/>
      <c r="F49" s="117" t="s">
        <v>496</v>
      </c>
      <c r="G49" s="121">
        <v>0</v>
      </c>
      <c r="H49" s="121">
        <v>0</v>
      </c>
      <c r="I49" s="121">
        <v>0</v>
      </c>
      <c r="J49" s="121">
        <v>0</v>
      </c>
      <c r="K49" s="121">
        <v>0</v>
      </c>
      <c r="L49" s="119">
        <v>10472.114714214915</v>
      </c>
      <c r="M49" s="119">
        <v>6695.6319092416825</v>
      </c>
      <c r="N49" s="119">
        <v>7335.2687453287053</v>
      </c>
      <c r="O49" s="119">
        <v>6007.0091686241994</v>
      </c>
      <c r="P49" s="119">
        <v>5242.5295496718272</v>
      </c>
      <c r="Q49" s="119">
        <v>5495.9927723928777</v>
      </c>
      <c r="R49" s="119">
        <v>4252.7158461846493</v>
      </c>
      <c r="S49" s="119">
        <v>3905.8495068835796</v>
      </c>
      <c r="T49" s="119">
        <f>T65*1000000</f>
        <v>3886.5017872100434</v>
      </c>
      <c r="U49" s="119">
        <f t="shared" ref="U49:BO54" si="26">U65*1000000</f>
        <v>4123.3248965950161</v>
      </c>
      <c r="V49" s="119">
        <f t="shared" si="26"/>
        <v>4130.4433025824819</v>
      </c>
      <c r="W49" s="119">
        <f t="shared" si="26"/>
        <v>4378.3470675873923</v>
      </c>
      <c r="X49" s="119">
        <f t="shared" si="26"/>
        <v>4487.2093108741374</v>
      </c>
      <c r="Y49" s="119">
        <f t="shared" si="26"/>
        <v>4600.9810705204291</v>
      </c>
      <c r="Z49" s="119">
        <f t="shared" si="26"/>
        <v>4702.2898344351752</v>
      </c>
      <c r="AA49" s="119">
        <f t="shared" si="26"/>
        <v>4820.7474730440617</v>
      </c>
      <c r="AB49" s="119">
        <f t="shared" si="26"/>
        <v>4760.9223018670946</v>
      </c>
      <c r="AC49" s="119">
        <f t="shared" si="26"/>
        <v>4849.4920919783181</v>
      </c>
      <c r="AD49" s="119">
        <f t="shared" si="26"/>
        <v>4956.5819581355399</v>
      </c>
      <c r="AE49" s="119">
        <f t="shared" si="26"/>
        <v>5034.7644447398443</v>
      </c>
      <c r="AF49" s="119">
        <f t="shared" si="26"/>
        <v>5109.5477927579705</v>
      </c>
      <c r="AG49" s="119">
        <f t="shared" si="26"/>
        <v>5181.8099344666289</v>
      </c>
      <c r="AH49" s="119">
        <f t="shared" si="26"/>
        <v>5244.2263514807055</v>
      </c>
      <c r="AI49" s="119">
        <f t="shared" si="26"/>
        <v>5298.6824528770521</v>
      </c>
      <c r="AJ49" s="119">
        <f t="shared" si="26"/>
        <v>5376.8584972064646</v>
      </c>
      <c r="AK49" s="119">
        <f t="shared" si="26"/>
        <v>5449.2996797755059</v>
      </c>
      <c r="AL49" s="119">
        <f t="shared" si="26"/>
        <v>5517.763632765118</v>
      </c>
      <c r="AM49" s="119">
        <f t="shared" si="26"/>
        <v>5583.9295355827744</v>
      </c>
      <c r="AN49" s="119">
        <f t="shared" si="26"/>
        <v>5641.2116939161633</v>
      </c>
      <c r="AO49" s="119">
        <f t="shared" si="26"/>
        <v>5705.1097480537237</v>
      </c>
      <c r="AP49" s="119">
        <f t="shared" si="26"/>
        <v>5763.8723074957352</v>
      </c>
      <c r="AQ49" s="119">
        <f t="shared" si="26"/>
        <v>5831.5124079553143</v>
      </c>
      <c r="AR49" s="119">
        <f t="shared" si="26"/>
        <v>5890.5700918237872</v>
      </c>
      <c r="AS49" s="119">
        <f t="shared" si="26"/>
        <v>5947.6300362495904</v>
      </c>
      <c r="AT49" s="119">
        <f t="shared" si="26"/>
        <v>6004.638562111616</v>
      </c>
      <c r="AU49" s="119">
        <f t="shared" si="26"/>
        <v>6060.8656906814667</v>
      </c>
      <c r="AV49" s="119">
        <f t="shared" si="26"/>
        <v>6120.4130688973646</v>
      </c>
      <c r="AW49" s="119">
        <f t="shared" si="26"/>
        <v>6175.8998640492964</v>
      </c>
      <c r="AX49" s="119">
        <f t="shared" si="26"/>
        <v>6230.4328955200735</v>
      </c>
      <c r="AY49" s="119">
        <f t="shared" si="26"/>
        <v>6284.674519168665</v>
      </c>
      <c r="AZ49" s="119">
        <f t="shared" si="26"/>
        <v>6337.9789077292562</v>
      </c>
      <c r="BA49" s="119">
        <f t="shared" si="26"/>
        <v>6391.0014510058127</v>
      </c>
      <c r="BB49" s="119">
        <f t="shared" si="26"/>
        <v>6441.8245317467226</v>
      </c>
      <c r="BC49" s="119">
        <f t="shared" si="26"/>
        <v>6491.7806078877493</v>
      </c>
      <c r="BD49" s="119">
        <f t="shared" si="26"/>
        <v>6540.816019389591</v>
      </c>
      <c r="BE49" s="119">
        <f t="shared" si="26"/>
        <v>6588.736586015264</v>
      </c>
      <c r="BF49" s="119">
        <f t="shared" si="26"/>
        <v>6635.3704952014104</v>
      </c>
      <c r="BG49" s="119">
        <f t="shared" si="26"/>
        <v>6680.8069560543408</v>
      </c>
      <c r="BH49" s="119">
        <f t="shared" si="26"/>
        <v>6725.0718059776682</v>
      </c>
      <c r="BI49" s="119">
        <f t="shared" si="26"/>
        <v>6768.1521527599461</v>
      </c>
      <c r="BJ49" s="119">
        <f t="shared" si="26"/>
        <v>6809.9396577345842</v>
      </c>
      <c r="BK49" s="119">
        <f t="shared" si="26"/>
        <v>6850.4072932276185</v>
      </c>
      <c r="BL49" s="119">
        <f t="shared" si="26"/>
        <v>6889.4959513726753</v>
      </c>
      <c r="BM49" s="119">
        <f t="shared" si="26"/>
        <v>6927.2513064936657</v>
      </c>
      <c r="BN49" s="119">
        <f t="shared" si="26"/>
        <v>6963.6403690796506</v>
      </c>
      <c r="BO49" s="119">
        <f t="shared" si="26"/>
        <v>6998.6296350680022</v>
      </c>
      <c r="BP49" s="114"/>
    </row>
    <row r="50" spans="1:68" x14ac:dyDescent="0.3">
      <c r="A50" s="388"/>
      <c r="D50" s="359"/>
      <c r="E50" s="115"/>
      <c r="F50" s="117" t="s">
        <v>497</v>
      </c>
      <c r="G50" s="118">
        <v>103211</v>
      </c>
      <c r="H50" s="118">
        <v>143087</v>
      </c>
      <c r="I50" s="118">
        <v>104271</v>
      </c>
      <c r="J50" s="118">
        <v>79623</v>
      </c>
      <c r="K50" s="118">
        <v>71840</v>
      </c>
      <c r="L50" s="119">
        <v>67872</v>
      </c>
      <c r="M50" s="119">
        <v>60317</v>
      </c>
      <c r="N50" s="119">
        <v>70583</v>
      </c>
      <c r="O50" s="119">
        <v>43719</v>
      </c>
      <c r="P50" s="119">
        <v>52715</v>
      </c>
      <c r="Q50" s="119">
        <v>44457</v>
      </c>
      <c r="R50" s="119">
        <v>62112</v>
      </c>
      <c r="S50" s="119">
        <v>44762.764854781381</v>
      </c>
      <c r="T50" s="119">
        <f t="shared" ref="T50:AI55" si="27">T66*1000000</f>
        <v>44541.031420173516</v>
      </c>
      <c r="U50" s="119">
        <f t="shared" si="27"/>
        <v>47255.129118739475</v>
      </c>
      <c r="V50" s="119">
        <f t="shared" si="27"/>
        <v>47336.709203378232</v>
      </c>
      <c r="W50" s="119">
        <f t="shared" si="27"/>
        <v>50177.796121850879</v>
      </c>
      <c r="X50" s="119">
        <f t="shared" si="27"/>
        <v>51425.405633999399</v>
      </c>
      <c r="Y50" s="119">
        <f t="shared" si="27"/>
        <v>52729.28037755681</v>
      </c>
      <c r="Z50" s="119">
        <f t="shared" si="27"/>
        <v>53890.323671429804</v>
      </c>
      <c r="AA50" s="119">
        <f t="shared" si="27"/>
        <v>55247.900662800632</v>
      </c>
      <c r="AB50" s="119">
        <f t="shared" si="27"/>
        <v>54562.277710592141</v>
      </c>
      <c r="AC50" s="119">
        <f t="shared" si="27"/>
        <v>55577.326723873077</v>
      </c>
      <c r="AD50" s="119">
        <f t="shared" si="27"/>
        <v>56804.62400931061</v>
      </c>
      <c r="AE50" s="119">
        <f t="shared" si="27"/>
        <v>57700.629924915615</v>
      </c>
      <c r="AF50" s="119">
        <f t="shared" si="27"/>
        <v>58557.680207188147</v>
      </c>
      <c r="AG50" s="119">
        <f t="shared" si="27"/>
        <v>59385.836348766796</v>
      </c>
      <c r="AH50" s="119">
        <f t="shared" si="27"/>
        <v>60101.156125669397</v>
      </c>
      <c r="AI50" s="119">
        <f t="shared" si="27"/>
        <v>60725.247160773761</v>
      </c>
      <c r="AJ50" s="119">
        <f t="shared" si="26"/>
        <v>61621.179245055864</v>
      </c>
      <c r="AK50" s="119">
        <f t="shared" si="26"/>
        <v>62451.387274173605</v>
      </c>
      <c r="AL50" s="119">
        <f t="shared" si="26"/>
        <v>63236.014491198155</v>
      </c>
      <c r="AM50" s="119">
        <f t="shared" si="26"/>
        <v>63994.305035678</v>
      </c>
      <c r="AN50" s="119">
        <f t="shared" si="26"/>
        <v>64650.783934655774</v>
      </c>
      <c r="AO50" s="119">
        <f t="shared" si="26"/>
        <v>65383.083929060798</v>
      </c>
      <c r="AP50" s="119">
        <f t="shared" si="26"/>
        <v>66056.528880263373</v>
      </c>
      <c r="AQ50" s="119">
        <f t="shared" si="26"/>
        <v>66831.714382492763</v>
      </c>
      <c r="AR50" s="119">
        <f t="shared" si="26"/>
        <v>67508.541590303372</v>
      </c>
      <c r="AS50" s="119">
        <f t="shared" si="26"/>
        <v>68162.473819504143</v>
      </c>
      <c r="AT50" s="119">
        <f t="shared" si="26"/>
        <v>68815.816769195939</v>
      </c>
      <c r="AU50" s="119">
        <f t="shared" si="26"/>
        <v>69460.204559917547</v>
      </c>
      <c r="AV50" s="119">
        <f t="shared" si="26"/>
        <v>70142.643881785771</v>
      </c>
      <c r="AW50" s="119">
        <f t="shared" si="26"/>
        <v>70778.547123719211</v>
      </c>
      <c r="AX50" s="119">
        <f t="shared" si="26"/>
        <v>71403.519811541089</v>
      </c>
      <c r="AY50" s="119">
        <f t="shared" si="26"/>
        <v>72025.152836685651</v>
      </c>
      <c r="AZ50" s="119">
        <f t="shared" si="26"/>
        <v>72636.044732715047</v>
      </c>
      <c r="BA50" s="119">
        <f t="shared" si="26"/>
        <v>73243.706556988647</v>
      </c>
      <c r="BB50" s="119">
        <f t="shared" si="26"/>
        <v>73826.161566684124</v>
      </c>
      <c r="BC50" s="119">
        <f t="shared" si="26"/>
        <v>74398.68031975624</v>
      </c>
      <c r="BD50" s="119">
        <f t="shared" si="26"/>
        <v>74960.647848394001</v>
      </c>
      <c r="BE50" s="119">
        <f t="shared" si="26"/>
        <v>75509.83876109877</v>
      </c>
      <c r="BF50" s="119">
        <f t="shared" si="26"/>
        <v>76044.284009816052</v>
      </c>
      <c r="BG50" s="119">
        <f t="shared" si="26"/>
        <v>76565.005970405866</v>
      </c>
      <c r="BH50" s="119">
        <f t="shared" si="26"/>
        <v>77072.300750954411</v>
      </c>
      <c r="BI50" s="119">
        <f t="shared" si="26"/>
        <v>77566.020601009819</v>
      </c>
      <c r="BJ50" s="119">
        <f t="shared" si="26"/>
        <v>78044.923911480742</v>
      </c>
      <c r="BK50" s="119">
        <f t="shared" si="26"/>
        <v>78508.700933255721</v>
      </c>
      <c r="BL50" s="119">
        <f t="shared" si="26"/>
        <v>78956.6742640132</v>
      </c>
      <c r="BM50" s="119">
        <f t="shared" si="26"/>
        <v>79389.367351729772</v>
      </c>
      <c r="BN50" s="119">
        <f t="shared" si="26"/>
        <v>79806.402122002328</v>
      </c>
      <c r="BO50" s="119">
        <f t="shared" si="26"/>
        <v>80207.394603437599</v>
      </c>
      <c r="BP50" s="114"/>
    </row>
    <row r="51" spans="1:68" x14ac:dyDescent="0.3">
      <c r="A51" s="388"/>
      <c r="D51" s="359"/>
      <c r="E51" s="115"/>
      <c r="F51" s="117" t="s">
        <v>498</v>
      </c>
      <c r="G51" s="118">
        <v>34907</v>
      </c>
      <c r="H51" s="118">
        <v>35226</v>
      </c>
      <c r="I51" s="118">
        <v>29336</v>
      </c>
      <c r="J51" s="118">
        <v>34471</v>
      </c>
      <c r="K51" s="118">
        <v>21770</v>
      </c>
      <c r="L51" s="119">
        <v>20313</v>
      </c>
      <c r="M51" s="119">
        <v>23958</v>
      </c>
      <c r="N51" s="119">
        <v>16581</v>
      </c>
      <c r="O51" s="119">
        <v>14676</v>
      </c>
      <c r="P51" s="119">
        <v>14842</v>
      </c>
      <c r="Q51" s="119">
        <v>23120</v>
      </c>
      <c r="R51" s="119">
        <v>18135</v>
      </c>
      <c r="S51" s="119">
        <v>12868.210280214884</v>
      </c>
      <c r="T51" s="119">
        <f t="shared" si="27"/>
        <v>12804.467290434315</v>
      </c>
      <c r="U51" s="119">
        <f t="shared" si="26"/>
        <v>13584.704615351555</v>
      </c>
      <c r="V51" s="119">
        <f t="shared" si="26"/>
        <v>13608.1569129747</v>
      </c>
      <c r="W51" s="119">
        <f t="shared" si="26"/>
        <v>14424.900561627328</v>
      </c>
      <c r="X51" s="119">
        <f t="shared" si="26"/>
        <v>14783.558066408526</v>
      </c>
      <c r="Y51" s="119">
        <f t="shared" si="26"/>
        <v>15158.390461895953</v>
      </c>
      <c r="Z51" s="119">
        <f t="shared" si="26"/>
        <v>15492.162276448984</v>
      </c>
      <c r="AA51" s="119">
        <f t="shared" si="26"/>
        <v>15882.432766960812</v>
      </c>
      <c r="AB51" s="119">
        <f t="shared" si="26"/>
        <v>15685.332781055491</v>
      </c>
      <c r="AC51" s="119">
        <f t="shared" si="26"/>
        <v>15977.134777424546</v>
      </c>
      <c r="AD51" s="119">
        <f t="shared" si="26"/>
        <v>16329.953009197829</v>
      </c>
      <c r="AE51" s="119">
        <f t="shared" si="26"/>
        <v>16587.532999435851</v>
      </c>
      <c r="AF51" s="119">
        <f t="shared" si="26"/>
        <v>16833.914188997751</v>
      </c>
      <c r="AG51" s="119">
        <f t="shared" si="26"/>
        <v>17071.989013224054</v>
      </c>
      <c r="AH51" s="119">
        <f t="shared" si="26"/>
        <v>17277.62611666575</v>
      </c>
      <c r="AI51" s="119">
        <f t="shared" si="26"/>
        <v>17457.037167340877</v>
      </c>
      <c r="AJ51" s="119">
        <f t="shared" si="26"/>
        <v>17714.595932862521</v>
      </c>
      <c r="AK51" s="119">
        <f t="shared" si="26"/>
        <v>17953.260625038449</v>
      </c>
      <c r="AL51" s="119">
        <f t="shared" si="26"/>
        <v>18178.821938174657</v>
      </c>
      <c r="AM51" s="119">
        <f t="shared" si="26"/>
        <v>18396.812096099922</v>
      </c>
      <c r="AN51" s="119">
        <f t="shared" si="26"/>
        <v>18585.533872870768</v>
      </c>
      <c r="AO51" s="119">
        <f t="shared" si="26"/>
        <v>18796.05237740853</v>
      </c>
      <c r="AP51" s="119">
        <f t="shared" si="26"/>
        <v>18989.651483101356</v>
      </c>
      <c r="AQ51" s="119">
        <f t="shared" si="26"/>
        <v>19212.498532009598</v>
      </c>
      <c r="AR51" s="119">
        <f t="shared" si="26"/>
        <v>19407.069954524111</v>
      </c>
      <c r="AS51" s="119">
        <f t="shared" si="26"/>
        <v>19595.059625440663</v>
      </c>
      <c r="AT51" s="119">
        <f t="shared" si="26"/>
        <v>19782.879892776804</v>
      </c>
      <c r="AU51" s="119">
        <f t="shared" si="26"/>
        <v>19968.125768895272</v>
      </c>
      <c r="AV51" s="119">
        <f t="shared" si="26"/>
        <v>20164.310538218102</v>
      </c>
      <c r="AW51" s="119">
        <f t="shared" si="26"/>
        <v>20347.117312143189</v>
      </c>
      <c r="AX51" s="119">
        <f t="shared" si="26"/>
        <v>20526.781816611881</v>
      </c>
      <c r="AY51" s="119">
        <f t="shared" si="26"/>
        <v>20705.486248981902</v>
      </c>
      <c r="AZ51" s="119">
        <f t="shared" si="26"/>
        <v>20881.102866992172</v>
      </c>
      <c r="BA51" s="119">
        <f t="shared" si="26"/>
        <v>21055.790917638267</v>
      </c>
      <c r="BB51" s="119">
        <f t="shared" si="26"/>
        <v>21223.232619862018</v>
      </c>
      <c r="BC51" s="119">
        <f t="shared" si="26"/>
        <v>21387.8178890651</v>
      </c>
      <c r="BD51" s="119">
        <f t="shared" si="26"/>
        <v>21549.369936902709</v>
      </c>
      <c r="BE51" s="119">
        <f t="shared" si="26"/>
        <v>21707.249017240913</v>
      </c>
      <c r="BF51" s="119">
        <f t="shared" si="26"/>
        <v>21860.889076474679</v>
      </c>
      <c r="BG51" s="119">
        <f t="shared" si="26"/>
        <v>22010.584022891282</v>
      </c>
      <c r="BH51" s="119">
        <f t="shared" si="26"/>
        <v>22156.41898039071</v>
      </c>
      <c r="BI51" s="119">
        <f t="shared" si="26"/>
        <v>22298.351474298102</v>
      </c>
      <c r="BJ51" s="119">
        <f t="shared" si="26"/>
        <v>22436.02457208425</v>
      </c>
      <c r="BK51" s="119">
        <f t="shared" si="26"/>
        <v>22569.349228384937</v>
      </c>
      <c r="BL51" s="119">
        <f t="shared" si="26"/>
        <v>22698.13070644638</v>
      </c>
      <c r="BM51" s="119">
        <f t="shared" si="26"/>
        <v>22822.51948487854</v>
      </c>
      <c r="BN51" s="119">
        <f t="shared" si="26"/>
        <v>22942.406876451383</v>
      </c>
      <c r="BO51" s="119">
        <f t="shared" si="26"/>
        <v>23057.682498693091</v>
      </c>
      <c r="BP51" s="114"/>
    </row>
    <row r="52" spans="1:68" x14ac:dyDescent="0.3">
      <c r="A52" s="388"/>
      <c r="D52" s="359"/>
      <c r="E52" s="115"/>
      <c r="F52" s="117" t="s">
        <v>499</v>
      </c>
      <c r="G52" s="118">
        <v>61058</v>
      </c>
      <c r="H52" s="118">
        <v>61837</v>
      </c>
      <c r="I52" s="118">
        <v>49937</v>
      </c>
      <c r="J52" s="118">
        <v>65528</v>
      </c>
      <c r="K52" s="118">
        <v>51978</v>
      </c>
      <c r="L52" s="119">
        <v>47607</v>
      </c>
      <c r="M52" s="119">
        <v>47680</v>
      </c>
      <c r="N52" s="119">
        <v>46607</v>
      </c>
      <c r="O52" s="119">
        <v>34856</v>
      </c>
      <c r="P52" s="119">
        <v>33276</v>
      </c>
      <c r="Q52" s="119">
        <v>39844</v>
      </c>
      <c r="R52" s="119">
        <v>36564</v>
      </c>
      <c r="S52" s="119">
        <v>35622.878195690326</v>
      </c>
      <c r="T52" s="119">
        <f t="shared" si="27"/>
        <v>35446.419409943446</v>
      </c>
      <c r="U52" s="119">
        <f t="shared" si="26"/>
        <v>37606.338977934378</v>
      </c>
      <c r="V52" s="119">
        <f t="shared" si="26"/>
        <v>37671.261630226036</v>
      </c>
      <c r="W52" s="119">
        <f t="shared" si="26"/>
        <v>39932.241119952749</v>
      </c>
      <c r="X52" s="119">
        <f t="shared" si="26"/>
        <v>40925.10744157595</v>
      </c>
      <c r="Y52" s="119">
        <f t="shared" si="26"/>
        <v>41962.750476425739</v>
      </c>
      <c r="Z52" s="119">
        <f t="shared" si="26"/>
        <v>42886.726105986141</v>
      </c>
      <c r="AA52" s="119">
        <f t="shared" si="26"/>
        <v>43967.106193359345</v>
      </c>
      <c r="AB52" s="119">
        <f t="shared" si="26"/>
        <v>43421.477186886477</v>
      </c>
      <c r="AC52" s="119">
        <f t="shared" si="26"/>
        <v>44229.268382985938</v>
      </c>
      <c r="AD52" s="119">
        <f t="shared" si="26"/>
        <v>45205.969930597617</v>
      </c>
      <c r="AE52" s="119">
        <f t="shared" si="26"/>
        <v>45919.024847955021</v>
      </c>
      <c r="AF52" s="119">
        <f t="shared" si="26"/>
        <v>46601.078289292338</v>
      </c>
      <c r="AG52" s="119">
        <f t="shared" si="26"/>
        <v>47260.137341032692</v>
      </c>
      <c r="AH52" s="119">
        <f t="shared" si="26"/>
        <v>47829.399525042936</v>
      </c>
      <c r="AI52" s="119">
        <f t="shared" si="26"/>
        <v>48326.060510991178</v>
      </c>
      <c r="AJ52" s="119">
        <f t="shared" si="26"/>
        <v>49039.056672276849</v>
      </c>
      <c r="AK52" s="119">
        <f t="shared" si="26"/>
        <v>49699.748646829583</v>
      </c>
      <c r="AL52" s="119">
        <f t="shared" si="26"/>
        <v>50324.166728951335</v>
      </c>
      <c r="AM52" s="119">
        <f t="shared" si="26"/>
        <v>50927.625692904578</v>
      </c>
      <c r="AN52" s="119">
        <f t="shared" si="26"/>
        <v>51450.061425643464</v>
      </c>
      <c r="AO52" s="119">
        <f t="shared" si="26"/>
        <v>52032.836720869855</v>
      </c>
      <c r="AP52" s="119">
        <f t="shared" si="26"/>
        <v>52568.774291884976</v>
      </c>
      <c r="AQ52" s="119">
        <f t="shared" si="26"/>
        <v>53185.678516067019</v>
      </c>
      <c r="AR52" s="119">
        <f t="shared" si="26"/>
        <v>53724.307737510004</v>
      </c>
      <c r="AS52" s="119">
        <f t="shared" si="26"/>
        <v>54244.716792326624</v>
      </c>
      <c r="AT52" s="119">
        <f t="shared" si="26"/>
        <v>54764.656889690785</v>
      </c>
      <c r="AU52" s="119">
        <f t="shared" si="26"/>
        <v>55277.470337522616</v>
      </c>
      <c r="AV52" s="119">
        <f t="shared" si="26"/>
        <v>55820.56576332415</v>
      </c>
      <c r="AW52" s="119">
        <f t="shared" si="26"/>
        <v>56326.627080249702</v>
      </c>
      <c r="AX52" s="119">
        <f t="shared" si="26"/>
        <v>56823.989698625439</v>
      </c>
      <c r="AY52" s="119">
        <f t="shared" si="26"/>
        <v>57318.694563460842</v>
      </c>
      <c r="AZ52" s="119">
        <f t="shared" si="26"/>
        <v>57804.851476993535</v>
      </c>
      <c r="BA52" s="119">
        <f t="shared" si="26"/>
        <v>58288.437851081333</v>
      </c>
      <c r="BB52" s="119">
        <f t="shared" si="26"/>
        <v>58751.964264880036</v>
      </c>
      <c r="BC52" s="119">
        <f t="shared" si="26"/>
        <v>59207.583256950813</v>
      </c>
      <c r="BD52" s="119">
        <f t="shared" si="26"/>
        <v>59654.805426705985</v>
      </c>
      <c r="BE52" s="119">
        <f t="shared" si="26"/>
        <v>60091.859774285505</v>
      </c>
      <c r="BF52" s="119">
        <f t="shared" si="26"/>
        <v>60517.179301778633</v>
      </c>
      <c r="BG52" s="119">
        <f t="shared" si="26"/>
        <v>60931.577631195745</v>
      </c>
      <c r="BH52" s="119">
        <f t="shared" si="26"/>
        <v>61335.290409783403</v>
      </c>
      <c r="BI52" s="119">
        <f t="shared" si="26"/>
        <v>61728.2000555208</v>
      </c>
      <c r="BJ52" s="119">
        <f t="shared" si="26"/>
        <v>62109.318477310961</v>
      </c>
      <c r="BK52" s="119">
        <f t="shared" si="26"/>
        <v>62478.399172175261</v>
      </c>
      <c r="BL52" s="119">
        <f t="shared" si="26"/>
        <v>62834.903053208131</v>
      </c>
      <c r="BM52" s="119">
        <f t="shared" si="26"/>
        <v>63179.246688143314</v>
      </c>
      <c r="BN52" s="119">
        <f t="shared" si="26"/>
        <v>63511.129199712523</v>
      </c>
      <c r="BO52" s="119">
        <f t="shared" si="26"/>
        <v>63830.245017734436</v>
      </c>
      <c r="BP52" s="114"/>
    </row>
    <row r="53" spans="1:68" x14ac:dyDescent="0.3">
      <c r="A53" s="388"/>
      <c r="D53" s="359"/>
      <c r="E53" s="115"/>
      <c r="F53" s="117" t="s">
        <v>500</v>
      </c>
      <c r="G53" s="118">
        <f>42013+113135</f>
        <v>155148</v>
      </c>
      <c r="H53" s="118">
        <f>35077+115349</f>
        <v>150426</v>
      </c>
      <c r="I53" s="118">
        <f>27266+91778</f>
        <v>119044</v>
      </c>
      <c r="J53" s="118">
        <f>24029+121824</f>
        <v>145853</v>
      </c>
      <c r="K53" s="118">
        <f>52403+106805</f>
        <v>159208</v>
      </c>
      <c r="L53" s="119">
        <f>57855+105817</f>
        <v>163672</v>
      </c>
      <c r="M53" s="119">
        <f>67426+ 94911</f>
        <v>162337</v>
      </c>
      <c r="N53" s="119">
        <f>69490+99463</f>
        <v>168953</v>
      </c>
      <c r="O53" s="119">
        <f>68286+100603</f>
        <v>168889</v>
      </c>
      <c r="P53" s="119">
        <f>64535+135813</f>
        <v>200348</v>
      </c>
      <c r="Q53" s="119">
        <f>64074.3308927988+127895</f>
        <v>191969.33089279878</v>
      </c>
      <c r="R53" s="119">
        <f>70140+112045</f>
        <v>182185</v>
      </c>
      <c r="S53" s="119">
        <f>31472.2969841749+114526</f>
        <v>145998.2969841749</v>
      </c>
      <c r="T53" s="119">
        <f t="shared" si="27"/>
        <v>145275.09090112301</v>
      </c>
      <c r="U53" s="119">
        <f t="shared" si="26"/>
        <v>154127.39578275438</v>
      </c>
      <c r="V53" s="119">
        <f t="shared" si="26"/>
        <v>154393.47750187342</v>
      </c>
      <c r="W53" s="119">
        <f t="shared" si="26"/>
        <v>163659.97060225927</v>
      </c>
      <c r="X53" s="119">
        <f t="shared" si="26"/>
        <v>167729.17554672289</v>
      </c>
      <c r="Y53" s="119">
        <f t="shared" si="26"/>
        <v>171981.89524930684</v>
      </c>
      <c r="Z53" s="119">
        <f t="shared" si="26"/>
        <v>175768.75569414924</v>
      </c>
      <c r="AA53" s="119">
        <f t="shared" si="26"/>
        <v>180196.63072394353</v>
      </c>
      <c r="AB53" s="119">
        <f t="shared" si="26"/>
        <v>177960.40193601133</v>
      </c>
      <c r="AC53" s="119">
        <f t="shared" si="26"/>
        <v>181271.08722936304</v>
      </c>
      <c r="AD53" s="119">
        <f t="shared" si="26"/>
        <v>185274.04178653762</v>
      </c>
      <c r="AE53" s="119">
        <f t="shared" si="26"/>
        <v>188196.45594460994</v>
      </c>
      <c r="AF53" s="119">
        <f t="shared" si="26"/>
        <v>190991.81235406175</v>
      </c>
      <c r="AG53" s="119">
        <f t="shared" si="26"/>
        <v>193692.92759347378</v>
      </c>
      <c r="AH53" s="119">
        <f t="shared" si="26"/>
        <v>196026.01558671295</v>
      </c>
      <c r="AI53" s="119">
        <f t="shared" si="26"/>
        <v>198061.55178703312</v>
      </c>
      <c r="AJ53" s="119">
        <f t="shared" si="26"/>
        <v>200983.72513675858</v>
      </c>
      <c r="AK53" s="119">
        <f t="shared" si="26"/>
        <v>203691.53281546212</v>
      </c>
      <c r="AL53" s="119">
        <f t="shared" si="26"/>
        <v>206250.67405315494</v>
      </c>
      <c r="AM53" s="119">
        <f t="shared" si="26"/>
        <v>208723.91556253046</v>
      </c>
      <c r="AN53" s="119">
        <f t="shared" si="26"/>
        <v>210865.08806534033</v>
      </c>
      <c r="AO53" s="119">
        <f t="shared" si="26"/>
        <v>213253.55875993447</v>
      </c>
      <c r="AP53" s="119">
        <f t="shared" si="26"/>
        <v>215450.06776260986</v>
      </c>
      <c r="AQ53" s="119">
        <f t="shared" si="26"/>
        <v>217978.41389001004</v>
      </c>
      <c r="AR53" s="119">
        <f t="shared" si="26"/>
        <v>220185.95446560852</v>
      </c>
      <c r="AS53" s="119">
        <f t="shared" si="26"/>
        <v>222318.82074668189</v>
      </c>
      <c r="AT53" s="119">
        <f t="shared" si="26"/>
        <v>224449.76503287762</v>
      </c>
      <c r="AU53" s="119">
        <f t="shared" si="26"/>
        <v>226551.50115994576</v>
      </c>
      <c r="AV53" s="119">
        <f t="shared" si="26"/>
        <v>228777.34621466993</v>
      </c>
      <c r="AW53" s="119">
        <f t="shared" si="26"/>
        <v>230851.4091254439</v>
      </c>
      <c r="AX53" s="119">
        <f t="shared" si="26"/>
        <v>232889.82092551098</v>
      </c>
      <c r="AY53" s="119">
        <f t="shared" si="26"/>
        <v>234917.34007707951</v>
      </c>
      <c r="AZ53" s="119">
        <f t="shared" si="26"/>
        <v>236909.82594677666</v>
      </c>
      <c r="BA53" s="119">
        <f t="shared" si="26"/>
        <v>238891.77660987925</v>
      </c>
      <c r="BB53" s="119">
        <f t="shared" si="26"/>
        <v>240791.51269100196</v>
      </c>
      <c r="BC53" s="119">
        <f t="shared" si="26"/>
        <v>242658.84066350776</v>
      </c>
      <c r="BD53" s="119">
        <f t="shared" si="26"/>
        <v>244491.75474751688</v>
      </c>
      <c r="BE53" s="119">
        <f t="shared" si="26"/>
        <v>246282.99660297873</v>
      </c>
      <c r="BF53" s="119">
        <f t="shared" si="26"/>
        <v>248026.1439799816</v>
      </c>
      <c r="BG53" s="119">
        <f t="shared" si="26"/>
        <v>249724.53146107245</v>
      </c>
      <c r="BH53" s="119">
        <f t="shared" si="26"/>
        <v>251379.12483280283</v>
      </c>
      <c r="BI53" s="119">
        <f t="shared" si="26"/>
        <v>252989.44219209062</v>
      </c>
      <c r="BJ53" s="119">
        <f t="shared" si="26"/>
        <v>254551.43390497225</v>
      </c>
      <c r="BK53" s="119">
        <f t="shared" si="26"/>
        <v>256064.08969330895</v>
      </c>
      <c r="BL53" s="119">
        <f t="shared" si="26"/>
        <v>257525.20014073333</v>
      </c>
      <c r="BM53" s="119">
        <f t="shared" si="26"/>
        <v>258936.47252590407</v>
      </c>
      <c r="BN53" s="119">
        <f t="shared" si="26"/>
        <v>260296.67372081478</v>
      </c>
      <c r="BO53" s="119">
        <f t="shared" si="26"/>
        <v>261604.55136382754</v>
      </c>
      <c r="BP53" s="114"/>
    </row>
    <row r="54" spans="1:68" x14ac:dyDescent="0.3">
      <c r="A54" s="388"/>
      <c r="D54" s="359"/>
      <c r="E54" s="115"/>
      <c r="F54" s="117" t="s">
        <v>501</v>
      </c>
      <c r="G54" s="118">
        <v>2664</v>
      </c>
      <c r="H54" s="118">
        <v>1583</v>
      </c>
      <c r="I54" s="118">
        <v>3077</v>
      </c>
      <c r="J54" s="118">
        <v>1325</v>
      </c>
      <c r="K54" s="118">
        <v>9670</v>
      </c>
      <c r="L54" s="119">
        <v>9951.4822792642935</v>
      </c>
      <c r="M54" s="119">
        <v>15220.368090758318</v>
      </c>
      <c r="N54" s="119">
        <v>21834.731254671293</v>
      </c>
      <c r="O54" s="119">
        <v>22317.990831375799</v>
      </c>
      <c r="P54" s="119">
        <v>18864.470450328172</v>
      </c>
      <c r="Q54" s="119">
        <v>16995.821880195614</v>
      </c>
      <c r="R54" s="119">
        <v>13486.945735989684</v>
      </c>
      <c r="S54" s="119">
        <v>15333.459965277645</v>
      </c>
      <c r="T54" s="119">
        <f t="shared" si="27"/>
        <v>15257.505301763154</v>
      </c>
      <c r="U54" s="119">
        <f t="shared" si="26"/>
        <v>16187.217944354043</v>
      </c>
      <c r="V54" s="119">
        <f t="shared" si="26"/>
        <v>16215.163156537215</v>
      </c>
      <c r="W54" s="119">
        <f t="shared" si="26"/>
        <v>17188.375885098623</v>
      </c>
      <c r="X54" s="119">
        <f t="shared" si="26"/>
        <v>17615.743822912351</v>
      </c>
      <c r="Y54" s="119">
        <f t="shared" si="26"/>
        <v>18062.385384150468</v>
      </c>
      <c r="Z54" s="119">
        <f t="shared" si="26"/>
        <v>18460.100112503627</v>
      </c>
      <c r="AA54" s="119">
        <f t="shared" si="26"/>
        <v>18925.137348574695</v>
      </c>
      <c r="AB54" s="119">
        <f t="shared" si="26"/>
        <v>18690.277591294944</v>
      </c>
      <c r="AC54" s="119">
        <f t="shared" si="26"/>
        <v>19037.982060811762</v>
      </c>
      <c r="AD54" s="119">
        <f t="shared" si="26"/>
        <v>19458.392056771616</v>
      </c>
      <c r="AE54" s="119">
        <f t="shared" si="26"/>
        <v>19765.318380026059</v>
      </c>
      <c r="AF54" s="119">
        <f t="shared" si="26"/>
        <v>20058.900472957306</v>
      </c>
      <c r="AG54" s="119">
        <f t="shared" si="26"/>
        <v>20342.584894218846</v>
      </c>
      <c r="AH54" s="119">
        <f t="shared" si="26"/>
        <v>20587.617282121839</v>
      </c>
      <c r="AI54" s="119">
        <f t="shared" si="26"/>
        <v>20801.39931574971</v>
      </c>
      <c r="AJ54" s="119">
        <f t="shared" si="26"/>
        <v>21108.300348125951</v>
      </c>
      <c r="AK54" s="119">
        <f t="shared" si="26"/>
        <v>21392.687642311805</v>
      </c>
      <c r="AL54" s="119">
        <f t="shared" si="26"/>
        <v>21661.461254910224</v>
      </c>
      <c r="AM54" s="119">
        <f t="shared" si="26"/>
        <v>21921.213255117342</v>
      </c>
      <c r="AN54" s="119">
        <f t="shared" si="26"/>
        <v>22146.08973332823</v>
      </c>
      <c r="AO54" s="119">
        <f t="shared" si="26"/>
        <v>22396.938685201741</v>
      </c>
      <c r="AP54" s="119">
        <f t="shared" si="26"/>
        <v>22627.626875075253</v>
      </c>
      <c r="AQ54" s="119">
        <f t="shared" si="26"/>
        <v>22893.16623357241</v>
      </c>
      <c r="AR54" s="119">
        <f t="shared" si="26"/>
        <v>23125.013013547756</v>
      </c>
      <c r="AS54" s="119">
        <f t="shared" si="26"/>
        <v>23349.017131456567</v>
      </c>
      <c r="AT54" s="119">
        <f t="shared" si="26"/>
        <v>23572.819392000474</v>
      </c>
      <c r="AU54" s="119">
        <f t="shared" si="26"/>
        <v>23793.554067867757</v>
      </c>
      <c r="AV54" s="119">
        <f t="shared" si="26"/>
        <v>24027.323274362159</v>
      </c>
      <c r="AW54" s="119">
        <f t="shared" si="26"/>
        <v>24245.151572806401</v>
      </c>
      <c r="AX54" s="119">
        <f t="shared" si="26"/>
        <v>24459.235616077578</v>
      </c>
      <c r="AY54" s="119">
        <f t="shared" si="26"/>
        <v>24672.175659773973</v>
      </c>
      <c r="AZ54" s="119">
        <f t="shared" si="26"/>
        <v>24881.436335723458</v>
      </c>
      <c r="BA54" s="119">
        <f t="shared" si="26"/>
        <v>25089.590552406778</v>
      </c>
      <c r="BB54" s="119">
        <f t="shared" si="26"/>
        <v>25289.110188910796</v>
      </c>
      <c r="BC54" s="119">
        <f t="shared" si="26"/>
        <v>25485.226166288016</v>
      </c>
      <c r="BD54" s="119">
        <f t="shared" ref="U54:BO55" si="28">BD70*1000000</f>
        <v>25677.727827660092</v>
      </c>
      <c r="BE54" s="119">
        <f t="shared" si="28"/>
        <v>25865.852866418802</v>
      </c>
      <c r="BF54" s="119">
        <f t="shared" si="28"/>
        <v>26048.926786258766</v>
      </c>
      <c r="BG54" s="119">
        <f t="shared" si="28"/>
        <v>26227.299801456735</v>
      </c>
      <c r="BH54" s="119">
        <f t="shared" si="28"/>
        <v>26401.073343671345</v>
      </c>
      <c r="BI54" s="119">
        <f t="shared" si="28"/>
        <v>26570.196801068301</v>
      </c>
      <c r="BJ54" s="119">
        <f t="shared" si="28"/>
        <v>26734.244861150546</v>
      </c>
      <c r="BK54" s="119">
        <f t="shared" si="28"/>
        <v>26893.1114195339</v>
      </c>
      <c r="BL54" s="119">
        <f t="shared" si="28"/>
        <v>27046.564432433483</v>
      </c>
      <c r="BM54" s="119">
        <f t="shared" si="28"/>
        <v>27194.783206659751</v>
      </c>
      <c r="BN54" s="119">
        <f t="shared" si="28"/>
        <v>27337.638233038218</v>
      </c>
      <c r="BO54" s="119">
        <f t="shared" si="28"/>
        <v>27474.997982383735</v>
      </c>
      <c r="BP54" s="114"/>
    </row>
    <row r="55" spans="1:68" x14ac:dyDescent="0.3">
      <c r="D55" s="359"/>
      <c r="E55" s="115"/>
      <c r="F55" s="117" t="s">
        <v>506</v>
      </c>
      <c r="G55" s="119">
        <f>G71*1000000</f>
        <v>5411</v>
      </c>
      <c r="H55" s="119">
        <f t="shared" ref="H55:R55" si="29">H71*1000000</f>
        <v>5823</v>
      </c>
      <c r="I55" s="119">
        <f t="shared" si="29"/>
        <v>6293</v>
      </c>
      <c r="J55" s="119">
        <f t="shared" si="29"/>
        <v>9202</v>
      </c>
      <c r="K55" s="119">
        <f t="shared" si="29"/>
        <v>6731</v>
      </c>
      <c r="L55" s="119">
        <f t="shared" si="29"/>
        <v>7628</v>
      </c>
      <c r="M55" s="119">
        <f t="shared" si="29"/>
        <v>8352</v>
      </c>
      <c r="N55" s="119">
        <f t="shared" si="29"/>
        <v>8848</v>
      </c>
      <c r="O55" s="119">
        <f t="shared" si="29"/>
        <v>6960</v>
      </c>
      <c r="P55" s="119">
        <f t="shared" si="29"/>
        <v>8618</v>
      </c>
      <c r="Q55" s="119">
        <f t="shared" si="29"/>
        <v>4930</v>
      </c>
      <c r="R55" s="119">
        <f t="shared" si="29"/>
        <v>6963</v>
      </c>
      <c r="S55" s="119">
        <v>7111</v>
      </c>
      <c r="T55" s="119">
        <f t="shared" si="27"/>
        <v>7075.7754901063026</v>
      </c>
      <c r="U55" s="119">
        <f t="shared" si="28"/>
        <v>7506.9362728934057</v>
      </c>
      <c r="V55" s="119">
        <f t="shared" si="28"/>
        <v>7519.8960617658786</v>
      </c>
      <c r="W55" s="119">
        <f t="shared" si="28"/>
        <v>7971.2303156441003</v>
      </c>
      <c r="X55" s="119">
        <f t="shared" si="28"/>
        <v>8169.4252052955699</v>
      </c>
      <c r="Y55" s="119">
        <f t="shared" si="28"/>
        <v>8376.558373488293</v>
      </c>
      <c r="Z55" s="119">
        <f t="shared" si="28"/>
        <v>8561.0013785063129</v>
      </c>
      <c r="AA55" s="119">
        <f t="shared" si="28"/>
        <v>8776.6656704006236</v>
      </c>
      <c r="AB55" s="119">
        <f t="shared" si="28"/>
        <v>8667.7478046483284</v>
      </c>
      <c r="AC55" s="119">
        <f t="shared" si="28"/>
        <v>8828.9982000798282</v>
      </c>
      <c r="AD55" s="119">
        <f t="shared" si="28"/>
        <v>9023.9662952155813</v>
      </c>
      <c r="AE55" s="119">
        <f t="shared" si="28"/>
        <v>9166.3055382569237</v>
      </c>
      <c r="AF55" s="119">
        <f t="shared" si="28"/>
        <v>9302.4563005481177</v>
      </c>
      <c r="AG55" s="119">
        <f t="shared" si="28"/>
        <v>9434.0169479270462</v>
      </c>
      <c r="AH55" s="119">
        <f t="shared" si="28"/>
        <v>9547.6524427419081</v>
      </c>
      <c r="AI55" s="119">
        <f t="shared" si="28"/>
        <v>9646.7953657723447</v>
      </c>
      <c r="AJ55" s="119">
        <f t="shared" si="28"/>
        <v>9789.1228799908822</v>
      </c>
      <c r="AK55" s="119">
        <f t="shared" si="28"/>
        <v>9921.0094896363917</v>
      </c>
      <c r="AL55" s="119">
        <f t="shared" si="28"/>
        <v>10045.655144531984</v>
      </c>
      <c r="AM55" s="119">
        <f t="shared" si="28"/>
        <v>10166.116963172755</v>
      </c>
      <c r="AN55" s="119">
        <f t="shared" si="28"/>
        <v>10270.405012978785</v>
      </c>
      <c r="AO55" s="119">
        <f t="shared" si="28"/>
        <v>10386.737980281136</v>
      </c>
      <c r="AP55" s="119">
        <f t="shared" si="28"/>
        <v>10493.721252282712</v>
      </c>
      <c r="AQ55" s="119">
        <f t="shared" si="28"/>
        <v>10616.866999071055</v>
      </c>
      <c r="AR55" s="119">
        <f t="shared" si="28"/>
        <v>10724.387575388342</v>
      </c>
      <c r="AS55" s="119">
        <f t="shared" si="28"/>
        <v>10828.271061963234</v>
      </c>
      <c r="AT55" s="119">
        <f t="shared" si="28"/>
        <v>10932.060935764161</v>
      </c>
      <c r="AU55" s="119">
        <f t="shared" si="28"/>
        <v>11034.428195576798</v>
      </c>
      <c r="AV55" s="119">
        <f t="shared" si="28"/>
        <v>11142.840310725369</v>
      </c>
      <c r="AW55" s="119">
        <f t="shared" si="28"/>
        <v>11243.859717548396</v>
      </c>
      <c r="AX55" s="119">
        <f t="shared" si="28"/>
        <v>11343.142699676937</v>
      </c>
      <c r="AY55" s="119">
        <f t="shared" si="28"/>
        <v>11441.895143949396</v>
      </c>
      <c r="AZ55" s="119">
        <f t="shared" si="28"/>
        <v>11538.941255528027</v>
      </c>
      <c r="BA55" s="119">
        <f t="shared" si="28"/>
        <v>11635.474238832963</v>
      </c>
      <c r="BB55" s="119">
        <f t="shared" si="28"/>
        <v>11728.002874795942</v>
      </c>
      <c r="BC55" s="119">
        <f t="shared" si="28"/>
        <v>11818.953039878539</v>
      </c>
      <c r="BD55" s="119">
        <f t="shared" si="28"/>
        <v>11908.22704047049</v>
      </c>
      <c r="BE55" s="119">
        <f t="shared" si="28"/>
        <v>11995.471351515913</v>
      </c>
      <c r="BF55" s="119">
        <f t="shared" si="28"/>
        <v>12080.373170605015</v>
      </c>
      <c r="BG55" s="119">
        <f t="shared" si="28"/>
        <v>12163.094912074001</v>
      </c>
      <c r="BH55" s="119">
        <f t="shared" si="28"/>
        <v>12243.683615568603</v>
      </c>
      <c r="BI55" s="119">
        <f t="shared" si="28"/>
        <v>12322.115809494378</v>
      </c>
      <c r="BJ55" s="119">
        <f t="shared" si="28"/>
        <v>12398.194252186795</v>
      </c>
      <c r="BK55" s="119">
        <f t="shared" si="28"/>
        <v>12471.86973699076</v>
      </c>
      <c r="BL55" s="119">
        <f t="shared" si="28"/>
        <v>12543.034651967548</v>
      </c>
      <c r="BM55" s="119">
        <f t="shared" si="28"/>
        <v>12611.772151912746</v>
      </c>
      <c r="BN55" s="119">
        <f t="shared" si="28"/>
        <v>12678.022176035001</v>
      </c>
      <c r="BO55" s="119">
        <f t="shared" si="28"/>
        <v>12741.723726748787</v>
      </c>
      <c r="BP55" s="114"/>
    </row>
    <row r="56" spans="1:68" x14ac:dyDescent="0.3">
      <c r="A56" s="354"/>
      <c r="B56" s="354"/>
      <c r="C56" s="354"/>
      <c r="D56" s="359"/>
      <c r="E56" s="115"/>
      <c r="F56" s="117"/>
      <c r="G56" s="118"/>
      <c r="H56" s="118"/>
      <c r="I56" s="118"/>
      <c r="J56" s="118"/>
      <c r="K56" s="118"/>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c r="AM56" s="119"/>
      <c r="AN56" s="119"/>
      <c r="AO56" s="119"/>
      <c r="AP56" s="119"/>
      <c r="AQ56" s="119"/>
      <c r="AR56" s="119"/>
      <c r="AS56" s="119"/>
      <c r="AT56" s="119"/>
      <c r="AU56" s="119"/>
      <c r="AV56" s="119"/>
      <c r="AW56" s="119"/>
      <c r="AX56" s="119"/>
      <c r="AY56" s="119"/>
      <c r="AZ56" s="119"/>
      <c r="BA56" s="119"/>
      <c r="BB56" s="119"/>
      <c r="BC56" s="119"/>
      <c r="BD56" s="119"/>
      <c r="BE56" s="119"/>
      <c r="BF56" s="119"/>
      <c r="BG56" s="119"/>
      <c r="BH56" s="119"/>
      <c r="BI56" s="119"/>
      <c r="BJ56" s="119"/>
      <c r="BK56" s="119"/>
      <c r="BL56" s="119"/>
      <c r="BM56" s="119"/>
      <c r="BN56" s="119"/>
      <c r="BO56" s="119"/>
      <c r="BP56" s="114"/>
    </row>
    <row r="57" spans="1:68" ht="15.6" x14ac:dyDescent="0.3">
      <c r="A57" s="354"/>
      <c r="B57" s="354"/>
      <c r="C57" s="354"/>
      <c r="D57" s="359"/>
      <c r="E57" s="115"/>
      <c r="F57" s="116" t="s">
        <v>503</v>
      </c>
      <c r="G57" s="111"/>
      <c r="H57" s="111"/>
      <c r="I57" s="111"/>
      <c r="J57" s="111"/>
      <c r="K57" s="111"/>
      <c r="L57" s="112"/>
      <c r="M57" s="113"/>
      <c r="N57" s="113"/>
      <c r="O57" s="113"/>
      <c r="P57" s="113"/>
      <c r="Q57" s="113"/>
      <c r="R57" s="113"/>
      <c r="S57" s="113"/>
      <c r="T57" s="113"/>
      <c r="U57" s="113"/>
      <c r="V57" s="113"/>
      <c r="W57" s="113"/>
      <c r="X57" s="113"/>
      <c r="Y57" s="113"/>
      <c r="Z57" s="113"/>
      <c r="AA57" s="113"/>
      <c r="AB57" s="113"/>
      <c r="AC57" s="113"/>
      <c r="AD57" s="113"/>
      <c r="AE57" s="113"/>
      <c r="AF57" s="113"/>
      <c r="AG57" s="113"/>
      <c r="AH57" s="113"/>
      <c r="AI57" s="113"/>
      <c r="AJ57" s="113"/>
      <c r="AK57" s="113"/>
      <c r="AL57" s="113"/>
      <c r="AM57" s="113"/>
      <c r="AN57" s="113"/>
      <c r="AO57" s="113"/>
      <c r="AP57" s="113"/>
      <c r="AQ57" s="113"/>
      <c r="AR57" s="113"/>
      <c r="AS57" s="113"/>
      <c r="AT57" s="113"/>
      <c r="AU57" s="113"/>
      <c r="AV57" s="113"/>
      <c r="AW57" s="113"/>
      <c r="AX57" s="113"/>
      <c r="AY57" s="113"/>
      <c r="AZ57" s="113"/>
      <c r="BA57" s="113"/>
      <c r="BB57" s="113"/>
      <c r="BC57" s="113"/>
      <c r="BD57" s="113"/>
      <c r="BE57" s="113"/>
      <c r="BF57" s="113"/>
      <c r="BG57" s="113"/>
      <c r="BH57" s="113"/>
      <c r="BI57" s="113"/>
      <c r="BJ57" s="113"/>
      <c r="BK57" s="113"/>
      <c r="BL57" s="113"/>
      <c r="BM57" s="113"/>
      <c r="BN57" s="113"/>
      <c r="BO57" s="113"/>
      <c r="BP57" s="114"/>
    </row>
    <row r="58" spans="1:68" x14ac:dyDescent="0.3">
      <c r="A58" s="382" t="s">
        <v>487</v>
      </c>
      <c r="B58" s="354"/>
      <c r="C58" s="354"/>
      <c r="D58" s="359"/>
      <c r="E58" s="115"/>
      <c r="F58" s="117" t="s">
        <v>431</v>
      </c>
      <c r="G58" s="122">
        <f t="shared" ref="G58:S58" si="30">G42/1000000</f>
        <v>0.21564700000000001</v>
      </c>
      <c r="H58" s="122">
        <f t="shared" si="30"/>
        <v>0.191973</v>
      </c>
      <c r="I58" s="122">
        <f t="shared" si="30"/>
        <v>0.210894</v>
      </c>
      <c r="J58" s="122">
        <f t="shared" si="30"/>
        <v>0.18865799999999999</v>
      </c>
      <c r="K58" s="122">
        <f t="shared" si="30"/>
        <v>0.186225</v>
      </c>
      <c r="L58" s="123">
        <f t="shared" si="30"/>
        <v>0.18548899999999999</v>
      </c>
      <c r="M58" s="123">
        <f t="shared" si="30"/>
        <v>0.180337</v>
      </c>
      <c r="N58" s="123">
        <f t="shared" si="30"/>
        <v>0.158057</v>
      </c>
      <c r="O58" s="123">
        <f t="shared" si="30"/>
        <v>0.161583</v>
      </c>
      <c r="P58" s="123">
        <f t="shared" si="30"/>
        <v>0.18334700000000001</v>
      </c>
      <c r="Q58" s="123">
        <f t="shared" si="30"/>
        <v>0.16063</v>
      </c>
      <c r="R58" s="123">
        <f t="shared" si="30"/>
        <v>0.16408500000000001</v>
      </c>
      <c r="S58" s="123">
        <f t="shared" si="30"/>
        <v>0.167544</v>
      </c>
      <c r="T58" s="124">
        <v>0.16671406675775141</v>
      </c>
      <c r="U58" s="124">
        <v>0.1768727507953386</v>
      </c>
      <c r="V58" s="124">
        <v>0.17717809953206334</v>
      </c>
      <c r="W58" s="125">
        <f>V58*1.005</f>
        <v>0.17806399002972365</v>
      </c>
      <c r="X58" s="125">
        <f t="shared" ref="X58:BO58" si="31">W58*1.005</f>
        <v>0.17895430997987224</v>
      </c>
      <c r="Y58" s="125">
        <f t="shared" si="31"/>
        <v>0.17984908152977158</v>
      </c>
      <c r="Z58" s="125">
        <f t="shared" si="31"/>
        <v>0.18074832693742043</v>
      </c>
      <c r="AA58" s="125">
        <f t="shared" si="31"/>
        <v>0.18165206857210753</v>
      </c>
      <c r="AB58" s="125">
        <f t="shared" si="31"/>
        <v>0.18256032891496804</v>
      </c>
      <c r="AC58" s="125">
        <f t="shared" si="31"/>
        <v>0.18347313055954287</v>
      </c>
      <c r="AD58" s="125">
        <f t="shared" si="31"/>
        <v>0.18439049621234058</v>
      </c>
      <c r="AE58" s="125">
        <f t="shared" si="31"/>
        <v>0.18531244869340227</v>
      </c>
      <c r="AF58" s="125">
        <f t="shared" si="31"/>
        <v>0.18623901093686926</v>
      </c>
      <c r="AG58" s="125">
        <f t="shared" si="31"/>
        <v>0.1871702059915536</v>
      </c>
      <c r="AH58" s="125">
        <f t="shared" si="31"/>
        <v>0.18810605702151134</v>
      </c>
      <c r="AI58" s="125">
        <f t="shared" si="31"/>
        <v>0.18904658730661889</v>
      </c>
      <c r="AJ58" s="125">
        <f t="shared" si="31"/>
        <v>0.18999182024315195</v>
      </c>
      <c r="AK58" s="125">
        <f t="shared" si="31"/>
        <v>0.19094177934436768</v>
      </c>
      <c r="AL58" s="125">
        <f t="shared" si="31"/>
        <v>0.19189648824108949</v>
      </c>
      <c r="AM58" s="125">
        <f t="shared" si="31"/>
        <v>0.1928559706822949</v>
      </c>
      <c r="AN58" s="125">
        <f t="shared" si="31"/>
        <v>0.19382025053570637</v>
      </c>
      <c r="AO58" s="125">
        <f t="shared" si="31"/>
        <v>0.19478935178838488</v>
      </c>
      <c r="AP58" s="125">
        <f t="shared" si="31"/>
        <v>0.1957632985473268</v>
      </c>
      <c r="AQ58" s="125">
        <f t="shared" si="31"/>
        <v>0.19674211504006342</v>
      </c>
      <c r="AR58" s="125">
        <f t="shared" si="31"/>
        <v>0.19772582561526372</v>
      </c>
      <c r="AS58" s="125">
        <f t="shared" si="31"/>
        <v>0.19871445474334001</v>
      </c>
      <c r="AT58" s="125">
        <f t="shared" si="31"/>
        <v>0.1997080270170567</v>
      </c>
      <c r="AU58" s="125">
        <f t="shared" si="31"/>
        <v>0.20070656715214197</v>
      </c>
      <c r="AV58" s="125">
        <f t="shared" si="31"/>
        <v>0.20171009998790265</v>
      </c>
      <c r="AW58" s="125">
        <f t="shared" si="31"/>
        <v>0.20271865048784216</v>
      </c>
      <c r="AX58" s="125">
        <f t="shared" si="31"/>
        <v>0.20373224374028134</v>
      </c>
      <c r="AY58" s="125">
        <f t="shared" si="31"/>
        <v>0.20475090495898274</v>
      </c>
      <c r="AZ58" s="125">
        <f t="shared" si="31"/>
        <v>0.20577465948377763</v>
      </c>
      <c r="BA58" s="125">
        <f t="shared" si="31"/>
        <v>0.20680353278119648</v>
      </c>
      <c r="BB58" s="125">
        <f t="shared" si="31"/>
        <v>0.20783755044510244</v>
      </c>
      <c r="BC58" s="125">
        <f t="shared" si="31"/>
        <v>0.20887673819732794</v>
      </c>
      <c r="BD58" s="125">
        <f t="shared" si="31"/>
        <v>0.20992112188831455</v>
      </c>
      <c r="BE58" s="125">
        <f t="shared" si="31"/>
        <v>0.21097072749775611</v>
      </c>
      <c r="BF58" s="125">
        <f t="shared" si="31"/>
        <v>0.21202558113524486</v>
      </c>
      <c r="BG58" s="125">
        <f t="shared" si="31"/>
        <v>0.21308570904092106</v>
      </c>
      <c r="BH58" s="125">
        <f t="shared" si="31"/>
        <v>0.21415113758612564</v>
      </c>
      <c r="BI58" s="125">
        <f t="shared" si="31"/>
        <v>0.21522189327405625</v>
      </c>
      <c r="BJ58" s="125">
        <f t="shared" si="31"/>
        <v>0.21629800274042651</v>
      </c>
      <c r="BK58" s="125">
        <f t="shared" si="31"/>
        <v>0.21737949275412863</v>
      </c>
      <c r="BL58" s="125">
        <f t="shared" si="31"/>
        <v>0.21846639021789924</v>
      </c>
      <c r="BM58" s="125">
        <f t="shared" si="31"/>
        <v>0.2195587221689887</v>
      </c>
      <c r="BN58" s="125">
        <f t="shared" si="31"/>
        <v>0.22065651577983361</v>
      </c>
      <c r="BO58" s="125">
        <f t="shared" si="31"/>
        <v>0.22175979835873275</v>
      </c>
      <c r="BP58" s="114"/>
    </row>
    <row r="59" spans="1:68" x14ac:dyDescent="0.3">
      <c r="A59" s="388"/>
      <c r="D59" s="359"/>
      <c r="E59" s="115"/>
      <c r="F59" s="117" t="s">
        <v>432</v>
      </c>
      <c r="G59" s="122">
        <f t="shared" ref="G59:S59" si="32">G43/1000000</f>
        <v>0.36002499999999998</v>
      </c>
      <c r="H59" s="122">
        <f t="shared" si="32"/>
        <v>0.39946700000000002</v>
      </c>
      <c r="I59" s="122">
        <f t="shared" si="32"/>
        <v>0.39017600000000002</v>
      </c>
      <c r="J59" s="122">
        <f t="shared" si="32"/>
        <v>0.40243400000000001</v>
      </c>
      <c r="K59" s="122">
        <f t="shared" si="32"/>
        <v>0.372637</v>
      </c>
      <c r="L59" s="123">
        <f t="shared" si="32"/>
        <v>0.43209399999999998</v>
      </c>
      <c r="M59" s="123">
        <f t="shared" si="32"/>
        <v>0.45425700000000002</v>
      </c>
      <c r="N59" s="123">
        <f t="shared" si="32"/>
        <v>0.46732699999999999</v>
      </c>
      <c r="O59" s="123">
        <f t="shared" si="32"/>
        <v>0.50195000000000001</v>
      </c>
      <c r="P59" s="123">
        <f t="shared" si="32"/>
        <v>0.52543499999999999</v>
      </c>
      <c r="Q59" s="123">
        <f t="shared" si="32"/>
        <v>0.52734700000000001</v>
      </c>
      <c r="R59" s="123">
        <f t="shared" si="32"/>
        <v>0.543547</v>
      </c>
      <c r="S59" s="123">
        <f t="shared" si="32"/>
        <v>0.50917859212063099</v>
      </c>
      <c r="T59" s="124">
        <v>0.50665636369202571</v>
      </c>
      <c r="U59" s="124">
        <v>0.53752935488273956</v>
      </c>
      <c r="V59" s="124">
        <v>0.53845733224911096</v>
      </c>
      <c r="W59" s="125">
        <v>0.58219032853054919</v>
      </c>
      <c r="X59" s="125">
        <v>0.60859909436305304</v>
      </c>
      <c r="Y59" s="125">
        <v>0.63651052872278246</v>
      </c>
      <c r="Z59" s="125">
        <v>0.66353633751274199</v>
      </c>
      <c r="AA59" s="125">
        <v>0.69385683564018741</v>
      </c>
      <c r="AB59" s="125">
        <v>0.69895103852778573</v>
      </c>
      <c r="AC59" s="125">
        <v>0.72619304947385266</v>
      </c>
      <c r="AD59" s="125">
        <v>0.75707393781741505</v>
      </c>
      <c r="AE59" s="125">
        <v>0.78439593168918886</v>
      </c>
      <c r="AF59" s="125">
        <v>0.81196781225984072</v>
      </c>
      <c r="AG59" s="125">
        <v>0.8399201470702764</v>
      </c>
      <c r="AH59" s="126">
        <v>0.85003723102763284</v>
      </c>
      <c r="AI59" s="126">
        <v>0.85886402654351313</v>
      </c>
      <c r="AJ59" s="126">
        <v>0.87153559024054994</v>
      </c>
      <c r="AK59" s="126">
        <v>0.8832775895587085</v>
      </c>
      <c r="AL59" s="126">
        <v>0.89437491929316282</v>
      </c>
      <c r="AM59" s="126">
        <v>0.90509975782033358</v>
      </c>
      <c r="AN59" s="126">
        <v>0.9143846292186194</v>
      </c>
      <c r="AO59" s="126">
        <v>0.92474187190167212</v>
      </c>
      <c r="AP59" s="126">
        <v>0.93426670167986825</v>
      </c>
      <c r="AQ59" s="126">
        <v>0.94523049306634355</v>
      </c>
      <c r="AR59" s="126">
        <v>0.95480315959556139</v>
      </c>
      <c r="AS59" s="126">
        <v>0.96405201231691773</v>
      </c>
      <c r="AT59" s="126">
        <v>0.9732925305975676</v>
      </c>
      <c r="AU59" s="126">
        <v>0.98240639210445246</v>
      </c>
      <c r="AV59" s="126">
        <v>0.99205843324476395</v>
      </c>
      <c r="AW59" s="126">
        <v>1.0010522940258169</v>
      </c>
      <c r="AX59" s="126">
        <v>1.0098915591459947</v>
      </c>
      <c r="AY59" s="126">
        <v>1.0186835899399505</v>
      </c>
      <c r="AZ59" s="126">
        <v>1.0273237041945291</v>
      </c>
      <c r="BA59" s="126">
        <v>1.0359181341157548</v>
      </c>
      <c r="BB59" s="126">
        <v>1.0441560529106022</v>
      </c>
      <c r="BC59" s="126">
        <v>1.0522534388336822</v>
      </c>
      <c r="BD59" s="126">
        <v>1.0602015941232716</v>
      </c>
      <c r="BE59" s="126">
        <v>1.0679690440832186</v>
      </c>
      <c r="BF59" s="126">
        <v>1.0755279395960702</v>
      </c>
      <c r="BG59" s="126">
        <v>1.0828927405757638</v>
      </c>
      <c r="BH59" s="126">
        <v>1.090067635009917</v>
      </c>
      <c r="BI59" s="126">
        <v>1.0970505331985465</v>
      </c>
      <c r="BJ59" s="126">
        <v>1.1038238745151669</v>
      </c>
      <c r="BK59" s="126">
        <v>1.1103832780411078</v>
      </c>
      <c r="BL59" s="126">
        <v>1.1167191629757518</v>
      </c>
      <c r="BM59" s="126">
        <v>1.1228389326753283</v>
      </c>
      <c r="BN59" s="126">
        <v>1.1287372398663496</v>
      </c>
      <c r="BO59" s="126">
        <v>1.1344086538715878</v>
      </c>
      <c r="BP59" s="114"/>
    </row>
    <row r="60" spans="1:68" x14ac:dyDescent="0.3">
      <c r="A60" s="388"/>
      <c r="D60" s="359"/>
      <c r="E60" s="115"/>
      <c r="F60" s="117" t="s">
        <v>433</v>
      </c>
      <c r="G60" s="122">
        <f t="shared" ref="G60:S60" si="33">G44/1000000</f>
        <v>0.144931</v>
      </c>
      <c r="H60" s="122">
        <f t="shared" si="33"/>
        <v>9.8347000000000004E-2</v>
      </c>
      <c r="I60" s="122">
        <f t="shared" si="33"/>
        <v>7.8710000000000002E-2</v>
      </c>
      <c r="J60" s="122">
        <f t="shared" si="33"/>
        <v>6.1627000000000001E-2</v>
      </c>
      <c r="K60" s="122">
        <f t="shared" si="33"/>
        <v>3.5483000000000001E-2</v>
      </c>
      <c r="L60" s="123">
        <f t="shared" si="33"/>
        <v>4.4026999999999997E-2</v>
      </c>
      <c r="M60" s="123">
        <f t="shared" si="33"/>
        <v>2.9871999999999999E-2</v>
      </c>
      <c r="N60" s="123">
        <f t="shared" si="33"/>
        <v>3.7260000000000001E-2</v>
      </c>
      <c r="O60" s="123">
        <f t="shared" si="33"/>
        <v>3.1924000000000001E-2</v>
      </c>
      <c r="P60" s="123">
        <f t="shared" si="33"/>
        <v>3.6047000000000003E-2</v>
      </c>
      <c r="Q60" s="123">
        <f t="shared" si="33"/>
        <v>2.6908999999999999E-2</v>
      </c>
      <c r="R60" s="123">
        <f t="shared" si="33"/>
        <v>2.9481E-2</v>
      </c>
      <c r="S60" s="123">
        <f t="shared" si="33"/>
        <v>2.9901328666485719E-2</v>
      </c>
      <c r="T60" s="124">
        <v>2.9753211714236057E-2</v>
      </c>
      <c r="U60" s="124">
        <v>3.1566216956004645E-2</v>
      </c>
      <c r="V60" s="124">
        <v>3.1620712091221082E-2</v>
      </c>
      <c r="W60" s="124">
        <v>3.3518545569445779E-2</v>
      </c>
      <c r="X60" s="124">
        <v>3.4351943197836507E-2</v>
      </c>
      <c r="Y60" s="124">
        <v>3.5222925751606876E-2</v>
      </c>
      <c r="Z60" s="124">
        <v>3.5998497529595636E-2</v>
      </c>
      <c r="AA60" s="124">
        <v>3.6905352947055443E-2</v>
      </c>
      <c r="AB60" s="124">
        <v>3.6447359851638272E-2</v>
      </c>
      <c r="AC60" s="124">
        <v>3.7125408096807457E-2</v>
      </c>
      <c r="AD60" s="124">
        <v>3.7945237247719116E-2</v>
      </c>
      <c r="AE60" s="124">
        <v>3.8543765230888566E-2</v>
      </c>
      <c r="AF60" s="124">
        <v>3.9116271023528368E-2</v>
      </c>
      <c r="AG60" s="124">
        <v>3.9669475658158232E-2</v>
      </c>
      <c r="AH60" s="124">
        <v>4.0147306100942352E-2</v>
      </c>
      <c r="AI60" s="124">
        <v>4.0564196148261879E-2</v>
      </c>
      <c r="AJ60" s="124">
        <v>4.1162674812434637E-2</v>
      </c>
      <c r="AK60" s="124">
        <v>4.1717250098852701E-2</v>
      </c>
      <c r="AL60" s="124">
        <v>4.2241377604672198E-2</v>
      </c>
      <c r="AM60" s="124">
        <v>4.2747912329878256E-2</v>
      </c>
      <c r="AN60" s="124">
        <v>4.3186437326817768E-2</v>
      </c>
      <c r="AO60" s="124">
        <v>4.3675610479687287E-2</v>
      </c>
      <c r="AP60" s="124">
        <v>4.4125468724369489E-2</v>
      </c>
      <c r="AQ60" s="124">
        <v>4.4643289206523634E-2</v>
      </c>
      <c r="AR60" s="124">
        <v>4.5095406783639803E-2</v>
      </c>
      <c r="AS60" s="124">
        <v>4.5532230616447608E-2</v>
      </c>
      <c r="AT60" s="124">
        <v>4.5968660813153359E-2</v>
      </c>
      <c r="AU60" s="124">
        <v>4.6399109003329872E-2</v>
      </c>
      <c r="AV60" s="124">
        <v>4.6854975447780202E-2</v>
      </c>
      <c r="AW60" s="124">
        <v>4.7279755996944707E-2</v>
      </c>
      <c r="AX60" s="124">
        <v>4.7697234984374649E-2</v>
      </c>
      <c r="AY60" s="124">
        <v>4.8112483091927685E-2</v>
      </c>
      <c r="AZ60" s="124">
        <v>4.8520556172804791E-2</v>
      </c>
      <c r="BA60" s="124">
        <v>4.8926471580055149E-2</v>
      </c>
      <c r="BB60" s="124">
        <v>4.9315548946809562E-2</v>
      </c>
      <c r="BC60" s="124">
        <v>4.9697988938147752E-2</v>
      </c>
      <c r="BD60" s="124">
        <v>5.0073380758295684E-2</v>
      </c>
      <c r="BE60" s="124">
        <v>5.0440237855588647E-2</v>
      </c>
      <c r="BF60" s="124">
        <v>5.0797244914647252E-2</v>
      </c>
      <c r="BG60" s="124">
        <v>5.1145084878017832E-2</v>
      </c>
      <c r="BH60" s="124">
        <v>5.1483955544590475E-2</v>
      </c>
      <c r="BI60" s="124">
        <v>5.1813758217717762E-2</v>
      </c>
      <c r="BJ60" s="124">
        <v>5.2133663508025785E-2</v>
      </c>
      <c r="BK60" s="124">
        <v>5.2443464504480015E-2</v>
      </c>
      <c r="BL60" s="124">
        <v>5.2742708705329884E-2</v>
      </c>
      <c r="BM60" s="124">
        <v>5.3031745771505379E-2</v>
      </c>
      <c r="BN60" s="124">
        <v>5.3310323150979735E-2</v>
      </c>
      <c r="BO60" s="124">
        <v>5.3578184352562883E-2</v>
      </c>
      <c r="BP60" s="114"/>
    </row>
    <row r="61" spans="1:68" x14ac:dyDescent="0.3">
      <c r="A61" s="388"/>
      <c r="D61" s="359"/>
      <c r="E61" s="115"/>
      <c r="F61" s="117" t="s">
        <v>434</v>
      </c>
      <c r="G61" s="122">
        <f t="shared" ref="G61:S61" si="34">G45/1000000</f>
        <v>0.106928</v>
      </c>
      <c r="H61" s="122">
        <f t="shared" si="34"/>
        <v>8.6455000000000004E-2</v>
      </c>
      <c r="I61" s="122">
        <f t="shared" si="34"/>
        <v>9.5239000000000004E-2</v>
      </c>
      <c r="J61" s="122">
        <f t="shared" si="34"/>
        <v>0.101066</v>
      </c>
      <c r="K61" s="122">
        <f t="shared" si="34"/>
        <v>9.6892000000000006E-2</v>
      </c>
      <c r="L61" s="123">
        <f t="shared" si="34"/>
        <v>0.102616</v>
      </c>
      <c r="M61" s="123">
        <f t="shared" si="34"/>
        <v>0.104661</v>
      </c>
      <c r="N61" s="123">
        <f t="shared" si="34"/>
        <v>0.127081</v>
      </c>
      <c r="O61" s="123">
        <f t="shared" si="34"/>
        <v>0.11532100000000001</v>
      </c>
      <c r="P61" s="123">
        <f t="shared" si="34"/>
        <v>0.13733699999999999</v>
      </c>
      <c r="Q61" s="123">
        <f t="shared" si="34"/>
        <v>0.15320700000000001</v>
      </c>
      <c r="R61" s="123">
        <f t="shared" si="34"/>
        <v>0.15018899999999999</v>
      </c>
      <c r="S61" s="123">
        <f t="shared" si="34"/>
        <v>0.13564899999999999</v>
      </c>
      <c r="T61" s="124">
        <v>0.13497705940900431</v>
      </c>
      <c r="U61" s="124">
        <v>0.14320185606549254</v>
      </c>
      <c r="V61" s="124">
        <v>0.14344907620341438</v>
      </c>
      <c r="W61" s="124">
        <v>0.1520587007575315</v>
      </c>
      <c r="X61" s="125">
        <f>W61</f>
        <v>0.1520587007575315</v>
      </c>
      <c r="Y61" s="125">
        <f t="shared" ref="Y61:BO61" si="35">X61</f>
        <v>0.1520587007575315</v>
      </c>
      <c r="Z61" s="125">
        <f t="shared" si="35"/>
        <v>0.1520587007575315</v>
      </c>
      <c r="AA61" s="125">
        <f t="shared" si="35"/>
        <v>0.1520587007575315</v>
      </c>
      <c r="AB61" s="125">
        <f t="shared" si="35"/>
        <v>0.1520587007575315</v>
      </c>
      <c r="AC61" s="125">
        <f t="shared" si="35"/>
        <v>0.1520587007575315</v>
      </c>
      <c r="AD61" s="125">
        <f t="shared" si="35"/>
        <v>0.1520587007575315</v>
      </c>
      <c r="AE61" s="125">
        <f t="shared" si="35"/>
        <v>0.1520587007575315</v>
      </c>
      <c r="AF61" s="125">
        <f t="shared" si="35"/>
        <v>0.1520587007575315</v>
      </c>
      <c r="AG61" s="125">
        <f t="shared" si="35"/>
        <v>0.1520587007575315</v>
      </c>
      <c r="AH61" s="125">
        <f t="shared" si="35"/>
        <v>0.1520587007575315</v>
      </c>
      <c r="AI61" s="125">
        <f t="shared" si="35"/>
        <v>0.1520587007575315</v>
      </c>
      <c r="AJ61" s="125">
        <f t="shared" si="35"/>
        <v>0.1520587007575315</v>
      </c>
      <c r="AK61" s="125">
        <f t="shared" si="35"/>
        <v>0.1520587007575315</v>
      </c>
      <c r="AL61" s="125">
        <f t="shared" si="35"/>
        <v>0.1520587007575315</v>
      </c>
      <c r="AM61" s="125">
        <f t="shared" si="35"/>
        <v>0.1520587007575315</v>
      </c>
      <c r="AN61" s="125">
        <f t="shared" si="35"/>
        <v>0.1520587007575315</v>
      </c>
      <c r="AO61" s="125">
        <f t="shared" si="35"/>
        <v>0.1520587007575315</v>
      </c>
      <c r="AP61" s="125">
        <f t="shared" si="35"/>
        <v>0.1520587007575315</v>
      </c>
      <c r="AQ61" s="125">
        <f t="shared" si="35"/>
        <v>0.1520587007575315</v>
      </c>
      <c r="AR61" s="125">
        <f t="shared" si="35"/>
        <v>0.1520587007575315</v>
      </c>
      <c r="AS61" s="125">
        <f t="shared" si="35"/>
        <v>0.1520587007575315</v>
      </c>
      <c r="AT61" s="125">
        <f t="shared" si="35"/>
        <v>0.1520587007575315</v>
      </c>
      <c r="AU61" s="125">
        <f t="shared" si="35"/>
        <v>0.1520587007575315</v>
      </c>
      <c r="AV61" s="125">
        <f t="shared" si="35"/>
        <v>0.1520587007575315</v>
      </c>
      <c r="AW61" s="125">
        <f t="shared" si="35"/>
        <v>0.1520587007575315</v>
      </c>
      <c r="AX61" s="125">
        <f t="shared" si="35"/>
        <v>0.1520587007575315</v>
      </c>
      <c r="AY61" s="125">
        <f t="shared" si="35"/>
        <v>0.1520587007575315</v>
      </c>
      <c r="AZ61" s="125">
        <f t="shared" si="35"/>
        <v>0.1520587007575315</v>
      </c>
      <c r="BA61" s="125">
        <f t="shared" si="35"/>
        <v>0.1520587007575315</v>
      </c>
      <c r="BB61" s="125">
        <f t="shared" si="35"/>
        <v>0.1520587007575315</v>
      </c>
      <c r="BC61" s="125">
        <f t="shared" si="35"/>
        <v>0.1520587007575315</v>
      </c>
      <c r="BD61" s="125">
        <f t="shared" si="35"/>
        <v>0.1520587007575315</v>
      </c>
      <c r="BE61" s="125">
        <f t="shared" si="35"/>
        <v>0.1520587007575315</v>
      </c>
      <c r="BF61" s="125">
        <f t="shared" si="35"/>
        <v>0.1520587007575315</v>
      </c>
      <c r="BG61" s="125">
        <f t="shared" si="35"/>
        <v>0.1520587007575315</v>
      </c>
      <c r="BH61" s="125">
        <f t="shared" si="35"/>
        <v>0.1520587007575315</v>
      </c>
      <c r="BI61" s="125">
        <f t="shared" si="35"/>
        <v>0.1520587007575315</v>
      </c>
      <c r="BJ61" s="125">
        <f t="shared" si="35"/>
        <v>0.1520587007575315</v>
      </c>
      <c r="BK61" s="125">
        <f t="shared" si="35"/>
        <v>0.1520587007575315</v>
      </c>
      <c r="BL61" s="125">
        <f t="shared" si="35"/>
        <v>0.1520587007575315</v>
      </c>
      <c r="BM61" s="125">
        <f t="shared" si="35"/>
        <v>0.1520587007575315</v>
      </c>
      <c r="BN61" s="125">
        <f t="shared" si="35"/>
        <v>0.1520587007575315</v>
      </c>
      <c r="BO61" s="125">
        <f t="shared" si="35"/>
        <v>0.1520587007575315</v>
      </c>
      <c r="BP61" s="114"/>
    </row>
    <row r="62" spans="1:68" x14ac:dyDescent="0.3">
      <c r="A62" s="388"/>
      <c r="D62" s="359"/>
      <c r="E62" s="115"/>
      <c r="F62" s="117" t="s">
        <v>435</v>
      </c>
      <c r="G62" s="122">
        <f t="shared" ref="G62:S62" si="36">G46/1000000</f>
        <v>0.44034600000000002</v>
      </c>
      <c r="H62" s="122">
        <f t="shared" si="36"/>
        <v>0.57778399999999996</v>
      </c>
      <c r="I62" s="122">
        <f t="shared" si="36"/>
        <v>0.48658000000000001</v>
      </c>
      <c r="J62" s="122">
        <f t="shared" si="36"/>
        <v>0.49665199999999998</v>
      </c>
      <c r="K62" s="122">
        <f t="shared" si="36"/>
        <v>0.48569600000000002</v>
      </c>
      <c r="L62" s="123">
        <f t="shared" si="36"/>
        <v>0.53329000000000004</v>
      </c>
      <c r="M62" s="123">
        <f t="shared" si="36"/>
        <v>0.37833499999999998</v>
      </c>
      <c r="N62" s="123">
        <f t="shared" si="36"/>
        <v>0.44462299999999999</v>
      </c>
      <c r="O62" s="123">
        <f t="shared" si="36"/>
        <v>0.43539099999999997</v>
      </c>
      <c r="P62" s="123">
        <f t="shared" si="36"/>
        <v>0.38883800000000002</v>
      </c>
      <c r="Q62" s="123">
        <f t="shared" si="36"/>
        <v>0.41523500000000002</v>
      </c>
      <c r="R62" s="123">
        <f t="shared" si="36"/>
        <v>0.43940000000000001</v>
      </c>
      <c r="S62" s="123">
        <f t="shared" si="36"/>
        <v>0.41609099999999999</v>
      </c>
      <c r="T62" s="124">
        <v>0.41402988320261863</v>
      </c>
      <c r="U62" s="124">
        <v>0.43925870070657991</v>
      </c>
      <c r="V62" s="124">
        <v>0.4400170260492513</v>
      </c>
      <c r="W62" s="124">
        <v>0.4664262682135662</v>
      </c>
      <c r="X62" s="124">
        <v>0.47802338673838263</v>
      </c>
      <c r="Y62" s="124">
        <v>0.49014351711195575</v>
      </c>
      <c r="Z62" s="124">
        <v>0.50093596183153843</v>
      </c>
      <c r="AA62" s="124">
        <v>0.51355527991318595</v>
      </c>
      <c r="AB62" s="124">
        <v>0.50718209137729253</v>
      </c>
      <c r="AC62" s="124">
        <v>0.51661745043867469</v>
      </c>
      <c r="AD62" s="124">
        <v>0.52802575724125245</v>
      </c>
      <c r="AE62" s="124">
        <v>0.53635455459413039</v>
      </c>
      <c r="AF62" s="124">
        <v>0.54432124097192625</v>
      </c>
      <c r="AG62" s="124">
        <v>0.55201934269159236</v>
      </c>
      <c r="AH62" s="124">
        <v>0.55866857721177388</v>
      </c>
      <c r="AI62" s="124">
        <v>0.56446979757271565</v>
      </c>
      <c r="AJ62" s="124">
        <v>0.57279790862864399</v>
      </c>
      <c r="AK62" s="124">
        <v>0.58051508361022319</v>
      </c>
      <c r="AL62" s="124">
        <v>0.58780856345710297</v>
      </c>
      <c r="AM62" s="124">
        <v>0.59485723151786196</v>
      </c>
      <c r="AN62" s="124">
        <v>0.60095951234078981</v>
      </c>
      <c r="AO62" s="124">
        <v>0.607766585986944</v>
      </c>
      <c r="AP62" s="124">
        <v>0.61402657426291185</v>
      </c>
      <c r="AQ62" s="124">
        <v>0.62123228892004989</v>
      </c>
      <c r="AR62" s="124">
        <v>0.62752371686554775</v>
      </c>
      <c r="AS62" s="124">
        <v>0.63360232519242632</v>
      </c>
      <c r="AT62" s="124">
        <v>0.63967545588848895</v>
      </c>
      <c r="AU62" s="124">
        <v>0.64566534416056043</v>
      </c>
      <c r="AV62" s="124">
        <v>0.65200893935171267</v>
      </c>
      <c r="AW62" s="124">
        <v>0.65791995974327511</v>
      </c>
      <c r="AX62" s="124">
        <v>0.66372937548182753</v>
      </c>
      <c r="AY62" s="124">
        <v>0.6695077474815142</v>
      </c>
      <c r="AZ62" s="124">
        <v>0.6751862756228254</v>
      </c>
      <c r="BA62" s="124">
        <v>0.6808347787245459</v>
      </c>
      <c r="BB62" s="124">
        <v>0.6862489726025478</v>
      </c>
      <c r="BC62" s="124">
        <v>0.69157080429139373</v>
      </c>
      <c r="BD62" s="124">
        <v>0.69679455737539109</v>
      </c>
      <c r="BE62" s="124">
        <v>0.70189954579153513</v>
      </c>
      <c r="BF62" s="124">
        <v>0.70686746630997188</v>
      </c>
      <c r="BG62" s="124">
        <v>0.71170782239625674</v>
      </c>
      <c r="BH62" s="124">
        <v>0.7164233665146329</v>
      </c>
      <c r="BI62" s="124">
        <v>0.72101272525500271</v>
      </c>
      <c r="BJ62" s="124">
        <v>0.72546435727558078</v>
      </c>
      <c r="BK62" s="124">
        <v>0.72977538331236413</v>
      </c>
      <c r="BL62" s="124">
        <v>0.73393950659145379</v>
      </c>
      <c r="BM62" s="124">
        <v>0.73796159280853979</v>
      </c>
      <c r="BN62" s="124">
        <v>0.74183812758382506</v>
      </c>
      <c r="BO62" s="124">
        <v>0.74556554172220935</v>
      </c>
      <c r="BP62" s="114"/>
    </row>
    <row r="63" spans="1:68" x14ac:dyDescent="0.3">
      <c r="A63" s="388"/>
      <c r="D63" s="359"/>
      <c r="E63" s="115"/>
      <c r="F63" s="117" t="s">
        <v>436</v>
      </c>
      <c r="G63" s="122">
        <f t="shared" ref="G63:S63" si="37">G47/1000000</f>
        <v>0.19350200000000001</v>
      </c>
      <c r="H63" s="122">
        <f t="shared" si="37"/>
        <v>0.202651</v>
      </c>
      <c r="I63" s="122">
        <f t="shared" si="37"/>
        <v>0.198578</v>
      </c>
      <c r="J63" s="122">
        <f t="shared" si="37"/>
        <v>0.218833</v>
      </c>
      <c r="K63" s="122">
        <f t="shared" si="37"/>
        <v>0.272011</v>
      </c>
      <c r="L63" s="123">
        <f t="shared" si="37"/>
        <v>0.29034300000000002</v>
      </c>
      <c r="M63" s="123">
        <f t="shared" si="37"/>
        <v>0.26383899999999999</v>
      </c>
      <c r="N63" s="123">
        <f t="shared" si="37"/>
        <v>0.26029200000000002</v>
      </c>
      <c r="O63" s="123">
        <f t="shared" si="37"/>
        <v>0.22396199999999999</v>
      </c>
      <c r="P63" s="123">
        <f t="shared" si="37"/>
        <v>0.200908</v>
      </c>
      <c r="Q63" s="123">
        <f t="shared" si="37"/>
        <v>0.188469</v>
      </c>
      <c r="R63" s="123">
        <f t="shared" si="37"/>
        <v>0.152529</v>
      </c>
      <c r="S63" s="123">
        <f t="shared" si="37"/>
        <v>0.14138108868806412</v>
      </c>
      <c r="T63" s="124">
        <v>0.14068075405759378</v>
      </c>
      <c r="U63" s="124">
        <v>0.14925310406041176</v>
      </c>
      <c r="V63" s="124">
        <v>0.14951077092301304</v>
      </c>
      <c r="W63" s="124">
        <v>0.15848421040768723</v>
      </c>
      <c r="X63" s="124">
        <v>0.16242472640703126</v>
      </c>
      <c r="Y63" s="124">
        <v>0.1665429534949929</v>
      </c>
      <c r="Z63" s="124">
        <v>0.17021005416302071</v>
      </c>
      <c r="AA63" s="124">
        <v>0.17449789727638845</v>
      </c>
      <c r="AB63" s="124">
        <v>0.17233238941003495</v>
      </c>
      <c r="AC63" s="124">
        <v>0.17553837400537828</v>
      </c>
      <c r="AD63" s="124">
        <v>0.17941473479144646</v>
      </c>
      <c r="AE63" s="124">
        <v>0.18224472735848624</v>
      </c>
      <c r="AF63" s="124">
        <v>0.18495168038878282</v>
      </c>
      <c r="AG63" s="124">
        <v>0.18756737263388748</v>
      </c>
      <c r="AH63" s="124">
        <v>0.18982667652511684</v>
      </c>
      <c r="AI63" s="124">
        <v>0.19179783872364869</v>
      </c>
      <c r="AJ63" s="124">
        <v>0.1946275980979256</v>
      </c>
      <c r="AK63" s="124">
        <v>0.19724977113337205</v>
      </c>
      <c r="AL63" s="124">
        <v>0.19972797931638084</v>
      </c>
      <c r="AM63" s="124">
        <v>0.20212300435713129</v>
      </c>
      <c r="AN63" s="124">
        <v>0.20419646210129264</v>
      </c>
      <c r="AO63" s="124">
        <v>0.20650939721133615</v>
      </c>
      <c r="AP63" s="124">
        <v>0.20863644143394816</v>
      </c>
      <c r="AQ63" s="124">
        <v>0.21108482840459095</v>
      </c>
      <c r="AR63" s="124">
        <v>0.21322255532571396</v>
      </c>
      <c r="AS63" s="124">
        <v>0.2152879695330927</v>
      </c>
      <c r="AT63" s="124">
        <v>0.21735152252884182</v>
      </c>
      <c r="AU63" s="124">
        <v>0.21938679107592726</v>
      </c>
      <c r="AV63" s="124">
        <v>0.22154224359549984</v>
      </c>
      <c r="AW63" s="124">
        <v>0.22355071409406013</v>
      </c>
      <c r="AX63" s="124">
        <v>0.22552466095125751</v>
      </c>
      <c r="AY63" s="124">
        <v>0.22748805964087188</v>
      </c>
      <c r="AZ63" s="124">
        <v>0.22941753297907047</v>
      </c>
      <c r="BA63" s="124">
        <v>0.23133680428746012</v>
      </c>
      <c r="BB63" s="124">
        <v>0.23317646105686912</v>
      </c>
      <c r="BC63" s="124">
        <v>0.23498473462679415</v>
      </c>
      <c r="BD63" s="124">
        <v>0.23675968265031105</v>
      </c>
      <c r="BE63" s="124">
        <v>0.23849427633297759</v>
      </c>
      <c r="BF63" s="124">
        <v>0.24018229652907017</v>
      </c>
      <c r="BG63" s="124">
        <v>0.24182697236468509</v>
      </c>
      <c r="BH63" s="124">
        <v>0.24342923908329378</v>
      </c>
      <c r="BI63" s="124">
        <v>0.2449886300220393</v>
      </c>
      <c r="BJ63" s="124">
        <v>0.24650122361696919</v>
      </c>
      <c r="BK63" s="124">
        <v>0.24796604154007501</v>
      </c>
      <c r="BL63" s="124">
        <v>0.24938094424796584</v>
      </c>
      <c r="BM63" s="124">
        <v>0.25074758502647071</v>
      </c>
      <c r="BN63" s="124">
        <v>0.25206476974535907</v>
      </c>
      <c r="BO63" s="124">
        <v>0.25333128564903412</v>
      </c>
      <c r="BP63" s="114"/>
    </row>
    <row r="64" spans="1:68" x14ac:dyDescent="0.3">
      <c r="A64" s="388"/>
      <c r="D64" s="359" t="s">
        <v>494</v>
      </c>
      <c r="E64" s="115"/>
      <c r="F64" s="117" t="s">
        <v>437</v>
      </c>
      <c r="G64" s="127">
        <f t="shared" ref="G64:S64" si="38">G48/1000000</f>
        <v>0</v>
      </c>
      <c r="H64" s="127">
        <f t="shared" si="38"/>
        <v>0</v>
      </c>
      <c r="I64" s="127">
        <f t="shared" si="38"/>
        <v>0</v>
      </c>
      <c r="J64" s="127">
        <f t="shared" si="38"/>
        <v>0</v>
      </c>
      <c r="K64" s="122">
        <f t="shared" si="38"/>
        <v>2.6516999999999999E-2</v>
      </c>
      <c r="L64" s="123">
        <f t="shared" si="38"/>
        <v>2.2492999999999999E-2</v>
      </c>
      <c r="M64" s="123">
        <f t="shared" si="38"/>
        <v>2.6280000000000001E-2</v>
      </c>
      <c r="N64" s="123">
        <f t="shared" si="38"/>
        <v>2.8021000000000001E-2</v>
      </c>
      <c r="O64" s="123">
        <f t="shared" si="38"/>
        <v>2.3133999999999998E-2</v>
      </c>
      <c r="P64" s="123">
        <f t="shared" si="38"/>
        <v>2.7019999999999999E-2</v>
      </c>
      <c r="Q64" s="123">
        <f t="shared" si="38"/>
        <v>1.9682000000000002E-2</v>
      </c>
      <c r="R64" s="123">
        <f t="shared" si="38"/>
        <v>1.8807000000000001E-2</v>
      </c>
      <c r="S64" s="123">
        <f t="shared" si="38"/>
        <v>2.2113025127347405E-2</v>
      </c>
      <c r="T64" s="124">
        <v>2.200348772439735E-2</v>
      </c>
      <c r="U64" s="124">
        <v>2.3344265283629241E-2</v>
      </c>
      <c r="V64" s="124">
        <v>2.3384566245094874E-2</v>
      </c>
      <c r="W64" s="124">
        <v>2.4788077101070363E-2</v>
      </c>
      <c r="X64" s="124">
        <v>2.5404402312007614E-2</v>
      </c>
      <c r="Y64" s="124">
        <v>2.6048522822899579E-2</v>
      </c>
      <c r="Z64" s="124">
        <v>2.6622083897927976E-2</v>
      </c>
      <c r="AA64" s="124">
        <v>2.7292733582322641E-2</v>
      </c>
      <c r="AB64" s="124">
        <v>2.695403248512147E-2</v>
      </c>
      <c r="AC64" s="124">
        <v>2.7455471670323476E-2</v>
      </c>
      <c r="AD64" s="124">
        <v>2.8061762541757587E-2</v>
      </c>
      <c r="AE64" s="124">
        <v>2.8504393853525385E-2</v>
      </c>
      <c r="AF64" s="124">
        <v>2.8927780891586517E-2</v>
      </c>
      <c r="AG64" s="124">
        <v>2.9336894082594857E-2</v>
      </c>
      <c r="AH64" s="124">
        <v>2.9690265556677205E-2</v>
      </c>
      <c r="AI64" s="124">
        <v>2.999856958538916E-2</v>
      </c>
      <c r="AJ64" s="124">
        <v>3.0441164424121751E-2</v>
      </c>
      <c r="AK64" s="124">
        <v>3.0851291257626434E-2</v>
      </c>
      <c r="AL64" s="124">
        <v>3.1238900946660451E-2</v>
      </c>
      <c r="AM64" s="124">
        <v>3.1613500190436197E-2</v>
      </c>
      <c r="AN64" s="124">
        <v>3.1937803982567084E-2</v>
      </c>
      <c r="AO64" s="124">
        <v>3.2299563767280312E-2</v>
      </c>
      <c r="AP64" s="124">
        <v>3.2632248872325548E-2</v>
      </c>
      <c r="AQ64" s="124">
        <v>3.3015194307996563E-2</v>
      </c>
      <c r="AR64" s="124">
        <v>3.3349550264375555E-2</v>
      </c>
      <c r="AS64" s="124">
        <v>3.3672595989160684E-2</v>
      </c>
      <c r="AT64" s="124">
        <v>3.3995350606981542E-2</v>
      </c>
      <c r="AU64" s="124">
        <v>3.431368133240055E-2</v>
      </c>
      <c r="AV64" s="124">
        <v>3.4650809700617291E-2</v>
      </c>
      <c r="AW64" s="124">
        <v>3.4964949017369837E-2</v>
      </c>
      <c r="AX64" s="124">
        <v>3.5273688586843384E-2</v>
      </c>
      <c r="AY64" s="124">
        <v>3.5580778346593615E-2</v>
      </c>
      <c r="AZ64" s="124">
        <v>3.5882561935941054E-2</v>
      </c>
      <c r="BA64" s="124">
        <v>3.618274985401726E-2</v>
      </c>
      <c r="BB64" s="124">
        <v>3.6470485482205772E-2</v>
      </c>
      <c r="BC64" s="124">
        <v>3.6753312550945452E-2</v>
      </c>
      <c r="BD64" s="124">
        <v>3.7030927263124978E-2</v>
      </c>
      <c r="BE64" s="124">
        <v>3.7302230264442023E-2</v>
      </c>
      <c r="BF64" s="124">
        <v>3.7566248835511469E-2</v>
      </c>
      <c r="BG64" s="124">
        <v>3.7823488035016686E-2</v>
      </c>
      <c r="BH64" s="124">
        <v>3.8074094141802864E-2</v>
      </c>
      <c r="BI64" s="124">
        <v>3.8317994166422981E-2</v>
      </c>
      <c r="BJ64" s="124">
        <v>3.8554574747903345E-2</v>
      </c>
      <c r="BK64" s="124">
        <v>3.878368286866548E-2</v>
      </c>
      <c r="BL64" s="124">
        <v>3.9004983888643999E-2</v>
      </c>
      <c r="BM64" s="124">
        <v>3.9218736393703657E-2</v>
      </c>
      <c r="BN64" s="124">
        <v>3.9424753613237169E-2</v>
      </c>
      <c r="BO64" s="124">
        <v>3.9622845863495217E-2</v>
      </c>
      <c r="BP64" s="114"/>
    </row>
    <row r="65" spans="1:81" x14ac:dyDescent="0.3">
      <c r="A65" s="388"/>
      <c r="D65" s="359" t="s">
        <v>494</v>
      </c>
      <c r="E65" s="115"/>
      <c r="F65" s="117" t="s">
        <v>438</v>
      </c>
      <c r="G65" s="127">
        <f t="shared" ref="G65:S65" si="39">G49/1000000</f>
        <v>0</v>
      </c>
      <c r="H65" s="127">
        <f t="shared" si="39"/>
        <v>0</v>
      </c>
      <c r="I65" s="127">
        <f t="shared" si="39"/>
        <v>0</v>
      </c>
      <c r="J65" s="127">
        <f t="shared" si="39"/>
        <v>0</v>
      </c>
      <c r="K65" s="127">
        <f t="shared" si="39"/>
        <v>0</v>
      </c>
      <c r="L65" s="123">
        <f t="shared" si="39"/>
        <v>1.0472114714214914E-2</v>
      </c>
      <c r="M65" s="123">
        <f t="shared" si="39"/>
        <v>6.6956319092416824E-3</v>
      </c>
      <c r="N65" s="123">
        <f t="shared" si="39"/>
        <v>7.3352687453287057E-3</v>
      </c>
      <c r="O65" s="123">
        <f t="shared" si="39"/>
        <v>6.0070091686241995E-3</v>
      </c>
      <c r="P65" s="123">
        <f t="shared" si="39"/>
        <v>5.2425295496718273E-3</v>
      </c>
      <c r="Q65" s="123">
        <f t="shared" si="39"/>
        <v>5.4959927723928778E-3</v>
      </c>
      <c r="R65" s="123">
        <f t="shared" si="39"/>
        <v>4.2527158461846491E-3</v>
      </c>
      <c r="S65" s="123">
        <f t="shared" si="39"/>
        <v>3.9058495068835797E-3</v>
      </c>
      <c r="T65" s="124">
        <v>3.8865017872100434E-3</v>
      </c>
      <c r="U65" s="124">
        <v>4.1233248965950164E-3</v>
      </c>
      <c r="V65" s="124">
        <v>4.1304433025824818E-3</v>
      </c>
      <c r="W65" s="124">
        <v>4.3783470675873926E-3</v>
      </c>
      <c r="X65" s="124">
        <v>4.487209310874137E-3</v>
      </c>
      <c r="Y65" s="124">
        <v>4.6009810705204294E-3</v>
      </c>
      <c r="Z65" s="124">
        <v>4.7022898344351756E-3</v>
      </c>
      <c r="AA65" s="124">
        <v>4.8207474730440616E-3</v>
      </c>
      <c r="AB65" s="124">
        <v>4.7609223018670946E-3</v>
      </c>
      <c r="AC65" s="124">
        <v>4.8494920919783177E-3</v>
      </c>
      <c r="AD65" s="124">
        <v>4.9565819581355404E-3</v>
      </c>
      <c r="AE65" s="124">
        <v>5.0347644447398445E-3</v>
      </c>
      <c r="AF65" s="124">
        <v>5.1095477927579703E-3</v>
      </c>
      <c r="AG65" s="124">
        <v>5.181809934466629E-3</v>
      </c>
      <c r="AH65" s="124">
        <v>5.2442263514807051E-3</v>
      </c>
      <c r="AI65" s="124">
        <v>5.2986824528770526E-3</v>
      </c>
      <c r="AJ65" s="124">
        <v>5.3768584972064644E-3</v>
      </c>
      <c r="AK65" s="124">
        <v>5.4492996797755062E-3</v>
      </c>
      <c r="AL65" s="124">
        <v>5.5177636327651183E-3</v>
      </c>
      <c r="AM65" s="124">
        <v>5.5839295355827748E-3</v>
      </c>
      <c r="AN65" s="124">
        <v>5.6412116939161634E-3</v>
      </c>
      <c r="AO65" s="124">
        <v>5.7051097480537239E-3</v>
      </c>
      <c r="AP65" s="124">
        <v>5.7638723074957352E-3</v>
      </c>
      <c r="AQ65" s="124">
        <v>5.8315124079553141E-3</v>
      </c>
      <c r="AR65" s="124">
        <v>5.8905700918237868E-3</v>
      </c>
      <c r="AS65" s="124">
        <v>5.9476300362495908E-3</v>
      </c>
      <c r="AT65" s="124">
        <v>6.0046385621116156E-3</v>
      </c>
      <c r="AU65" s="124">
        <v>6.0608656906814664E-3</v>
      </c>
      <c r="AV65" s="124">
        <v>6.1204130688973643E-3</v>
      </c>
      <c r="AW65" s="124">
        <v>6.1758998640492968E-3</v>
      </c>
      <c r="AX65" s="124">
        <v>6.2304328955200732E-3</v>
      </c>
      <c r="AY65" s="124">
        <v>6.2846745191686652E-3</v>
      </c>
      <c r="AZ65" s="124">
        <v>6.3379789077292565E-3</v>
      </c>
      <c r="BA65" s="124">
        <v>6.3910014510058129E-3</v>
      </c>
      <c r="BB65" s="124">
        <v>6.4418245317467227E-3</v>
      </c>
      <c r="BC65" s="124">
        <v>6.4917806078877496E-3</v>
      </c>
      <c r="BD65" s="124">
        <v>6.5408160193895911E-3</v>
      </c>
      <c r="BE65" s="124">
        <v>6.5887365860152636E-3</v>
      </c>
      <c r="BF65" s="124">
        <v>6.6353704952014101E-3</v>
      </c>
      <c r="BG65" s="124">
        <v>6.6808069560543408E-3</v>
      </c>
      <c r="BH65" s="124">
        <v>6.7250718059776683E-3</v>
      </c>
      <c r="BI65" s="124">
        <v>6.7681521527599466E-3</v>
      </c>
      <c r="BJ65" s="124">
        <v>6.8099396577345839E-3</v>
      </c>
      <c r="BK65" s="124">
        <v>6.8504072932276186E-3</v>
      </c>
      <c r="BL65" s="124">
        <v>6.8894959513726749E-3</v>
      </c>
      <c r="BM65" s="124">
        <v>6.9272513064936661E-3</v>
      </c>
      <c r="BN65" s="124">
        <v>6.9636403690796506E-3</v>
      </c>
      <c r="BO65" s="124">
        <v>6.9986296350680018E-3</v>
      </c>
      <c r="BP65" s="114"/>
    </row>
    <row r="66" spans="1:81" x14ac:dyDescent="0.3">
      <c r="A66" s="388"/>
      <c r="D66" s="359"/>
      <c r="E66" s="115"/>
      <c r="F66" s="117" t="s">
        <v>439</v>
      </c>
      <c r="G66" s="122">
        <f t="shared" ref="G66:R66" si="40">G50/1000000</f>
        <v>0.103211</v>
      </c>
      <c r="H66" s="122">
        <f t="shared" si="40"/>
        <v>0.14308699999999999</v>
      </c>
      <c r="I66" s="122">
        <f t="shared" si="40"/>
        <v>0.104271</v>
      </c>
      <c r="J66" s="122">
        <f t="shared" si="40"/>
        <v>7.9622999999999999E-2</v>
      </c>
      <c r="K66" s="122">
        <f t="shared" si="40"/>
        <v>7.1840000000000001E-2</v>
      </c>
      <c r="L66" s="123">
        <f t="shared" si="40"/>
        <v>6.7872000000000002E-2</v>
      </c>
      <c r="M66" s="123">
        <f t="shared" si="40"/>
        <v>6.0317000000000003E-2</v>
      </c>
      <c r="N66" s="123">
        <f t="shared" si="40"/>
        <v>7.0583000000000007E-2</v>
      </c>
      <c r="O66" s="123">
        <f t="shared" si="40"/>
        <v>4.3719000000000001E-2</v>
      </c>
      <c r="P66" s="123">
        <f t="shared" si="40"/>
        <v>5.2714999999999998E-2</v>
      </c>
      <c r="Q66" s="123">
        <f t="shared" si="40"/>
        <v>4.4457000000000003E-2</v>
      </c>
      <c r="R66" s="123">
        <f t="shared" si="40"/>
        <v>6.2112000000000001E-2</v>
      </c>
      <c r="S66" s="123">
        <f t="shared" ref="S66" si="41">S50/1000000</f>
        <v>4.4762764854781381E-2</v>
      </c>
      <c r="T66" s="124">
        <v>4.4541031420173516E-2</v>
      </c>
      <c r="U66" s="124">
        <v>4.7255129118739476E-2</v>
      </c>
      <c r="V66" s="124">
        <v>4.7336709203378229E-2</v>
      </c>
      <c r="W66" s="124">
        <v>5.017779612185088E-2</v>
      </c>
      <c r="X66" s="124">
        <v>5.1425405633999395E-2</v>
      </c>
      <c r="Y66" s="124">
        <v>5.2729280377556809E-2</v>
      </c>
      <c r="Z66" s="124">
        <v>5.3890323671429805E-2</v>
      </c>
      <c r="AA66" s="124">
        <v>5.5247900662800629E-2</v>
      </c>
      <c r="AB66" s="124">
        <v>5.456227771059214E-2</v>
      </c>
      <c r="AC66" s="124">
        <v>5.5577326723873076E-2</v>
      </c>
      <c r="AD66" s="124">
        <v>5.6804624009310613E-2</v>
      </c>
      <c r="AE66" s="124">
        <v>5.7700629924915613E-2</v>
      </c>
      <c r="AF66" s="124">
        <v>5.8557680207188149E-2</v>
      </c>
      <c r="AG66" s="124">
        <v>5.9385836348766798E-2</v>
      </c>
      <c r="AH66" s="124">
        <v>6.0101156125669394E-2</v>
      </c>
      <c r="AI66" s="124">
        <v>6.0725247160773758E-2</v>
      </c>
      <c r="AJ66" s="124">
        <v>6.1621179245055863E-2</v>
      </c>
      <c r="AK66" s="124">
        <v>6.2451387274173605E-2</v>
      </c>
      <c r="AL66" s="124">
        <v>6.3236014491198159E-2</v>
      </c>
      <c r="AM66" s="124">
        <v>6.3994305035678004E-2</v>
      </c>
      <c r="AN66" s="124">
        <v>6.4650783934655773E-2</v>
      </c>
      <c r="AO66" s="124">
        <v>6.5383083929060795E-2</v>
      </c>
      <c r="AP66" s="124">
        <v>6.6056528880263379E-2</v>
      </c>
      <c r="AQ66" s="124">
        <v>6.683171438249276E-2</v>
      </c>
      <c r="AR66" s="124">
        <v>6.7508541590303367E-2</v>
      </c>
      <c r="AS66" s="124">
        <v>6.8162473819504146E-2</v>
      </c>
      <c r="AT66" s="124">
        <v>6.8815816769195945E-2</v>
      </c>
      <c r="AU66" s="124">
        <v>6.9460204559917554E-2</v>
      </c>
      <c r="AV66" s="124">
        <v>7.0142643881785774E-2</v>
      </c>
      <c r="AW66" s="124">
        <v>7.0778547123719213E-2</v>
      </c>
      <c r="AX66" s="124">
        <v>7.1403519811541083E-2</v>
      </c>
      <c r="AY66" s="124">
        <v>7.2025152836685646E-2</v>
      </c>
      <c r="AZ66" s="124">
        <v>7.2636044732715052E-2</v>
      </c>
      <c r="BA66" s="124">
        <v>7.3243706556988641E-2</v>
      </c>
      <c r="BB66" s="124">
        <v>7.3826161566684118E-2</v>
      </c>
      <c r="BC66" s="124">
        <v>7.4398680319756244E-2</v>
      </c>
      <c r="BD66" s="124">
        <v>7.4960647848393999E-2</v>
      </c>
      <c r="BE66" s="124">
        <v>7.5509838761098763E-2</v>
      </c>
      <c r="BF66" s="124">
        <v>7.6044284009816054E-2</v>
      </c>
      <c r="BG66" s="124">
        <v>7.6565005970405872E-2</v>
      </c>
      <c r="BH66" s="124">
        <v>7.7072300750954406E-2</v>
      </c>
      <c r="BI66" s="124">
        <v>7.7566020601009825E-2</v>
      </c>
      <c r="BJ66" s="124">
        <v>7.804492391148074E-2</v>
      </c>
      <c r="BK66" s="124">
        <v>7.8508700933255723E-2</v>
      </c>
      <c r="BL66" s="124">
        <v>7.8956674264013205E-2</v>
      </c>
      <c r="BM66" s="124">
        <v>7.9389367351729773E-2</v>
      </c>
      <c r="BN66" s="124">
        <v>7.9806402122002323E-2</v>
      </c>
      <c r="BO66" s="124">
        <v>8.0207394603437593E-2</v>
      </c>
      <c r="BP66" s="114"/>
    </row>
    <row r="67" spans="1:81" x14ac:dyDescent="0.3">
      <c r="A67" s="388"/>
      <c r="D67" s="359"/>
      <c r="E67" s="115"/>
      <c r="F67" s="117" t="s">
        <v>440</v>
      </c>
      <c r="G67" s="122">
        <f t="shared" ref="G67:R67" si="42">G51/1000000</f>
        <v>3.4907000000000001E-2</v>
      </c>
      <c r="H67" s="122">
        <f t="shared" si="42"/>
        <v>3.5226E-2</v>
      </c>
      <c r="I67" s="122">
        <f t="shared" si="42"/>
        <v>2.9336000000000001E-2</v>
      </c>
      <c r="J67" s="122">
        <f t="shared" si="42"/>
        <v>3.4471000000000002E-2</v>
      </c>
      <c r="K67" s="122">
        <f t="shared" si="42"/>
        <v>2.1770000000000001E-2</v>
      </c>
      <c r="L67" s="123">
        <f t="shared" si="42"/>
        <v>2.0313000000000001E-2</v>
      </c>
      <c r="M67" s="123">
        <f t="shared" si="42"/>
        <v>2.3958E-2</v>
      </c>
      <c r="N67" s="123">
        <f t="shared" si="42"/>
        <v>1.6580999999999999E-2</v>
      </c>
      <c r="O67" s="123">
        <f t="shared" si="42"/>
        <v>1.4676E-2</v>
      </c>
      <c r="P67" s="123">
        <f t="shared" si="42"/>
        <v>1.4841999999999999E-2</v>
      </c>
      <c r="Q67" s="123">
        <f t="shared" si="42"/>
        <v>2.3120000000000002E-2</v>
      </c>
      <c r="R67" s="123">
        <f t="shared" si="42"/>
        <v>1.8134999999999998E-2</v>
      </c>
      <c r="S67" s="123">
        <f t="shared" ref="S67" si="43">S51/1000000</f>
        <v>1.2868210280214884E-2</v>
      </c>
      <c r="T67" s="124">
        <v>1.2804467290434315E-2</v>
      </c>
      <c r="U67" s="124">
        <v>1.3584704615351556E-2</v>
      </c>
      <c r="V67" s="124">
        <v>1.3608156912974701E-2</v>
      </c>
      <c r="W67" s="124">
        <v>1.4424900561627329E-2</v>
      </c>
      <c r="X67" s="124">
        <v>1.4783558066408527E-2</v>
      </c>
      <c r="Y67" s="124">
        <v>1.5158390461895953E-2</v>
      </c>
      <c r="Z67" s="124">
        <v>1.5492162276448984E-2</v>
      </c>
      <c r="AA67" s="124">
        <v>1.5882432766960813E-2</v>
      </c>
      <c r="AB67" s="124">
        <v>1.5685332781055491E-2</v>
      </c>
      <c r="AC67" s="124">
        <v>1.5977134777424545E-2</v>
      </c>
      <c r="AD67" s="124">
        <v>1.6329953009197828E-2</v>
      </c>
      <c r="AE67" s="124">
        <v>1.6587532999435852E-2</v>
      </c>
      <c r="AF67" s="124">
        <v>1.683391418899775E-2</v>
      </c>
      <c r="AG67" s="124">
        <v>1.7071989013224053E-2</v>
      </c>
      <c r="AH67" s="124">
        <v>1.7277626116665751E-2</v>
      </c>
      <c r="AI67" s="124">
        <v>1.7457037167340875E-2</v>
      </c>
      <c r="AJ67" s="124">
        <v>1.7714595932862523E-2</v>
      </c>
      <c r="AK67" s="124">
        <v>1.795326062503845E-2</v>
      </c>
      <c r="AL67" s="124">
        <v>1.8178821938174657E-2</v>
      </c>
      <c r="AM67" s="124">
        <v>1.8396812096099922E-2</v>
      </c>
      <c r="AN67" s="124">
        <v>1.858553387287077E-2</v>
      </c>
      <c r="AO67" s="124">
        <v>1.8796052377408532E-2</v>
      </c>
      <c r="AP67" s="124">
        <v>1.8989651483101357E-2</v>
      </c>
      <c r="AQ67" s="124">
        <v>1.9212498532009598E-2</v>
      </c>
      <c r="AR67" s="124">
        <v>1.9407069954524112E-2</v>
      </c>
      <c r="AS67" s="124">
        <v>1.9595059625440663E-2</v>
      </c>
      <c r="AT67" s="124">
        <v>1.9782879892776804E-2</v>
      </c>
      <c r="AU67" s="124">
        <v>1.996812576889527E-2</v>
      </c>
      <c r="AV67" s="124">
        <v>2.0164310538218103E-2</v>
      </c>
      <c r="AW67" s="124">
        <v>2.0347117312143191E-2</v>
      </c>
      <c r="AX67" s="124">
        <v>2.0526781816611883E-2</v>
      </c>
      <c r="AY67" s="124">
        <v>2.0705486248981903E-2</v>
      </c>
      <c r="AZ67" s="124">
        <v>2.0881102866992171E-2</v>
      </c>
      <c r="BA67" s="124">
        <v>2.1055790917638269E-2</v>
      </c>
      <c r="BB67" s="124">
        <v>2.1223232619862017E-2</v>
      </c>
      <c r="BC67" s="124">
        <v>2.1387817889065099E-2</v>
      </c>
      <c r="BD67" s="124">
        <v>2.154936993690271E-2</v>
      </c>
      <c r="BE67" s="124">
        <v>2.1707249017240911E-2</v>
      </c>
      <c r="BF67" s="124">
        <v>2.1860889076474679E-2</v>
      </c>
      <c r="BG67" s="124">
        <v>2.2010584022891282E-2</v>
      </c>
      <c r="BH67" s="124">
        <v>2.215641898039071E-2</v>
      </c>
      <c r="BI67" s="124">
        <v>2.2298351474298102E-2</v>
      </c>
      <c r="BJ67" s="124">
        <v>2.243602457208425E-2</v>
      </c>
      <c r="BK67" s="124">
        <v>2.2569349228384938E-2</v>
      </c>
      <c r="BL67" s="124">
        <v>2.2698130706446381E-2</v>
      </c>
      <c r="BM67" s="124">
        <v>2.282251948487854E-2</v>
      </c>
      <c r="BN67" s="124">
        <v>2.2942406876451382E-2</v>
      </c>
      <c r="BO67" s="124">
        <v>2.305768249869309E-2</v>
      </c>
      <c r="BP67" s="114"/>
    </row>
    <row r="68" spans="1:81" x14ac:dyDescent="0.3">
      <c r="A68" s="388"/>
      <c r="D68" s="359"/>
      <c r="E68" s="115"/>
      <c r="F68" s="117" t="s">
        <v>441</v>
      </c>
      <c r="G68" s="122">
        <f t="shared" ref="G68:R68" si="44">G52/1000000</f>
        <v>6.1058000000000001E-2</v>
      </c>
      <c r="H68" s="122">
        <f t="shared" si="44"/>
        <v>6.1837000000000003E-2</v>
      </c>
      <c r="I68" s="122">
        <f t="shared" si="44"/>
        <v>4.9937000000000002E-2</v>
      </c>
      <c r="J68" s="122">
        <f t="shared" si="44"/>
        <v>6.5528000000000003E-2</v>
      </c>
      <c r="K68" s="122">
        <f t="shared" si="44"/>
        <v>5.1978000000000003E-2</v>
      </c>
      <c r="L68" s="123">
        <f t="shared" si="44"/>
        <v>4.7606999999999997E-2</v>
      </c>
      <c r="M68" s="123">
        <f t="shared" si="44"/>
        <v>4.768E-2</v>
      </c>
      <c r="N68" s="123">
        <f t="shared" si="44"/>
        <v>4.6607000000000003E-2</v>
      </c>
      <c r="O68" s="123">
        <f t="shared" si="44"/>
        <v>3.4855999999999998E-2</v>
      </c>
      <c r="P68" s="123">
        <f t="shared" si="44"/>
        <v>3.3276E-2</v>
      </c>
      <c r="Q68" s="123">
        <f t="shared" si="44"/>
        <v>3.9843999999999997E-2</v>
      </c>
      <c r="R68" s="123">
        <f t="shared" si="44"/>
        <v>3.6563999999999999E-2</v>
      </c>
      <c r="S68" s="123">
        <f t="shared" ref="S68" si="45">S52/1000000</f>
        <v>3.5622878195690329E-2</v>
      </c>
      <c r="T68" s="124">
        <v>3.5446419409943447E-2</v>
      </c>
      <c r="U68" s="124">
        <v>3.7606338977934375E-2</v>
      </c>
      <c r="V68" s="124">
        <v>3.7671261630226036E-2</v>
      </c>
      <c r="W68" s="124">
        <v>3.9932241119952749E-2</v>
      </c>
      <c r="X68" s="124">
        <v>4.0925107441575952E-2</v>
      </c>
      <c r="Y68" s="124">
        <v>4.1962750476425739E-2</v>
      </c>
      <c r="Z68" s="124">
        <v>4.2886726105986143E-2</v>
      </c>
      <c r="AA68" s="124">
        <v>4.3967106193359341E-2</v>
      </c>
      <c r="AB68" s="124">
        <v>4.3421477186886479E-2</v>
      </c>
      <c r="AC68" s="124">
        <v>4.4229268382985937E-2</v>
      </c>
      <c r="AD68" s="124">
        <v>4.5205969930597618E-2</v>
      </c>
      <c r="AE68" s="124">
        <v>4.5919024847955021E-2</v>
      </c>
      <c r="AF68" s="124">
        <v>4.6601078289292337E-2</v>
      </c>
      <c r="AG68" s="124">
        <v>4.7260137341032696E-2</v>
      </c>
      <c r="AH68" s="124">
        <v>4.7829399525042934E-2</v>
      </c>
      <c r="AI68" s="124">
        <v>4.8326060510991177E-2</v>
      </c>
      <c r="AJ68" s="124">
        <v>4.903905667227685E-2</v>
      </c>
      <c r="AK68" s="124">
        <v>4.9699748646829585E-2</v>
      </c>
      <c r="AL68" s="124">
        <v>5.0324166728951333E-2</v>
      </c>
      <c r="AM68" s="124">
        <v>5.0927625692904578E-2</v>
      </c>
      <c r="AN68" s="124">
        <v>5.1450061425643463E-2</v>
      </c>
      <c r="AO68" s="124">
        <v>5.2032836720869856E-2</v>
      </c>
      <c r="AP68" s="124">
        <v>5.2568774291884973E-2</v>
      </c>
      <c r="AQ68" s="124">
        <v>5.3185678516067016E-2</v>
      </c>
      <c r="AR68" s="124">
        <v>5.3724307737510003E-2</v>
      </c>
      <c r="AS68" s="124">
        <v>5.4244716792326626E-2</v>
      </c>
      <c r="AT68" s="124">
        <v>5.4764656889690781E-2</v>
      </c>
      <c r="AU68" s="124">
        <v>5.5277470337522616E-2</v>
      </c>
      <c r="AV68" s="124">
        <v>5.5820565763324149E-2</v>
      </c>
      <c r="AW68" s="124">
        <v>5.63266270802497E-2</v>
      </c>
      <c r="AX68" s="124">
        <v>5.6823989698625441E-2</v>
      </c>
      <c r="AY68" s="124">
        <v>5.7318694563460844E-2</v>
      </c>
      <c r="AZ68" s="124">
        <v>5.7804851476993532E-2</v>
      </c>
      <c r="BA68" s="124">
        <v>5.8288437851081336E-2</v>
      </c>
      <c r="BB68" s="124">
        <v>5.8751964264880038E-2</v>
      </c>
      <c r="BC68" s="124">
        <v>5.9207583256950816E-2</v>
      </c>
      <c r="BD68" s="124">
        <v>5.9654805426705988E-2</v>
      </c>
      <c r="BE68" s="124">
        <v>6.0091859774285508E-2</v>
      </c>
      <c r="BF68" s="124">
        <v>6.0517179301778634E-2</v>
      </c>
      <c r="BG68" s="124">
        <v>6.0931577631195742E-2</v>
      </c>
      <c r="BH68" s="124">
        <v>6.1335290409783402E-2</v>
      </c>
      <c r="BI68" s="124">
        <v>6.17282000555208E-2</v>
      </c>
      <c r="BJ68" s="124">
        <v>6.2109318477310958E-2</v>
      </c>
      <c r="BK68" s="124">
        <v>6.2478399172175264E-2</v>
      </c>
      <c r="BL68" s="124">
        <v>6.283490305320813E-2</v>
      </c>
      <c r="BM68" s="124">
        <v>6.3179246688143315E-2</v>
      </c>
      <c r="BN68" s="124">
        <v>6.3511129199712524E-2</v>
      </c>
      <c r="BO68" s="124">
        <v>6.3830245017734433E-2</v>
      </c>
      <c r="BP68" s="114"/>
    </row>
    <row r="69" spans="1:81" x14ac:dyDescent="0.3">
      <c r="A69" s="388"/>
      <c r="D69" s="359"/>
      <c r="E69" s="115"/>
      <c r="F69" s="117" t="s">
        <v>442</v>
      </c>
      <c r="G69" s="122">
        <f t="shared" ref="G69:R69" si="46">G53/1000000</f>
        <v>0.15514800000000001</v>
      </c>
      <c r="H69" s="122">
        <f t="shared" si="46"/>
        <v>0.150426</v>
      </c>
      <c r="I69" s="122">
        <f t="shared" si="46"/>
        <v>0.119044</v>
      </c>
      <c r="J69" s="122">
        <f t="shared" si="46"/>
        <v>0.14585300000000001</v>
      </c>
      <c r="K69" s="122">
        <f t="shared" si="46"/>
        <v>0.15920799999999999</v>
      </c>
      <c r="L69" s="123">
        <f t="shared" si="46"/>
        <v>0.16367200000000001</v>
      </c>
      <c r="M69" s="123">
        <f t="shared" si="46"/>
        <v>0.16233700000000001</v>
      </c>
      <c r="N69" s="123">
        <f t="shared" si="46"/>
        <v>0.16895299999999999</v>
      </c>
      <c r="O69" s="123">
        <f t="shared" si="46"/>
        <v>0.16888900000000001</v>
      </c>
      <c r="P69" s="123">
        <f t="shared" si="46"/>
        <v>0.200348</v>
      </c>
      <c r="Q69" s="123">
        <f t="shared" si="46"/>
        <v>0.19196933089279877</v>
      </c>
      <c r="R69" s="123">
        <f t="shared" si="46"/>
        <v>0.18218500000000001</v>
      </c>
      <c r="S69" s="123">
        <f t="shared" ref="S69" si="47">S53/1000000</f>
        <v>0.14599829698417491</v>
      </c>
      <c r="T69" s="124">
        <v>0.14527509090112301</v>
      </c>
      <c r="U69" s="124">
        <v>0.15412739578275439</v>
      </c>
      <c r="V69" s="124">
        <v>0.15439347750187343</v>
      </c>
      <c r="W69" s="124">
        <v>0.16365997060225926</v>
      </c>
      <c r="X69" s="124">
        <v>0.1677291755467229</v>
      </c>
      <c r="Y69" s="124">
        <v>0.17198189524930682</v>
      </c>
      <c r="Z69" s="124">
        <v>0.17576875569414924</v>
      </c>
      <c r="AA69" s="124">
        <v>0.18019663072394354</v>
      </c>
      <c r="AB69" s="124">
        <v>0.17796040193601134</v>
      </c>
      <c r="AC69" s="124">
        <v>0.18127108722936303</v>
      </c>
      <c r="AD69" s="124">
        <v>0.18527404178653761</v>
      </c>
      <c r="AE69" s="124">
        <v>0.18819645594460996</v>
      </c>
      <c r="AF69" s="124">
        <v>0.19099181235406176</v>
      </c>
      <c r="AG69" s="124">
        <v>0.19369292759347378</v>
      </c>
      <c r="AH69" s="124">
        <v>0.19602601558671295</v>
      </c>
      <c r="AI69" s="124">
        <v>0.19806155178703314</v>
      </c>
      <c r="AJ69" s="124">
        <v>0.20098372513675858</v>
      </c>
      <c r="AK69" s="124">
        <v>0.20369153281546212</v>
      </c>
      <c r="AL69" s="124">
        <v>0.20625067405315495</v>
      </c>
      <c r="AM69" s="124">
        <v>0.20872391556253045</v>
      </c>
      <c r="AN69" s="124">
        <v>0.21086508806534032</v>
      </c>
      <c r="AO69" s="124">
        <v>0.21325355875993446</v>
      </c>
      <c r="AP69" s="124">
        <v>0.21545006776260986</v>
      </c>
      <c r="AQ69" s="124">
        <v>0.21797841389001005</v>
      </c>
      <c r="AR69" s="124">
        <v>0.22018595446560851</v>
      </c>
      <c r="AS69" s="124">
        <v>0.22231882074668188</v>
      </c>
      <c r="AT69" s="124">
        <v>0.22444976503287761</v>
      </c>
      <c r="AU69" s="124">
        <v>0.22655150115994577</v>
      </c>
      <c r="AV69" s="124">
        <v>0.22877734621466994</v>
      </c>
      <c r="AW69" s="124">
        <v>0.23085140912544388</v>
      </c>
      <c r="AX69" s="124">
        <v>0.23288982092551097</v>
      </c>
      <c r="AY69" s="124">
        <v>0.23491734007707951</v>
      </c>
      <c r="AZ69" s="124">
        <v>0.23690982594677665</v>
      </c>
      <c r="BA69" s="124">
        <v>0.23889177660987926</v>
      </c>
      <c r="BB69" s="124">
        <v>0.24079151269100196</v>
      </c>
      <c r="BC69" s="124">
        <v>0.24265884066350776</v>
      </c>
      <c r="BD69" s="124">
        <v>0.24449175474751689</v>
      </c>
      <c r="BE69" s="124">
        <v>0.24628299660297873</v>
      </c>
      <c r="BF69" s="124">
        <v>0.2480261439799816</v>
      </c>
      <c r="BG69" s="124">
        <v>0.24972453146107246</v>
      </c>
      <c r="BH69" s="124">
        <v>0.25137912483280284</v>
      </c>
      <c r="BI69" s="124">
        <v>0.25298944219209063</v>
      </c>
      <c r="BJ69" s="124">
        <v>0.25455143390497226</v>
      </c>
      <c r="BK69" s="124">
        <v>0.25606408969330896</v>
      </c>
      <c r="BL69" s="124">
        <v>0.25752520014073332</v>
      </c>
      <c r="BM69" s="124">
        <v>0.25893647252590407</v>
      </c>
      <c r="BN69" s="124">
        <v>0.26029667372081478</v>
      </c>
      <c r="BO69" s="124">
        <v>0.26160455136382754</v>
      </c>
      <c r="BP69" s="114"/>
    </row>
    <row r="70" spans="1:81" x14ac:dyDescent="0.3">
      <c r="A70" s="388"/>
      <c r="D70" s="359"/>
      <c r="E70" s="115"/>
      <c r="F70" s="117" t="s">
        <v>443</v>
      </c>
      <c r="G70" s="122">
        <f t="shared" ref="G70:R70" si="48">G54/1000000</f>
        <v>2.6640000000000001E-3</v>
      </c>
      <c r="H70" s="122">
        <f t="shared" si="48"/>
        <v>1.583E-3</v>
      </c>
      <c r="I70" s="122">
        <f t="shared" si="48"/>
        <v>3.0769999999999999E-3</v>
      </c>
      <c r="J70" s="122">
        <f t="shared" si="48"/>
        <v>1.325E-3</v>
      </c>
      <c r="K70" s="122">
        <f t="shared" si="48"/>
        <v>9.6699999999999998E-3</v>
      </c>
      <c r="L70" s="123">
        <f t="shared" si="48"/>
        <v>9.9514822792642933E-3</v>
      </c>
      <c r="M70" s="123">
        <f t="shared" si="48"/>
        <v>1.5220368090758319E-2</v>
      </c>
      <c r="N70" s="123">
        <f t="shared" si="48"/>
        <v>2.1834731254671294E-2</v>
      </c>
      <c r="O70" s="123">
        <f t="shared" si="48"/>
        <v>2.2317990831375797E-2</v>
      </c>
      <c r="P70" s="123">
        <f t="shared" si="48"/>
        <v>1.8864470450328172E-2</v>
      </c>
      <c r="Q70" s="123">
        <f t="shared" si="48"/>
        <v>1.6995821880195612E-2</v>
      </c>
      <c r="R70" s="123">
        <f t="shared" si="48"/>
        <v>1.3486945735989684E-2</v>
      </c>
      <c r="S70" s="123">
        <f>S54/1000000</f>
        <v>1.5333459965277645E-2</v>
      </c>
      <c r="T70" s="124">
        <v>1.5257505301763154E-2</v>
      </c>
      <c r="U70" s="124">
        <v>1.6187217944354043E-2</v>
      </c>
      <c r="V70" s="124">
        <v>1.6215163156537215E-2</v>
      </c>
      <c r="W70" s="124">
        <v>1.7188375885098622E-2</v>
      </c>
      <c r="X70" s="124">
        <v>1.7615743822912353E-2</v>
      </c>
      <c r="Y70" s="124">
        <v>1.8062385384150469E-2</v>
      </c>
      <c r="Z70" s="124">
        <v>1.8460100112503628E-2</v>
      </c>
      <c r="AA70" s="124">
        <v>1.8925137348574695E-2</v>
      </c>
      <c r="AB70" s="124">
        <v>1.8690277591294945E-2</v>
      </c>
      <c r="AC70" s="124">
        <v>1.9037982060811764E-2</v>
      </c>
      <c r="AD70" s="124">
        <v>1.9458392056771617E-2</v>
      </c>
      <c r="AE70" s="124">
        <v>1.976531838002606E-2</v>
      </c>
      <c r="AF70" s="124">
        <v>2.0058900472957306E-2</v>
      </c>
      <c r="AG70" s="124">
        <v>2.0342584894218845E-2</v>
      </c>
      <c r="AH70" s="124">
        <v>2.0587617282121839E-2</v>
      </c>
      <c r="AI70" s="124">
        <v>2.0801399315749709E-2</v>
      </c>
      <c r="AJ70" s="124">
        <v>2.1108300348125952E-2</v>
      </c>
      <c r="AK70" s="124">
        <v>2.1392687642311805E-2</v>
      </c>
      <c r="AL70" s="124">
        <v>2.1661461254910225E-2</v>
      </c>
      <c r="AM70" s="124">
        <v>2.1921213255117342E-2</v>
      </c>
      <c r="AN70" s="124">
        <v>2.2146089733328229E-2</v>
      </c>
      <c r="AO70" s="124">
        <v>2.2396938685201741E-2</v>
      </c>
      <c r="AP70" s="124">
        <v>2.2627626875075253E-2</v>
      </c>
      <c r="AQ70" s="124">
        <v>2.2893166233572411E-2</v>
      </c>
      <c r="AR70" s="124">
        <v>2.3125013013547756E-2</v>
      </c>
      <c r="AS70" s="124">
        <v>2.3349017131456568E-2</v>
      </c>
      <c r="AT70" s="124">
        <v>2.3572819392000476E-2</v>
      </c>
      <c r="AU70" s="124">
        <v>2.3793554067867758E-2</v>
      </c>
      <c r="AV70" s="124">
        <v>2.4027323274362158E-2</v>
      </c>
      <c r="AW70" s="124">
        <v>2.4245151572806399E-2</v>
      </c>
      <c r="AX70" s="124">
        <v>2.4459235616077577E-2</v>
      </c>
      <c r="AY70" s="124">
        <v>2.4672175659773973E-2</v>
      </c>
      <c r="AZ70" s="124">
        <v>2.4881436335723459E-2</v>
      </c>
      <c r="BA70" s="124">
        <v>2.5089590552406778E-2</v>
      </c>
      <c r="BB70" s="124">
        <v>2.5289110188910797E-2</v>
      </c>
      <c r="BC70" s="124">
        <v>2.5485226166288014E-2</v>
      </c>
      <c r="BD70" s="124">
        <v>2.5677727827660091E-2</v>
      </c>
      <c r="BE70" s="124">
        <v>2.5865852866418803E-2</v>
      </c>
      <c r="BF70" s="124">
        <v>2.6048926786258766E-2</v>
      </c>
      <c r="BG70" s="124">
        <v>2.6227299801456733E-2</v>
      </c>
      <c r="BH70" s="124">
        <v>2.6401073343671345E-2</v>
      </c>
      <c r="BI70" s="124">
        <v>2.6570196801068303E-2</v>
      </c>
      <c r="BJ70" s="124">
        <v>2.6734244861150547E-2</v>
      </c>
      <c r="BK70" s="124">
        <v>2.6893111419533898E-2</v>
      </c>
      <c r="BL70" s="124">
        <v>2.7046564432433483E-2</v>
      </c>
      <c r="BM70" s="124">
        <v>2.7194783206659752E-2</v>
      </c>
      <c r="BN70" s="124">
        <v>2.7337638233038218E-2</v>
      </c>
      <c r="BO70" s="124">
        <v>2.7474997982383734E-2</v>
      </c>
      <c r="BP70" s="114"/>
    </row>
    <row r="71" spans="1:81" x14ac:dyDescent="0.3">
      <c r="A71" s="354"/>
      <c r="B71" s="354"/>
      <c r="C71" s="354"/>
      <c r="D71" s="359"/>
      <c r="E71" s="115"/>
      <c r="F71" s="117" t="s">
        <v>444</v>
      </c>
      <c r="G71" s="122">
        <f>5411/1000000</f>
        <v>5.411E-3</v>
      </c>
      <c r="H71" s="122">
        <f>5823/1000000</f>
        <v>5.8230000000000001E-3</v>
      </c>
      <c r="I71" s="122">
        <f>6293/1000000</f>
        <v>6.293E-3</v>
      </c>
      <c r="J71" s="122">
        <f>9202/1000000</f>
        <v>9.2020000000000001E-3</v>
      </c>
      <c r="K71" s="122">
        <v>6.731E-3</v>
      </c>
      <c r="L71" s="123">
        <v>7.6280000000000002E-3</v>
      </c>
      <c r="M71" s="123">
        <v>8.352E-3</v>
      </c>
      <c r="N71" s="123">
        <v>8.848E-3</v>
      </c>
      <c r="O71" s="123">
        <v>6.96E-3</v>
      </c>
      <c r="P71" s="123">
        <v>8.6180000000000007E-3</v>
      </c>
      <c r="Q71" s="123">
        <v>4.9300000000000004E-3</v>
      </c>
      <c r="R71" s="123">
        <v>6.9629999999999996E-3</v>
      </c>
      <c r="S71" s="123">
        <f>S55/1000000</f>
        <v>7.1110000000000001E-3</v>
      </c>
      <c r="T71" s="124">
        <v>7.0757754901063022E-3</v>
      </c>
      <c r="U71" s="124">
        <v>7.5069362728934054E-3</v>
      </c>
      <c r="V71" s="124">
        <v>7.5198960617658787E-3</v>
      </c>
      <c r="W71" s="124">
        <v>7.9712303156441004E-3</v>
      </c>
      <c r="X71" s="124">
        <v>8.1694252052955697E-3</v>
      </c>
      <c r="Y71" s="124">
        <v>8.3765583734882933E-3</v>
      </c>
      <c r="Z71" s="124">
        <v>8.5610013785063135E-3</v>
      </c>
      <c r="AA71" s="124">
        <v>8.7766656704006234E-3</v>
      </c>
      <c r="AB71" s="124">
        <v>8.6677478046483288E-3</v>
      </c>
      <c r="AC71" s="124">
        <v>8.8289982000798288E-3</v>
      </c>
      <c r="AD71" s="124">
        <v>9.0239662952155807E-3</v>
      </c>
      <c r="AE71" s="124">
        <v>9.166305538256923E-3</v>
      </c>
      <c r="AF71" s="124">
        <v>9.3024563005481183E-3</v>
      </c>
      <c r="AG71" s="124">
        <v>9.4340169479270458E-3</v>
      </c>
      <c r="AH71" s="124">
        <v>9.5476524427419076E-3</v>
      </c>
      <c r="AI71" s="124">
        <v>9.6467953657723444E-3</v>
      </c>
      <c r="AJ71" s="124">
        <v>9.789122879990883E-3</v>
      </c>
      <c r="AK71" s="124">
        <v>9.9210094896363919E-3</v>
      </c>
      <c r="AL71" s="124">
        <v>1.0045655144531984E-2</v>
      </c>
      <c r="AM71" s="124">
        <v>1.0166116963172756E-2</v>
      </c>
      <c r="AN71" s="124">
        <v>1.0270405012978785E-2</v>
      </c>
      <c r="AO71" s="124">
        <v>1.0386737980281136E-2</v>
      </c>
      <c r="AP71" s="124">
        <v>1.0493721252282711E-2</v>
      </c>
      <c r="AQ71" s="124">
        <v>1.0616866999071056E-2</v>
      </c>
      <c r="AR71" s="124">
        <v>1.0724387575388341E-2</v>
      </c>
      <c r="AS71" s="124">
        <v>1.0828271061963234E-2</v>
      </c>
      <c r="AT71" s="124">
        <v>1.0932060935764161E-2</v>
      </c>
      <c r="AU71" s="124">
        <v>1.1034428195576798E-2</v>
      </c>
      <c r="AV71" s="124">
        <v>1.1142840310725368E-2</v>
      </c>
      <c r="AW71" s="124">
        <v>1.1243859717548396E-2</v>
      </c>
      <c r="AX71" s="124">
        <v>1.1343142699676937E-2</v>
      </c>
      <c r="AY71" s="124">
        <v>1.1441895143949396E-2</v>
      </c>
      <c r="AZ71" s="124">
        <v>1.1538941255528026E-2</v>
      </c>
      <c r="BA71" s="124">
        <v>1.1635474238832964E-2</v>
      </c>
      <c r="BB71" s="124">
        <v>1.1728002874795942E-2</v>
      </c>
      <c r="BC71" s="124">
        <v>1.181895303987854E-2</v>
      </c>
      <c r="BD71" s="124">
        <v>1.190822704047049E-2</v>
      </c>
      <c r="BE71" s="124">
        <v>1.1995471351515912E-2</v>
      </c>
      <c r="BF71" s="124">
        <v>1.2080373170605015E-2</v>
      </c>
      <c r="BG71" s="124">
        <v>1.2163094912074001E-2</v>
      </c>
      <c r="BH71" s="124">
        <v>1.2243683615568603E-2</v>
      </c>
      <c r="BI71" s="124">
        <v>1.2322115809494378E-2</v>
      </c>
      <c r="BJ71" s="124">
        <v>1.2398194252186795E-2</v>
      </c>
      <c r="BK71" s="124">
        <v>1.247186973699076E-2</v>
      </c>
      <c r="BL71" s="124">
        <v>1.2543034651967547E-2</v>
      </c>
      <c r="BM71" s="124">
        <v>1.2611772151912747E-2</v>
      </c>
      <c r="BN71" s="124">
        <v>1.2678022176035001E-2</v>
      </c>
      <c r="BO71" s="124">
        <v>1.2741723726748788E-2</v>
      </c>
      <c r="BP71" s="114"/>
    </row>
    <row r="72" spans="1:81" x14ac:dyDescent="0.3">
      <c r="A72" s="16"/>
      <c r="B72" s="16"/>
      <c r="C72" s="16"/>
      <c r="D72" s="128"/>
      <c r="E72" s="129"/>
      <c r="F72" s="111" t="s">
        <v>504</v>
      </c>
      <c r="G72" s="130">
        <f t="shared" ref="G72:BO72" si="49">SUM(G58:G71)</f>
        <v>1.8237780000000001</v>
      </c>
      <c r="H72" s="130">
        <f t="shared" si="49"/>
        <v>1.9546589999999993</v>
      </c>
      <c r="I72" s="130">
        <f t="shared" si="49"/>
        <v>1.7721349999999998</v>
      </c>
      <c r="J72" s="130">
        <f t="shared" si="49"/>
        <v>1.8052719999999998</v>
      </c>
      <c r="K72" s="130">
        <f t="shared" si="49"/>
        <v>1.7966580000000001</v>
      </c>
      <c r="L72" s="131">
        <f t="shared" si="49"/>
        <v>1.9378675969934793</v>
      </c>
      <c r="M72" s="131">
        <f t="shared" si="49"/>
        <v>1.7621409999999997</v>
      </c>
      <c r="N72" s="131">
        <f t="shared" si="49"/>
        <v>1.8634029999999999</v>
      </c>
      <c r="O72" s="131">
        <f t="shared" si="49"/>
        <v>1.7906900000000001</v>
      </c>
      <c r="P72" s="131">
        <f t="shared" si="49"/>
        <v>1.8328380000000004</v>
      </c>
      <c r="Q72" s="131">
        <f t="shared" si="49"/>
        <v>1.8182911455453874</v>
      </c>
      <c r="R72" s="131">
        <f t="shared" si="49"/>
        <v>1.8217366615821744</v>
      </c>
      <c r="S72" s="112">
        <f>SUM(S58:S71)</f>
        <v>1.6874604943895515</v>
      </c>
      <c r="T72" s="112">
        <f t="shared" si="49"/>
        <v>1.6791016181583811</v>
      </c>
      <c r="U72" s="112">
        <f t="shared" si="49"/>
        <v>1.7814172963588188</v>
      </c>
      <c r="V72" s="112">
        <f t="shared" si="49"/>
        <v>1.7844926910625067</v>
      </c>
      <c r="W72" s="112">
        <f t="shared" si="49"/>
        <v>1.893262982283594</v>
      </c>
      <c r="X72" s="112">
        <f t="shared" si="49"/>
        <v>1.9449521887835037</v>
      </c>
      <c r="Y72" s="112">
        <f t="shared" si="49"/>
        <v>1.9992484715848851</v>
      </c>
      <c r="Z72" s="112">
        <f t="shared" si="49"/>
        <v>2.0498713217032365</v>
      </c>
      <c r="AA72" s="112">
        <f t="shared" si="49"/>
        <v>2.1076354895278624</v>
      </c>
      <c r="AB72" s="112">
        <f t="shared" si="49"/>
        <v>2.1002343786367286</v>
      </c>
      <c r="AC72" s="112">
        <f t="shared" si="49"/>
        <v>2.1482328744686274</v>
      </c>
      <c r="AD72" s="112">
        <f t="shared" si="49"/>
        <v>2.2040241556552291</v>
      </c>
      <c r="AE72" s="112">
        <f t="shared" si="49"/>
        <v>2.2497845542570927</v>
      </c>
      <c r="AF72" s="112">
        <f t="shared" si="49"/>
        <v>2.2950378868358685</v>
      </c>
      <c r="AG72" s="112">
        <f t="shared" si="49"/>
        <v>2.3401114409587054</v>
      </c>
      <c r="AH72" s="112">
        <f t="shared" si="49"/>
        <v>2.3651485076316217</v>
      </c>
      <c r="AI72" s="112">
        <f t="shared" si="49"/>
        <v>2.3871164903982174</v>
      </c>
      <c r="AJ72" s="112">
        <f t="shared" si="49"/>
        <v>2.4182482959166354</v>
      </c>
      <c r="AK72" s="112">
        <f t="shared" si="49"/>
        <v>2.4471703919339096</v>
      </c>
      <c r="AL72" s="112">
        <f t="shared" si="49"/>
        <v>2.4745614868602868</v>
      </c>
      <c r="AM72" s="112">
        <f t="shared" si="49"/>
        <v>2.5010699957965543</v>
      </c>
      <c r="AN72" s="112">
        <f t="shared" si="49"/>
        <v>2.5241529700020586</v>
      </c>
      <c r="AO72" s="112">
        <f t="shared" si="49"/>
        <v>2.5497954000936476</v>
      </c>
      <c r="AP72" s="112">
        <f t="shared" si="49"/>
        <v>2.5734596771309941</v>
      </c>
      <c r="AQ72" s="112">
        <f t="shared" si="49"/>
        <v>2.6005567606642779</v>
      </c>
      <c r="AR72" s="112">
        <f t="shared" si="49"/>
        <v>2.6243447596363403</v>
      </c>
      <c r="AS72" s="112">
        <f t="shared" si="49"/>
        <v>2.6473662783625396</v>
      </c>
      <c r="AT72" s="112">
        <f t="shared" si="49"/>
        <v>2.670372885684039</v>
      </c>
      <c r="AU72" s="112">
        <f t="shared" si="49"/>
        <v>2.6930827353667515</v>
      </c>
      <c r="AV72" s="112">
        <f t="shared" si="49"/>
        <v>2.7170796451377908</v>
      </c>
      <c r="AW72" s="112">
        <f t="shared" si="49"/>
        <v>2.7395136359188013</v>
      </c>
      <c r="AX72" s="112">
        <f t="shared" si="49"/>
        <v>2.7615843871116743</v>
      </c>
      <c r="AY72" s="112">
        <f t="shared" si="49"/>
        <v>2.7835476832664723</v>
      </c>
      <c r="AZ72" s="112">
        <f t="shared" si="49"/>
        <v>2.8051541726689373</v>
      </c>
      <c r="BA72" s="112">
        <f t="shared" si="49"/>
        <v>2.8266569502783945</v>
      </c>
      <c r="BB72" s="112">
        <f t="shared" si="49"/>
        <v>2.8473155809395494</v>
      </c>
      <c r="BC72" s="112">
        <f t="shared" si="49"/>
        <v>2.8676446001391573</v>
      </c>
      <c r="BD72" s="112">
        <f t="shared" si="49"/>
        <v>2.8876233136632803</v>
      </c>
      <c r="BE72" s="112">
        <f t="shared" si="49"/>
        <v>2.907176767542603</v>
      </c>
      <c r="BF72" s="112">
        <f t="shared" si="49"/>
        <v>2.9262386448981639</v>
      </c>
      <c r="BG72" s="112">
        <f t="shared" si="49"/>
        <v>2.9448434188033428</v>
      </c>
      <c r="BH72" s="112">
        <f t="shared" si="49"/>
        <v>2.9630010923770436</v>
      </c>
      <c r="BI72" s="112">
        <f t="shared" si="49"/>
        <v>2.9807067139775589</v>
      </c>
      <c r="BJ72" s="112">
        <f t="shared" si="49"/>
        <v>2.997918476798525</v>
      </c>
      <c r="BK72" s="112">
        <f t="shared" si="49"/>
        <v>3.0146259712552297</v>
      </c>
      <c r="BL72" s="112">
        <f t="shared" si="49"/>
        <v>3.0308064005847513</v>
      </c>
      <c r="BM72" s="112">
        <f t="shared" si="49"/>
        <v>3.0464774283177896</v>
      </c>
      <c r="BN72" s="112">
        <f t="shared" si="49"/>
        <v>3.061626343194249</v>
      </c>
      <c r="BO72" s="112">
        <f t="shared" si="49"/>
        <v>3.0762402354030467</v>
      </c>
      <c r="BP72" s="132"/>
      <c r="BQ72" s="13"/>
      <c r="BR72" s="13"/>
      <c r="BS72" s="13"/>
      <c r="BT72" s="13"/>
      <c r="BU72" s="13"/>
      <c r="BV72" s="13"/>
      <c r="BW72" s="13"/>
      <c r="BX72" s="13"/>
      <c r="BY72" s="13"/>
      <c r="BZ72" s="13"/>
      <c r="CA72" s="13"/>
      <c r="CB72" s="13"/>
      <c r="CC72" s="13"/>
    </row>
    <row r="73" spans="1:81" ht="15" thickBot="1" x14ac:dyDescent="0.35">
      <c r="A73" s="354"/>
      <c r="B73" s="354"/>
      <c r="C73" s="354"/>
      <c r="D73" s="359"/>
      <c r="E73" s="135"/>
      <c r="F73" s="136"/>
      <c r="G73" s="136"/>
      <c r="H73" s="136"/>
      <c r="I73" s="136"/>
      <c r="J73" s="136"/>
      <c r="K73" s="136"/>
      <c r="L73" s="137"/>
      <c r="M73" s="137"/>
      <c r="N73" s="137"/>
      <c r="O73" s="137"/>
      <c r="P73" s="137"/>
      <c r="Q73" s="137"/>
      <c r="R73" s="137"/>
      <c r="S73" s="137"/>
      <c r="T73" s="137"/>
      <c r="U73" s="137"/>
      <c r="V73" s="137"/>
      <c r="W73" s="137"/>
      <c r="X73" s="137"/>
      <c r="Y73" s="137"/>
      <c r="Z73" s="137"/>
      <c r="AA73" s="137"/>
      <c r="AB73" s="137"/>
      <c r="AC73" s="137"/>
      <c r="AD73" s="137"/>
      <c r="AE73" s="137"/>
      <c r="AF73" s="137"/>
      <c r="AG73" s="137"/>
      <c r="AH73" s="137"/>
      <c r="AI73" s="137"/>
      <c r="AJ73" s="137"/>
      <c r="AK73" s="137"/>
      <c r="AL73" s="137"/>
      <c r="AM73" s="137"/>
      <c r="AN73" s="137"/>
      <c r="AO73" s="137"/>
      <c r="AP73" s="137"/>
      <c r="AQ73" s="137"/>
      <c r="AR73" s="137"/>
      <c r="AS73" s="137"/>
      <c r="AT73" s="137"/>
      <c r="AU73" s="137"/>
      <c r="AV73" s="137"/>
      <c r="AW73" s="137"/>
      <c r="AX73" s="137"/>
      <c r="AY73" s="137"/>
      <c r="AZ73" s="137"/>
      <c r="BA73" s="137"/>
      <c r="BB73" s="137"/>
      <c r="BC73" s="137"/>
      <c r="BD73" s="137"/>
      <c r="BE73" s="137"/>
      <c r="BF73" s="137"/>
      <c r="BG73" s="137"/>
      <c r="BH73" s="137"/>
      <c r="BI73" s="137"/>
      <c r="BJ73" s="137"/>
      <c r="BK73" s="137"/>
      <c r="BL73" s="137"/>
      <c r="BM73" s="137"/>
      <c r="BN73" s="137"/>
      <c r="BO73" s="137"/>
      <c r="BP73" s="138"/>
    </row>
    <row r="74" spans="1:81" x14ac:dyDescent="0.3">
      <c r="A74" s="354"/>
      <c r="B74" s="354"/>
      <c r="C74" s="354"/>
      <c r="D74" s="359"/>
      <c r="E74" s="359"/>
      <c r="F74" s="103"/>
      <c r="G74" s="103"/>
      <c r="H74" s="103"/>
      <c r="I74" s="103"/>
      <c r="J74" s="103"/>
      <c r="K74" s="103"/>
      <c r="L74" s="359"/>
      <c r="M74" s="359"/>
      <c r="N74" s="359"/>
      <c r="O74" s="359"/>
      <c r="P74" s="359"/>
      <c r="Q74" s="359"/>
      <c r="R74" s="359"/>
      <c r="S74" s="359"/>
      <c r="T74" s="359"/>
      <c r="U74" s="359"/>
      <c r="V74" s="359"/>
      <c r="W74" s="359"/>
      <c r="X74" s="359"/>
      <c r="Y74" s="359"/>
      <c r="Z74" s="359"/>
      <c r="AA74" s="359"/>
      <c r="AB74" s="359"/>
      <c r="AC74" s="359"/>
      <c r="AD74" s="359"/>
      <c r="AE74" s="359"/>
      <c r="AF74" s="359"/>
      <c r="AG74" s="359"/>
      <c r="AH74" s="359"/>
      <c r="AI74" s="359"/>
      <c r="AJ74" s="359"/>
      <c r="AK74" s="359"/>
      <c r="AL74" s="359"/>
      <c r="AM74" s="359"/>
      <c r="AN74" s="359"/>
      <c r="AO74" s="359"/>
      <c r="AP74" s="359"/>
      <c r="AQ74" s="359"/>
      <c r="AR74" s="359"/>
      <c r="AS74" s="359"/>
      <c r="AT74" s="359"/>
      <c r="AU74" s="359"/>
      <c r="AV74" s="359"/>
      <c r="AW74" s="359"/>
      <c r="AX74" s="359"/>
      <c r="AY74" s="359"/>
      <c r="AZ74" s="359"/>
      <c r="BA74" s="359"/>
      <c r="BB74" s="359"/>
      <c r="BC74" s="359"/>
      <c r="BD74" s="359"/>
      <c r="BE74" s="359"/>
      <c r="BF74" s="359"/>
      <c r="BG74" s="359"/>
      <c r="BH74" s="359"/>
      <c r="BI74" s="359"/>
      <c r="BJ74" s="359"/>
      <c r="BK74" s="359"/>
      <c r="BL74" s="359"/>
      <c r="BM74" s="359"/>
      <c r="BN74" s="359"/>
      <c r="BO74" s="359"/>
      <c r="BP74" s="103"/>
    </row>
    <row r="75" spans="1:81" x14ac:dyDescent="0.3">
      <c r="A75" s="354"/>
      <c r="B75" s="354"/>
      <c r="C75" s="354"/>
      <c r="D75" s="359"/>
      <c r="E75" s="359" t="s">
        <v>494</v>
      </c>
      <c r="F75" s="103" t="s">
        <v>507</v>
      </c>
      <c r="G75" s="103"/>
      <c r="H75" s="103"/>
      <c r="I75" s="103"/>
      <c r="J75" s="103"/>
      <c r="K75" s="103"/>
      <c r="L75" s="359"/>
      <c r="M75" s="359"/>
      <c r="N75" s="359"/>
      <c r="O75" s="359"/>
      <c r="P75" s="359"/>
      <c r="Q75" s="359"/>
      <c r="R75" s="359"/>
      <c r="S75" s="359"/>
      <c r="T75" s="359"/>
      <c r="U75" s="359"/>
      <c r="V75" s="359"/>
      <c r="W75" s="359"/>
      <c r="X75" s="359"/>
      <c r="Y75" s="359"/>
      <c r="Z75" s="359"/>
      <c r="AA75" s="359"/>
      <c r="AB75" s="359"/>
      <c r="AC75" s="359"/>
      <c r="AD75" s="359"/>
      <c r="AE75" s="359"/>
      <c r="AF75" s="359"/>
      <c r="AG75" s="359"/>
      <c r="AH75" s="359"/>
      <c r="AI75" s="359"/>
      <c r="AJ75" s="359"/>
      <c r="AK75" s="359"/>
      <c r="AL75" s="359"/>
      <c r="AM75" s="359"/>
      <c r="AN75" s="359"/>
      <c r="AO75" s="359"/>
      <c r="AP75" s="359"/>
      <c r="AQ75" s="359"/>
      <c r="AR75" s="359"/>
      <c r="AS75" s="359"/>
      <c r="AT75" s="359"/>
      <c r="AU75" s="359"/>
      <c r="AV75" s="359"/>
      <c r="AW75" s="359"/>
      <c r="AX75" s="359"/>
      <c r="AY75" s="359"/>
      <c r="AZ75" s="359"/>
      <c r="BA75" s="359"/>
      <c r="BB75" s="359"/>
      <c r="BC75" s="359"/>
      <c r="BD75" s="359"/>
      <c r="BE75" s="359"/>
      <c r="BF75" s="359"/>
      <c r="BG75" s="359"/>
      <c r="BH75" s="359"/>
      <c r="BI75" s="359"/>
      <c r="BJ75" s="359"/>
      <c r="BK75" s="359"/>
      <c r="BL75" s="359"/>
      <c r="BM75" s="359"/>
      <c r="BN75" s="359"/>
      <c r="BO75" s="359"/>
      <c r="BP75" s="103"/>
    </row>
    <row r="76" spans="1:81" x14ac:dyDescent="0.3">
      <c r="A76" s="354"/>
      <c r="B76" s="354"/>
      <c r="C76" s="354"/>
      <c r="D76" s="359"/>
      <c r="E76" s="359"/>
      <c r="F76" s="103"/>
      <c r="G76" s="103"/>
      <c r="H76" s="103"/>
      <c r="I76" s="103"/>
      <c r="J76" s="103"/>
      <c r="K76" s="103"/>
      <c r="L76" s="359"/>
      <c r="M76" s="359"/>
      <c r="N76" s="359"/>
      <c r="O76" s="359"/>
      <c r="P76" s="359"/>
      <c r="Q76" s="359"/>
      <c r="R76" s="359"/>
      <c r="S76" s="359"/>
      <c r="T76" s="359"/>
      <c r="U76" s="359"/>
      <c r="V76" s="359"/>
      <c r="W76" s="359"/>
      <c r="X76" s="359"/>
      <c r="Y76" s="359"/>
      <c r="Z76" s="359"/>
      <c r="AA76" s="359"/>
      <c r="AB76" s="359"/>
      <c r="AC76" s="359"/>
      <c r="AD76" s="359"/>
      <c r="AE76" s="359"/>
      <c r="AF76" s="359"/>
      <c r="AG76" s="359"/>
      <c r="AH76" s="359"/>
      <c r="AI76" s="359"/>
      <c r="AJ76" s="359"/>
      <c r="AK76" s="359"/>
      <c r="AL76" s="359"/>
      <c r="AM76" s="359"/>
      <c r="AN76" s="359"/>
      <c r="AO76" s="359"/>
      <c r="AP76" s="359"/>
      <c r="AQ76" s="359"/>
      <c r="AR76" s="359"/>
      <c r="AS76" s="359"/>
      <c r="AT76" s="359"/>
      <c r="AU76" s="359"/>
      <c r="AV76" s="359"/>
      <c r="AW76" s="359"/>
      <c r="AX76" s="359"/>
      <c r="AY76" s="359"/>
      <c r="AZ76" s="359"/>
      <c r="BA76" s="359"/>
      <c r="BB76" s="359"/>
      <c r="BC76" s="359"/>
      <c r="BD76" s="359"/>
      <c r="BE76" s="359"/>
      <c r="BF76" s="359"/>
      <c r="BG76" s="359"/>
      <c r="BH76" s="359"/>
      <c r="BI76" s="359"/>
      <c r="BJ76" s="359"/>
      <c r="BK76" s="359"/>
      <c r="BL76" s="359"/>
      <c r="BM76" s="359"/>
      <c r="BN76" s="359"/>
      <c r="BO76" s="359"/>
      <c r="BP76" s="103"/>
    </row>
    <row r="77" spans="1:81" ht="25.8" x14ac:dyDescent="0.3">
      <c r="A77" s="354"/>
      <c r="B77" s="354"/>
      <c r="C77" s="354"/>
      <c r="D77" s="359"/>
      <c r="E77" s="104"/>
      <c r="F77" s="104" t="s">
        <v>508</v>
      </c>
      <c r="G77" s="104"/>
      <c r="H77" s="103"/>
      <c r="I77" s="103"/>
      <c r="J77" s="103"/>
      <c r="K77" s="103"/>
      <c r="L77" s="359"/>
      <c r="M77" s="359"/>
      <c r="N77" s="359"/>
      <c r="O77" s="359"/>
      <c r="P77" s="359"/>
      <c r="Q77" s="359"/>
      <c r="R77" s="359"/>
      <c r="S77" s="359"/>
      <c r="T77" s="359"/>
      <c r="U77" s="359"/>
      <c r="V77" s="359"/>
      <c r="W77" s="359"/>
      <c r="X77" s="359"/>
      <c r="Y77" s="359"/>
      <c r="Z77" s="359"/>
      <c r="AA77" s="359"/>
      <c r="AB77" s="359"/>
      <c r="AC77" s="359"/>
      <c r="AD77" s="359"/>
      <c r="AE77" s="359"/>
      <c r="AF77" s="359"/>
      <c r="AG77" s="359"/>
      <c r="AH77" s="359"/>
      <c r="AI77" s="359"/>
      <c r="AJ77" s="359"/>
      <c r="AK77" s="359"/>
      <c r="AL77" s="359"/>
      <c r="AM77" s="359"/>
      <c r="AN77" s="359"/>
      <c r="AO77" s="359"/>
      <c r="AP77" s="359"/>
      <c r="AQ77" s="359"/>
      <c r="AR77" s="359"/>
      <c r="AS77" s="359"/>
      <c r="AT77" s="359"/>
      <c r="AU77" s="359"/>
      <c r="AV77" s="359"/>
      <c r="AW77" s="359"/>
      <c r="AX77" s="359"/>
      <c r="AY77" s="359"/>
      <c r="AZ77" s="359"/>
      <c r="BA77" s="359"/>
      <c r="BB77" s="359"/>
      <c r="BC77" s="359"/>
      <c r="BD77" s="359"/>
      <c r="BE77" s="359"/>
      <c r="BF77" s="359"/>
      <c r="BG77" s="359"/>
      <c r="BH77" s="359"/>
      <c r="BI77" s="359"/>
      <c r="BJ77" s="359"/>
      <c r="BK77" s="359"/>
      <c r="BL77" s="359"/>
      <c r="BM77" s="359"/>
      <c r="BN77" s="359"/>
      <c r="BO77" s="359"/>
      <c r="BP77" s="103"/>
    </row>
    <row r="78" spans="1:81" ht="15" thickBot="1" x14ac:dyDescent="0.35">
      <c r="A78" s="354"/>
      <c r="B78" s="354"/>
      <c r="C78" s="354"/>
      <c r="D78" s="359"/>
      <c r="E78" s="359"/>
      <c r="F78" s="103"/>
      <c r="G78" s="103"/>
      <c r="H78" s="103"/>
      <c r="I78" s="103"/>
      <c r="J78" s="103"/>
      <c r="K78" s="103"/>
      <c r="L78" s="359"/>
      <c r="M78" s="359"/>
      <c r="N78" s="359"/>
      <c r="O78" s="359"/>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103"/>
    </row>
    <row r="79" spans="1:81" x14ac:dyDescent="0.3">
      <c r="A79" s="354"/>
      <c r="B79" s="354"/>
      <c r="C79" s="354"/>
      <c r="D79" s="359"/>
      <c r="E79" s="105"/>
      <c r="F79" s="106"/>
      <c r="G79" s="106"/>
      <c r="H79" s="106"/>
      <c r="I79" s="106"/>
      <c r="J79" s="106"/>
      <c r="K79" s="106"/>
      <c r="L79" s="107"/>
      <c r="M79" s="107"/>
      <c r="N79" s="107"/>
      <c r="O79" s="107"/>
      <c r="P79" s="107"/>
      <c r="Q79" s="107"/>
      <c r="R79" s="107"/>
      <c r="S79" s="107"/>
      <c r="T79" s="107"/>
      <c r="U79" s="107"/>
      <c r="V79" s="107"/>
      <c r="W79" s="107"/>
      <c r="X79" s="107"/>
      <c r="Y79" s="107"/>
      <c r="Z79" s="107"/>
      <c r="AA79" s="107"/>
      <c r="AB79" s="107"/>
      <c r="AC79" s="107"/>
      <c r="AD79" s="107"/>
      <c r="AE79" s="107"/>
      <c r="AF79" s="107"/>
      <c r="AG79" s="107"/>
      <c r="AH79" s="107"/>
      <c r="AI79" s="107"/>
      <c r="AJ79" s="107"/>
      <c r="AK79" s="107"/>
      <c r="AL79" s="107"/>
      <c r="AM79" s="107"/>
      <c r="AN79" s="107"/>
      <c r="AO79" s="107"/>
      <c r="AP79" s="107"/>
      <c r="AQ79" s="107"/>
      <c r="AR79" s="107"/>
      <c r="AS79" s="107"/>
      <c r="AT79" s="107"/>
      <c r="AU79" s="107"/>
      <c r="AV79" s="107"/>
      <c r="AW79" s="107"/>
      <c r="AX79" s="107"/>
      <c r="AY79" s="107"/>
      <c r="AZ79" s="107"/>
      <c r="BA79" s="107"/>
      <c r="BB79" s="107"/>
      <c r="BC79" s="107"/>
      <c r="BD79" s="107"/>
      <c r="BE79" s="107"/>
      <c r="BF79" s="107"/>
      <c r="BG79" s="107"/>
      <c r="BH79" s="107"/>
      <c r="BI79" s="107"/>
      <c r="BJ79" s="107"/>
      <c r="BK79" s="107"/>
      <c r="BL79" s="107"/>
      <c r="BM79" s="107"/>
      <c r="BN79" s="107"/>
      <c r="BO79" s="107"/>
      <c r="BP79" s="108"/>
    </row>
    <row r="80" spans="1:81" ht="15.6" x14ac:dyDescent="0.3">
      <c r="A80" s="354"/>
      <c r="B80" s="354"/>
      <c r="C80" s="354"/>
      <c r="D80" s="359"/>
      <c r="E80" s="109"/>
      <c r="F80" s="110" t="s">
        <v>509</v>
      </c>
      <c r="G80" s="111"/>
      <c r="H80" s="111"/>
      <c r="I80" s="111"/>
      <c r="J80" s="111"/>
      <c r="K80" s="111"/>
      <c r="L80" s="112"/>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c r="AO80" s="113"/>
      <c r="AP80" s="113"/>
      <c r="AQ80" s="113"/>
      <c r="AR80" s="113"/>
      <c r="AS80" s="113"/>
      <c r="AT80" s="113"/>
      <c r="AU80" s="113"/>
      <c r="AV80" s="113"/>
      <c r="AW80" s="113"/>
      <c r="AX80" s="113"/>
      <c r="AY80" s="113"/>
      <c r="AZ80" s="113"/>
      <c r="BA80" s="113"/>
      <c r="BB80" s="113"/>
      <c r="BC80" s="113"/>
      <c r="BD80" s="113"/>
      <c r="BE80" s="113"/>
      <c r="BF80" s="113"/>
      <c r="BG80" s="113"/>
      <c r="BH80" s="113"/>
      <c r="BI80" s="113"/>
      <c r="BJ80" s="113"/>
      <c r="BK80" s="113"/>
      <c r="BL80" s="113"/>
      <c r="BM80" s="113"/>
      <c r="BN80" s="113"/>
      <c r="BO80" s="113"/>
      <c r="BP80" s="114"/>
    </row>
    <row r="81" spans="1:68" ht="15.6" x14ac:dyDescent="0.3">
      <c r="A81" s="354"/>
      <c r="B81" s="354"/>
      <c r="C81" s="354"/>
      <c r="D81" s="359"/>
      <c r="E81" s="115"/>
      <c r="F81" s="116" t="s">
        <v>510</v>
      </c>
      <c r="G81" s="111"/>
      <c r="H81" s="111"/>
      <c r="I81" s="111"/>
      <c r="J81" s="111"/>
      <c r="K81" s="111"/>
      <c r="L81" s="112"/>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c r="AU81" s="113"/>
      <c r="AV81" s="113"/>
      <c r="AW81" s="113"/>
      <c r="AX81" s="113"/>
      <c r="AY81" s="113"/>
      <c r="AZ81" s="113"/>
      <c r="BA81" s="113"/>
      <c r="BB81" s="113"/>
      <c r="BC81" s="113"/>
      <c r="BD81" s="113"/>
      <c r="BE81" s="113"/>
      <c r="BF81" s="113"/>
      <c r="BG81" s="113"/>
      <c r="BH81" s="113"/>
      <c r="BI81" s="113"/>
      <c r="BJ81" s="113"/>
      <c r="BK81" s="113"/>
      <c r="BL81" s="113"/>
      <c r="BM81" s="113"/>
      <c r="BN81" s="113"/>
      <c r="BO81" s="113"/>
      <c r="BP81" s="114"/>
    </row>
    <row r="82" spans="1:68" x14ac:dyDescent="0.3">
      <c r="A82" s="382" t="s">
        <v>487</v>
      </c>
      <c r="B82" s="354"/>
      <c r="C82" s="354"/>
      <c r="D82" s="359"/>
      <c r="E82" s="115"/>
      <c r="F82" s="117" t="s">
        <v>511</v>
      </c>
      <c r="G82" s="118">
        <v>7931060</v>
      </c>
      <c r="H82" s="118">
        <v>7427776</v>
      </c>
      <c r="I82" s="118">
        <v>7012244</v>
      </c>
      <c r="J82" s="118">
        <v>5995527</v>
      </c>
      <c r="K82" s="118">
        <v>6907376</v>
      </c>
      <c r="L82" s="119">
        <v>7194431</v>
      </c>
      <c r="M82" s="119">
        <v>6529676</v>
      </c>
      <c r="N82" s="119">
        <v>6282105</v>
      </c>
      <c r="O82" s="119">
        <v>6505635</v>
      </c>
      <c r="P82" s="119">
        <v>6583477</v>
      </c>
      <c r="Q82" s="119">
        <v>6023390</v>
      </c>
      <c r="R82" s="119">
        <v>6684916</v>
      </c>
      <c r="S82" s="139">
        <v>6078789</v>
      </c>
      <c r="T82" s="139">
        <f t="shared" ref="T82" si="50">T98*1000000</f>
        <v>6617614.8515088838</v>
      </c>
      <c r="U82" s="139">
        <f t="shared" ref="U82:AZ82" si="51">U98*1000000</f>
        <v>7020857.7191704838</v>
      </c>
      <c r="V82" s="139">
        <f t="shared" si="51"/>
        <v>7032978.3540655309</v>
      </c>
      <c r="W82" s="139">
        <f t="shared" si="51"/>
        <v>7068143.2458358575</v>
      </c>
      <c r="X82" s="139">
        <f t="shared" si="51"/>
        <v>7103483.9620650364</v>
      </c>
      <c r="Y82" s="139">
        <f t="shared" si="51"/>
        <v>7139001.3818753604</v>
      </c>
      <c r="Z82" s="139">
        <f t="shared" si="51"/>
        <v>7174696.3887847364</v>
      </c>
      <c r="AA82" s="139">
        <f t="shared" si="51"/>
        <v>7210569.8707286604</v>
      </c>
      <c r="AB82" s="139">
        <f t="shared" si="51"/>
        <v>7246622.7200823026</v>
      </c>
      <c r="AC82" s="139">
        <f t="shared" si="51"/>
        <v>7282855.833682714</v>
      </c>
      <c r="AD82" s="139">
        <f t="shared" si="51"/>
        <v>7319270.1128511271</v>
      </c>
      <c r="AE82" s="139">
        <f t="shared" si="51"/>
        <v>7355866.4634153824</v>
      </c>
      <c r="AF82" s="139">
        <f t="shared" si="51"/>
        <v>7392645.7957324581</v>
      </c>
      <c r="AG82" s="139">
        <f t="shared" si="51"/>
        <v>7429609.0247111199</v>
      </c>
      <c r="AH82" s="139">
        <f t="shared" si="51"/>
        <v>7466757.0698346747</v>
      </c>
      <c r="AI82" s="139">
        <f t="shared" si="51"/>
        <v>7504090.8551838482</v>
      </c>
      <c r="AJ82" s="139">
        <f t="shared" si="51"/>
        <v>7541611.3094597654</v>
      </c>
      <c r="AK82" s="139">
        <f t="shared" si="51"/>
        <v>7579319.3660070635</v>
      </c>
      <c r="AL82" s="139">
        <f t="shared" si="51"/>
        <v>7617215.9628370972</v>
      </c>
      <c r="AM82" s="139">
        <f t="shared" si="51"/>
        <v>7655302.0426512817</v>
      </c>
      <c r="AN82" s="139">
        <f t="shared" si="51"/>
        <v>7693578.5528645376</v>
      </c>
      <c r="AO82" s="139">
        <f t="shared" si="51"/>
        <v>7732046.4456288591</v>
      </c>
      <c r="AP82" s="139">
        <f t="shared" si="51"/>
        <v>7770706.6778570041</v>
      </c>
      <c r="AQ82" s="139">
        <f t="shared" si="51"/>
        <v>7809560.2112462884</v>
      </c>
      <c r="AR82" s="139">
        <f t="shared" si="51"/>
        <v>7848608.0123025188</v>
      </c>
      <c r="AS82" s="139">
        <f t="shared" si="51"/>
        <v>7887851.0523640309</v>
      </c>
      <c r="AT82" s="139">
        <f t="shared" si="51"/>
        <v>7927290.3076258507</v>
      </c>
      <c r="AU82" s="139">
        <f t="shared" si="51"/>
        <v>7966926.7591639785</v>
      </c>
      <c r="AV82" s="139">
        <f t="shared" si="51"/>
        <v>8006761.3929597968</v>
      </c>
      <c r="AW82" s="139">
        <f t="shared" si="51"/>
        <v>8046795.1999245957</v>
      </c>
      <c r="AX82" s="139">
        <f t="shared" si="51"/>
        <v>8087029.1759242183</v>
      </c>
      <c r="AY82" s="139">
        <f t="shared" si="51"/>
        <v>8127464.3218038389</v>
      </c>
      <c r="AZ82" s="139">
        <f t="shared" si="51"/>
        <v>8168101.6434128573</v>
      </c>
      <c r="BA82" s="139">
        <f t="shared" ref="BA82:BO82" si="52">BA98*1000000</f>
        <v>8208942.1516299201</v>
      </c>
      <c r="BB82" s="139">
        <f t="shared" si="52"/>
        <v>8249986.8623880679</v>
      </c>
      <c r="BC82" s="139">
        <f t="shared" si="52"/>
        <v>8291236.7967000091</v>
      </c>
      <c r="BD82" s="139">
        <f t="shared" si="52"/>
        <v>8332692.9806835074</v>
      </c>
      <c r="BE82" s="139">
        <f t="shared" si="52"/>
        <v>8374356.4455869244</v>
      </c>
      <c r="BF82" s="139">
        <f t="shared" si="52"/>
        <v>8416228.2278148588</v>
      </c>
      <c r="BG82" s="139">
        <f t="shared" si="52"/>
        <v>8458309.3689539302</v>
      </c>
      <c r="BH82" s="139">
        <f t="shared" si="52"/>
        <v>8500600.9157986995</v>
      </c>
      <c r="BI82" s="139">
        <f t="shared" si="52"/>
        <v>8543103.9203776922</v>
      </c>
      <c r="BJ82" s="139">
        <f t="shared" si="52"/>
        <v>8585819.4399795812</v>
      </c>
      <c r="BK82" s="139">
        <f t="shared" si="52"/>
        <v>8628748.5371794775</v>
      </c>
      <c r="BL82" s="139">
        <f t="shared" si="52"/>
        <v>8671892.2798653729</v>
      </c>
      <c r="BM82" s="139">
        <f t="shared" si="52"/>
        <v>8715251.741264699</v>
      </c>
      <c r="BN82" s="139">
        <f t="shared" si="52"/>
        <v>8758827.999971021</v>
      </c>
      <c r="BO82" s="139">
        <f t="shared" si="52"/>
        <v>8802622.1399708744</v>
      </c>
      <c r="BP82" s="114"/>
    </row>
    <row r="83" spans="1:68" x14ac:dyDescent="0.3">
      <c r="A83" s="388"/>
      <c r="D83" s="359"/>
      <c r="E83" s="115"/>
      <c r="F83" s="117" t="s">
        <v>512</v>
      </c>
      <c r="G83" s="118">
        <v>132100</v>
      </c>
      <c r="H83" s="118">
        <v>224163</v>
      </c>
      <c r="I83" s="118">
        <v>133323</v>
      </c>
      <c r="J83" s="118">
        <v>128446</v>
      </c>
      <c r="K83" s="118">
        <v>156216</v>
      </c>
      <c r="L83" s="119">
        <v>180192</v>
      </c>
      <c r="M83" s="119">
        <v>177551</v>
      </c>
      <c r="N83" s="119">
        <v>205955</v>
      </c>
      <c r="O83" s="119">
        <v>235182</v>
      </c>
      <c r="P83" s="119">
        <v>283680</v>
      </c>
      <c r="Q83" s="119">
        <v>327903</v>
      </c>
      <c r="R83" s="119">
        <v>302094</v>
      </c>
      <c r="S83" s="139">
        <v>337149.40921686013</v>
      </c>
      <c r="T83" s="139">
        <f t="shared" ref="T83:T95" si="53">T99*1000000</f>
        <v>358864.70240306243</v>
      </c>
      <c r="U83" s="139">
        <f t="shared" ref="U83:AZ83" si="54">U99*1000000</f>
        <v>381525.23381774401</v>
      </c>
      <c r="V83" s="139">
        <f t="shared" si="54"/>
        <v>382980.10596947314</v>
      </c>
      <c r="W83" s="139">
        <f t="shared" si="54"/>
        <v>414948.06657878391</v>
      </c>
      <c r="X83" s="139">
        <f t="shared" si="54"/>
        <v>434674.23609182221</v>
      </c>
      <c r="Y83" s="139">
        <f t="shared" si="54"/>
        <v>455556.2702736787</v>
      </c>
      <c r="Z83" s="139">
        <f t="shared" si="54"/>
        <v>475888.25567318872</v>
      </c>
      <c r="AA83" s="139">
        <f t="shared" si="54"/>
        <v>498670.85441778472</v>
      </c>
      <c r="AB83" s="139">
        <f t="shared" si="54"/>
        <v>503378.55333280913</v>
      </c>
      <c r="AC83" s="139">
        <f t="shared" si="54"/>
        <v>524087.5955631804</v>
      </c>
      <c r="AD83" s="139">
        <f t="shared" si="54"/>
        <v>547512.35992063419</v>
      </c>
      <c r="AE83" s="139">
        <f t="shared" si="54"/>
        <v>568453.31477086444</v>
      </c>
      <c r="AF83" s="139">
        <f t="shared" si="54"/>
        <v>589660.61791681556</v>
      </c>
      <c r="AG83" s="139">
        <f t="shared" si="54"/>
        <v>611230.68354915769</v>
      </c>
      <c r="AH83" s="139">
        <f t="shared" si="54"/>
        <v>619881.87169698125</v>
      </c>
      <c r="AI83" s="139">
        <f t="shared" si="54"/>
        <v>627623.56224013667</v>
      </c>
      <c r="AJ83" s="139">
        <f t="shared" si="54"/>
        <v>638210.2758896288</v>
      </c>
      <c r="AK83" s="139">
        <f t="shared" si="54"/>
        <v>648156.25490928919</v>
      </c>
      <c r="AL83" s="139">
        <f t="shared" si="54"/>
        <v>657666.8561827084</v>
      </c>
      <c r="AM83" s="139">
        <f t="shared" si="54"/>
        <v>666939.7946251859</v>
      </c>
      <c r="AN83" s="139">
        <f t="shared" si="54"/>
        <v>675185.23841270129</v>
      </c>
      <c r="AO83" s="139">
        <f t="shared" si="54"/>
        <v>684255.63639713288</v>
      </c>
      <c r="AP83" s="139">
        <f t="shared" si="54"/>
        <v>692743.67648454441</v>
      </c>
      <c r="AQ83" s="139">
        <f t="shared" si="54"/>
        <v>702333.3031955529</v>
      </c>
      <c r="AR83" s="139">
        <f t="shared" si="54"/>
        <v>710924.08098163735</v>
      </c>
      <c r="AS83" s="139">
        <f t="shared" si="54"/>
        <v>719305.99887220829</v>
      </c>
      <c r="AT83" s="139">
        <f t="shared" si="54"/>
        <v>727713.52429949935</v>
      </c>
      <c r="AU83" s="139">
        <f t="shared" si="54"/>
        <v>736058.06278692558</v>
      </c>
      <c r="AV83" s="139">
        <f t="shared" si="54"/>
        <v>744838.27741175424</v>
      </c>
      <c r="AW83" s="139">
        <f t="shared" si="54"/>
        <v>753156.68971454771</v>
      </c>
      <c r="AX83" s="139">
        <f t="shared" si="54"/>
        <v>761389.974584774</v>
      </c>
      <c r="AY83" s="139">
        <f t="shared" si="54"/>
        <v>769618.61021949071</v>
      </c>
      <c r="AZ83" s="139">
        <f t="shared" si="54"/>
        <v>777763.21466429194</v>
      </c>
      <c r="BA83" s="139">
        <f t="shared" ref="BA83:BO83" si="55">BA99*1000000</f>
        <v>785903.7559860535</v>
      </c>
      <c r="BB83" s="139">
        <f t="shared" si="55"/>
        <v>793803.80834297568</v>
      </c>
      <c r="BC83" s="139">
        <f t="shared" si="55"/>
        <v>801626.3059798911</v>
      </c>
      <c r="BD83" s="139">
        <f t="shared" si="55"/>
        <v>809364.02849926741</v>
      </c>
      <c r="BE83" s="139">
        <f t="shared" si="55"/>
        <v>816992.27335561777</v>
      </c>
      <c r="BF83" s="139">
        <f t="shared" si="55"/>
        <v>824488.91395678197</v>
      </c>
      <c r="BG83" s="139">
        <f t="shared" si="55"/>
        <v>831864.14368667628</v>
      </c>
      <c r="BH83" s="139">
        <f t="shared" si="55"/>
        <v>839120.33736241749</v>
      </c>
      <c r="BI83" s="139">
        <f t="shared" si="55"/>
        <v>846255.0504562296</v>
      </c>
      <c r="BJ83" s="139">
        <f t="shared" si="55"/>
        <v>853253.86242213345</v>
      </c>
      <c r="BK83" s="139">
        <f t="shared" si="55"/>
        <v>860112.44506838941</v>
      </c>
      <c r="BL83" s="139">
        <f t="shared" si="55"/>
        <v>866822.40165161504</v>
      </c>
      <c r="BM83" s="139">
        <f t="shared" si="55"/>
        <v>873388.48029273562</v>
      </c>
      <c r="BN83" s="139">
        <f t="shared" si="55"/>
        <v>879805.53417691682</v>
      </c>
      <c r="BO83" s="139">
        <f t="shared" si="55"/>
        <v>886068.31242719479</v>
      </c>
      <c r="BP83" s="114"/>
    </row>
    <row r="84" spans="1:68" x14ac:dyDescent="0.3">
      <c r="A84" s="388"/>
      <c r="D84" s="359"/>
      <c r="E84" s="115"/>
      <c r="F84" s="117" t="s">
        <v>513</v>
      </c>
      <c r="G84" s="118">
        <v>31347</v>
      </c>
      <c r="H84" s="118">
        <v>23829</v>
      </c>
      <c r="I84" s="118">
        <v>7340</v>
      </c>
      <c r="J84" s="118">
        <v>7759</v>
      </c>
      <c r="K84" s="118">
        <v>4225</v>
      </c>
      <c r="L84" s="119">
        <v>5297</v>
      </c>
      <c r="M84" s="119">
        <v>3905</v>
      </c>
      <c r="N84" s="119">
        <v>7564</v>
      </c>
      <c r="O84" s="119">
        <v>5065</v>
      </c>
      <c r="P84" s="119">
        <v>8141</v>
      </c>
      <c r="Q84" s="119">
        <v>5280</v>
      </c>
      <c r="R84" s="119">
        <v>4917</v>
      </c>
      <c r="S84" s="139">
        <v>7965.968941755621</v>
      </c>
      <c r="T84" s="139">
        <f t="shared" si="53"/>
        <v>7447.2288920733172</v>
      </c>
      <c r="U84" s="139">
        <f t="shared" ref="U84:AZ84" si="56">U100*1000000</f>
        <v>7917.4845709715137</v>
      </c>
      <c r="V84" s="139">
        <f t="shared" si="56"/>
        <v>7947.676355925777</v>
      </c>
      <c r="W84" s="139">
        <f t="shared" si="56"/>
        <v>8442.2368473998486</v>
      </c>
      <c r="X84" s="139">
        <f t="shared" si="56"/>
        <v>8670.1680355968383</v>
      </c>
      <c r="Y84" s="139">
        <f t="shared" si="56"/>
        <v>8908.5182062737204</v>
      </c>
      <c r="Z84" s="139">
        <f t="shared" si="56"/>
        <v>9123.6424789824196</v>
      </c>
      <c r="AA84" s="139">
        <f t="shared" si="56"/>
        <v>9372.9669504784706</v>
      </c>
      <c r="AB84" s="139">
        <f t="shared" si="56"/>
        <v>9275.9337090285608</v>
      </c>
      <c r="AC84" s="139">
        <f t="shared" si="56"/>
        <v>9468.1828592127458</v>
      </c>
      <c r="AD84" s="139">
        <f t="shared" si="56"/>
        <v>9697.4268462998534</v>
      </c>
      <c r="AE84" s="139">
        <f t="shared" si="56"/>
        <v>9870.9105412889712</v>
      </c>
      <c r="AF84" s="139">
        <f t="shared" si="56"/>
        <v>10038.396928511635</v>
      </c>
      <c r="AG84" s="139">
        <f t="shared" si="56"/>
        <v>10201.574763510855</v>
      </c>
      <c r="AH84" s="139">
        <f t="shared" si="56"/>
        <v>10345.964999568308</v>
      </c>
      <c r="AI84" s="139">
        <f t="shared" si="56"/>
        <v>10475.175520240107</v>
      </c>
      <c r="AJ84" s="139">
        <f t="shared" si="56"/>
        <v>10651.870103319703</v>
      </c>
      <c r="AK84" s="139">
        <f t="shared" si="56"/>
        <v>10817.87068427257</v>
      </c>
      <c r="AL84" s="139">
        <f t="shared" si="56"/>
        <v>10976.604714726267</v>
      </c>
      <c r="AM84" s="139">
        <f t="shared" si="56"/>
        <v>11131.372100174056</v>
      </c>
      <c r="AN84" s="139">
        <f t="shared" si="56"/>
        <v>11268.990373471846</v>
      </c>
      <c r="AO84" s="139">
        <f t="shared" si="56"/>
        <v>11420.377314054866</v>
      </c>
      <c r="AP84" s="139">
        <f t="shared" si="56"/>
        <v>11562.044573042271</v>
      </c>
      <c r="AQ84" s="139">
        <f t="shared" si="56"/>
        <v>11722.097555458764</v>
      </c>
      <c r="AR84" s="139">
        <f t="shared" si="56"/>
        <v>11865.479529270295</v>
      </c>
      <c r="AS84" s="139">
        <f t="shared" si="56"/>
        <v>12005.375585413538</v>
      </c>
      <c r="AT84" s="139">
        <f t="shared" si="56"/>
        <v>12145.699036986021</v>
      </c>
      <c r="AU84" s="139">
        <f t="shared" si="56"/>
        <v>12284.971222656044</v>
      </c>
      <c r="AV84" s="139">
        <f t="shared" si="56"/>
        <v>12431.514939039447</v>
      </c>
      <c r="AW84" s="139">
        <f t="shared" si="56"/>
        <v>12570.351072932308</v>
      </c>
      <c r="AX84" s="139">
        <f t="shared" si="56"/>
        <v>12707.766411221917</v>
      </c>
      <c r="AY84" s="139">
        <f t="shared" si="56"/>
        <v>12845.104152746639</v>
      </c>
      <c r="AZ84" s="139">
        <f t="shared" si="56"/>
        <v>12981.039395199465</v>
      </c>
      <c r="BA84" s="139">
        <f t="shared" ref="BA84:BO84" si="57">BA100*1000000</f>
        <v>13116.906823233647</v>
      </c>
      <c r="BB84" s="139">
        <f t="shared" si="57"/>
        <v>13248.760437464569</v>
      </c>
      <c r="BC84" s="139">
        <f t="shared" si="57"/>
        <v>13379.319646333146</v>
      </c>
      <c r="BD84" s="139">
        <f t="shared" si="57"/>
        <v>13508.463939813906</v>
      </c>
      <c r="BE84" s="139">
        <f t="shared" si="57"/>
        <v>13635.781026980665</v>
      </c>
      <c r="BF84" s="139">
        <f t="shared" si="57"/>
        <v>13760.901610135743</v>
      </c>
      <c r="BG84" s="139">
        <f t="shared" si="57"/>
        <v>13883.995819102323</v>
      </c>
      <c r="BH84" s="139">
        <f t="shared" si="57"/>
        <v>14005.10329010126</v>
      </c>
      <c r="BI84" s="139">
        <f t="shared" si="57"/>
        <v>14124.18322342544</v>
      </c>
      <c r="BJ84" s="139">
        <f t="shared" si="57"/>
        <v>14240.994936985595</v>
      </c>
      <c r="BK84" s="139">
        <f t="shared" si="57"/>
        <v>14355.466192308091</v>
      </c>
      <c r="BL84" s="139">
        <f t="shared" si="57"/>
        <v>14467.456845896057</v>
      </c>
      <c r="BM84" s="139">
        <f t="shared" si="57"/>
        <v>14577.046144933749</v>
      </c>
      <c r="BN84" s="139">
        <f t="shared" si="57"/>
        <v>14684.148187947734</v>
      </c>
      <c r="BO84" s="139">
        <f t="shared" si="57"/>
        <v>14788.675336644719</v>
      </c>
      <c r="BP84" s="114"/>
    </row>
    <row r="85" spans="1:68" x14ac:dyDescent="0.3">
      <c r="A85" s="388"/>
      <c r="D85" s="359"/>
      <c r="E85" s="115"/>
      <c r="F85" s="117" t="s">
        <v>514</v>
      </c>
      <c r="G85" s="118">
        <v>8347182</v>
      </c>
      <c r="H85" s="118">
        <v>8131819</v>
      </c>
      <c r="I85" s="118">
        <v>7378922</v>
      </c>
      <c r="J85" s="118">
        <v>7158265</v>
      </c>
      <c r="K85" s="118">
        <v>8251306</v>
      </c>
      <c r="L85" s="119">
        <v>10106105</v>
      </c>
      <c r="M85" s="119">
        <v>8661609</v>
      </c>
      <c r="N85" s="119">
        <v>9344983</v>
      </c>
      <c r="O85" s="119">
        <v>7840635</v>
      </c>
      <c r="P85" s="119">
        <v>10088870</v>
      </c>
      <c r="Q85" s="119">
        <v>11390245</v>
      </c>
      <c r="R85" s="119">
        <v>11671700</v>
      </c>
      <c r="S85" s="139">
        <v>8113293</v>
      </c>
      <c r="T85" s="139">
        <f t="shared" si="53"/>
        <v>9199226.5069613419</v>
      </c>
      <c r="U85" s="139">
        <f t="shared" ref="U85:AZ85" si="58">U101*1000000</f>
        <v>9789160.3005501963</v>
      </c>
      <c r="V85" s="139">
        <f t="shared" si="58"/>
        <v>9835580.3911172058</v>
      </c>
      <c r="W85" s="139">
        <f t="shared" si="58"/>
        <v>10457285.267457515</v>
      </c>
      <c r="X85" s="139">
        <f t="shared" si="58"/>
        <v>10488766.053314758</v>
      </c>
      <c r="Y85" s="139">
        <f t="shared" si="58"/>
        <v>10520341.609454425</v>
      </c>
      <c r="Z85" s="139">
        <f t="shared" si="58"/>
        <v>10552012.221174551</v>
      </c>
      <c r="AA85" s="139">
        <f t="shared" si="58"/>
        <v>10583778.174632046</v>
      </c>
      <c r="AB85" s="139">
        <f t="shared" si="58"/>
        <v>10615639.756845262</v>
      </c>
      <c r="AC85" s="139">
        <f t="shared" si="58"/>
        <v>10647597.255696598</v>
      </c>
      <c r="AD85" s="139">
        <f t="shared" si="58"/>
        <v>10679650.959935103</v>
      </c>
      <c r="AE85" s="139">
        <f t="shared" si="58"/>
        <v>10711801.159179073</v>
      </c>
      <c r="AF85" s="139">
        <f t="shared" si="58"/>
        <v>10744048.143918684</v>
      </c>
      <c r="AG85" s="139">
        <f t="shared" si="58"/>
        <v>10776392.205518605</v>
      </c>
      <c r="AH85" s="139">
        <f t="shared" si="58"/>
        <v>10808833.636220636</v>
      </c>
      <c r="AI85" s="139">
        <f t="shared" si="58"/>
        <v>10841372.729146341</v>
      </c>
      <c r="AJ85" s="139">
        <f t="shared" si="58"/>
        <v>10874009.778299708</v>
      </c>
      <c r="AK85" s="139">
        <f t="shared" si="58"/>
        <v>10906745.078569798</v>
      </c>
      <c r="AL85" s="139">
        <f t="shared" si="58"/>
        <v>10939578.92573341</v>
      </c>
      <c r="AM85" s="139">
        <f t="shared" si="58"/>
        <v>10972511.616457753</v>
      </c>
      <c r="AN85" s="139">
        <f t="shared" si="58"/>
        <v>11005543.448303133</v>
      </c>
      <c r="AO85" s="139">
        <f t="shared" si="58"/>
        <v>11038674.719725627</v>
      </c>
      <c r="AP85" s="139">
        <f t="shared" si="58"/>
        <v>11071905.730079802</v>
      </c>
      <c r="AQ85" s="139">
        <f t="shared" si="58"/>
        <v>11105236.779621398</v>
      </c>
      <c r="AR85" s="139">
        <f t="shared" si="58"/>
        <v>11138668.169510052</v>
      </c>
      <c r="AS85" s="139">
        <f t="shared" si="58"/>
        <v>11172200.201812012</v>
      </c>
      <c r="AT85" s="139">
        <f t="shared" si="58"/>
        <v>11205833.179502884</v>
      </c>
      <c r="AU85" s="139">
        <f t="shared" si="58"/>
        <v>11239567.406470349</v>
      </c>
      <c r="AV85" s="139">
        <f t="shared" si="58"/>
        <v>11273403.187516909</v>
      </c>
      <c r="AW85" s="139">
        <f t="shared" si="58"/>
        <v>11307340.828362664</v>
      </c>
      <c r="AX85" s="139">
        <f t="shared" si="58"/>
        <v>11341380.635648048</v>
      </c>
      <c r="AY85" s="139">
        <f t="shared" si="58"/>
        <v>11375522.916936612</v>
      </c>
      <c r="AZ85" s="139">
        <f t="shared" si="58"/>
        <v>11409767.980717808</v>
      </c>
      <c r="BA85" s="139">
        <f t="shared" ref="BA85:BO85" si="59">BA101*1000000</f>
        <v>11444116.13640976</v>
      </c>
      <c r="BB85" s="139">
        <f t="shared" si="59"/>
        <v>11478567.694362076</v>
      </c>
      <c r="BC85" s="139">
        <f t="shared" si="59"/>
        <v>11513122.965858644</v>
      </c>
      <c r="BD85" s="139">
        <f t="shared" si="59"/>
        <v>11547782.263120448</v>
      </c>
      <c r="BE85" s="139">
        <f t="shared" si="59"/>
        <v>11582545.899308382</v>
      </c>
      <c r="BF85" s="139">
        <f t="shared" si="59"/>
        <v>11617414.188526092</v>
      </c>
      <c r="BG85" s="139">
        <f t="shared" si="59"/>
        <v>11652387.4458228</v>
      </c>
      <c r="BH85" s="139">
        <f t="shared" si="59"/>
        <v>11687465.987196162</v>
      </c>
      <c r="BI85" s="139">
        <f t="shared" si="59"/>
        <v>11722650.129595116</v>
      </c>
      <c r="BJ85" s="139">
        <f t="shared" si="59"/>
        <v>11757940.190922752</v>
      </c>
      <c r="BK85" s="139">
        <f t="shared" si="59"/>
        <v>11793336.490039177</v>
      </c>
      <c r="BL85" s="139">
        <f t="shared" si="59"/>
        <v>11828839.346764399</v>
      </c>
      <c r="BM85" s="139">
        <f t="shared" si="59"/>
        <v>11864449.081881221</v>
      </c>
      <c r="BN85" s="139">
        <f t="shared" si="59"/>
        <v>11900166.017138135</v>
      </c>
      <c r="BO85" s="139">
        <f t="shared" si="59"/>
        <v>11935990.47525223</v>
      </c>
      <c r="BP85" s="114"/>
    </row>
    <row r="86" spans="1:68" x14ac:dyDescent="0.3">
      <c r="A86" s="388"/>
      <c r="D86" s="359"/>
      <c r="E86" s="115"/>
      <c r="F86" s="117" t="s">
        <v>515</v>
      </c>
      <c r="G86" s="118">
        <v>984096</v>
      </c>
      <c r="H86" s="118">
        <v>963262</v>
      </c>
      <c r="I86" s="118">
        <v>1329532</v>
      </c>
      <c r="J86" s="118">
        <v>1177181</v>
      </c>
      <c r="K86" s="118">
        <v>1667704</v>
      </c>
      <c r="L86" s="119">
        <v>2017573</v>
      </c>
      <c r="M86" s="119">
        <v>1199075</v>
      </c>
      <c r="N86" s="119">
        <v>1572279</v>
      </c>
      <c r="O86" s="119">
        <v>1449266</v>
      </c>
      <c r="P86" s="119">
        <v>1628519</v>
      </c>
      <c r="Q86" s="119">
        <v>1463279</v>
      </c>
      <c r="R86" s="119">
        <v>1849405</v>
      </c>
      <c r="S86" s="139">
        <v>1736397</v>
      </c>
      <c r="T86" s="139">
        <f t="shared" si="53"/>
        <v>1882925.1028288906</v>
      </c>
      <c r="U86" s="139">
        <f t="shared" ref="U86:AZ86" si="60">U102*1000000</f>
        <v>2007107.9895573582</v>
      </c>
      <c r="V86" s="139">
        <f t="shared" si="60"/>
        <v>2020081.3459494822</v>
      </c>
      <c r="W86" s="139">
        <f t="shared" si="60"/>
        <v>2151450.6447257162</v>
      </c>
      <c r="X86" s="139">
        <f t="shared" si="60"/>
        <v>2215371.3797596195</v>
      </c>
      <c r="Y86" s="139">
        <f t="shared" si="60"/>
        <v>2282283.9118272658</v>
      </c>
      <c r="Z86" s="139">
        <f t="shared" si="60"/>
        <v>2343568.3612215868</v>
      </c>
      <c r="AA86" s="139">
        <f t="shared" si="60"/>
        <v>2413968.6415720768</v>
      </c>
      <c r="AB86" s="139">
        <f t="shared" si="60"/>
        <v>2395285.8308906038</v>
      </c>
      <c r="AC86" s="139">
        <f t="shared" si="60"/>
        <v>2451384.9576118221</v>
      </c>
      <c r="AD86" s="139">
        <f t="shared" si="60"/>
        <v>2517367.1626298218</v>
      </c>
      <c r="AE86" s="139">
        <f t="shared" si="60"/>
        <v>2569167.6056405599</v>
      </c>
      <c r="AF86" s="139">
        <f t="shared" si="60"/>
        <v>2619658.9593152716</v>
      </c>
      <c r="AG86" s="139">
        <f t="shared" si="60"/>
        <v>2669271.6851341794</v>
      </c>
      <c r="AH86" s="139">
        <f t="shared" si="60"/>
        <v>2714199.327284913</v>
      </c>
      <c r="AI86" s="139">
        <f t="shared" si="60"/>
        <v>2755352.7906614863</v>
      </c>
      <c r="AJ86" s="139">
        <f t="shared" si="60"/>
        <v>2809227.6662483267</v>
      </c>
      <c r="AK86" s="139">
        <f t="shared" si="60"/>
        <v>2860540.0426559276</v>
      </c>
      <c r="AL86" s="139">
        <f t="shared" si="60"/>
        <v>2910177.2509585787</v>
      </c>
      <c r="AM86" s="139">
        <f t="shared" si="60"/>
        <v>2959002.1996337972</v>
      </c>
      <c r="AN86" s="139">
        <f t="shared" si="60"/>
        <v>3003493.9814645839</v>
      </c>
      <c r="AO86" s="139">
        <f t="shared" si="60"/>
        <v>3051879.496750907</v>
      </c>
      <c r="AP86" s="139">
        <f t="shared" si="60"/>
        <v>3097895.3225357719</v>
      </c>
      <c r="AQ86" s="139">
        <f t="shared" si="60"/>
        <v>3149072.0824615271</v>
      </c>
      <c r="AR86" s="139">
        <f t="shared" si="60"/>
        <v>3196007.1005602386</v>
      </c>
      <c r="AS86" s="139">
        <f t="shared" si="60"/>
        <v>3242226.5906206705</v>
      </c>
      <c r="AT86" s="139">
        <f t="shared" si="60"/>
        <v>3288783.5989542031</v>
      </c>
      <c r="AU86" s="139">
        <f t="shared" si="60"/>
        <v>3335278.4456632556</v>
      </c>
      <c r="AV86" s="139">
        <f t="shared" si="60"/>
        <v>3383975.2678513071</v>
      </c>
      <c r="AW86" s="139">
        <f t="shared" si="60"/>
        <v>3430802.3741897391</v>
      </c>
      <c r="AX86" s="139">
        <f t="shared" si="60"/>
        <v>3477464.3689669226</v>
      </c>
      <c r="AY86" s="139">
        <f t="shared" si="60"/>
        <v>3524327.5624505188</v>
      </c>
      <c r="AZ86" s="139">
        <f t="shared" si="60"/>
        <v>3571028.1606608056</v>
      </c>
      <c r="BA86" s="139">
        <f t="shared" ref="BA86:BO86" si="61">BA102*1000000</f>
        <v>3617932.0950431661</v>
      </c>
      <c r="BB86" s="139">
        <f t="shared" si="61"/>
        <v>3663948.797044307</v>
      </c>
      <c r="BC86" s="139">
        <f t="shared" si="61"/>
        <v>3709824.3625933165</v>
      </c>
      <c r="BD86" s="139">
        <f t="shared" si="61"/>
        <v>3755523.2746400069</v>
      </c>
      <c r="BE86" s="139">
        <f t="shared" si="61"/>
        <v>3800928.3171932185</v>
      </c>
      <c r="BF86" s="139">
        <f t="shared" si="61"/>
        <v>3845933.06275451</v>
      </c>
      <c r="BG86" s="139">
        <f t="shared" si="61"/>
        <v>3890581.1339697642</v>
      </c>
      <c r="BH86" s="139">
        <f t="shared" si="61"/>
        <v>3934879.9705624222</v>
      </c>
      <c r="BI86" s="139">
        <f t="shared" si="61"/>
        <v>3978814.4498938085</v>
      </c>
      <c r="BJ86" s="139">
        <f t="shared" si="61"/>
        <v>4022312.8513278067</v>
      </c>
      <c r="BK86" s="139">
        <f t="shared" si="61"/>
        <v>4065350.4169277921</v>
      </c>
      <c r="BL86" s="139">
        <f t="shared" si="61"/>
        <v>4107882.8676439938</v>
      </c>
      <c r="BM86" s="139">
        <f t="shared" si="61"/>
        <v>4149927.937228635</v>
      </c>
      <c r="BN86" s="139">
        <f t="shared" si="61"/>
        <v>4191456.4306462132</v>
      </c>
      <c r="BO86" s="139">
        <f t="shared" si="61"/>
        <v>4232438.3707746183</v>
      </c>
      <c r="BP86" s="114"/>
    </row>
    <row r="87" spans="1:68" x14ac:dyDescent="0.3">
      <c r="A87" s="388"/>
      <c r="D87" s="359"/>
      <c r="E87" s="115"/>
      <c r="F87" s="117" t="s">
        <v>516</v>
      </c>
      <c r="G87" s="118">
        <v>2850465</v>
      </c>
      <c r="H87" s="118">
        <v>2097356</v>
      </c>
      <c r="I87" s="118">
        <v>2649051</v>
      </c>
      <c r="J87" s="118">
        <v>2316838</v>
      </c>
      <c r="K87" s="118">
        <v>3468510</v>
      </c>
      <c r="L87" s="119">
        <v>4175659</v>
      </c>
      <c r="M87" s="119">
        <v>3124069</v>
      </c>
      <c r="N87" s="119">
        <v>3275993</v>
      </c>
      <c r="O87" s="119">
        <v>2785756</v>
      </c>
      <c r="P87" s="119">
        <v>2275948</v>
      </c>
      <c r="Q87" s="119">
        <v>2446312</v>
      </c>
      <c r="R87" s="119">
        <v>2418855</v>
      </c>
      <c r="S87" s="139">
        <v>2296402.2335077925</v>
      </c>
      <c r="T87" s="139">
        <f t="shared" si="53"/>
        <v>2031514.4970440913</v>
      </c>
      <c r="U87" s="139">
        <f t="shared" ref="U87:AZ87" si="62">U103*1000000</f>
        <v>2161366.1680480512</v>
      </c>
      <c r="V87" s="139">
        <f t="shared" si="62"/>
        <v>2171186.8337849239</v>
      </c>
      <c r="W87" s="139">
        <f t="shared" si="62"/>
        <v>2307971.5717594768</v>
      </c>
      <c r="X87" s="139">
        <f t="shared" si="62"/>
        <v>2372009.0263245469</v>
      </c>
      <c r="Y87" s="139">
        <f t="shared" si="62"/>
        <v>2438990.9814259396</v>
      </c>
      <c r="Z87" s="139">
        <f t="shared" si="62"/>
        <v>2499705.7022152981</v>
      </c>
      <c r="AA87" s="139">
        <f t="shared" si="62"/>
        <v>2569884.5165371583</v>
      </c>
      <c r="AB87" s="139">
        <f t="shared" si="62"/>
        <v>2545130.5159189194</v>
      </c>
      <c r="AC87" s="139">
        <f t="shared" si="62"/>
        <v>2599770.1832677168</v>
      </c>
      <c r="AD87" s="139">
        <f t="shared" si="62"/>
        <v>2664653.4404898263</v>
      </c>
      <c r="AE87" s="139">
        <f t="shared" si="62"/>
        <v>2714296.815600689</v>
      </c>
      <c r="AF87" s="139">
        <f t="shared" si="62"/>
        <v>2762360.6899797949</v>
      </c>
      <c r="AG87" s="139">
        <f t="shared" si="62"/>
        <v>2809306.5868173046</v>
      </c>
      <c r="AH87" s="139">
        <f t="shared" si="62"/>
        <v>2851141.8534808294</v>
      </c>
      <c r="AI87" s="139">
        <f t="shared" si="62"/>
        <v>2888850.2445138032</v>
      </c>
      <c r="AJ87" s="139">
        <f t="shared" si="62"/>
        <v>2939716.7152009346</v>
      </c>
      <c r="AK87" s="139">
        <f t="shared" si="62"/>
        <v>2987702.1904485147</v>
      </c>
      <c r="AL87" s="139">
        <f t="shared" si="62"/>
        <v>3033747.5910627982</v>
      </c>
      <c r="AM87" s="139">
        <f t="shared" si="62"/>
        <v>3078761.3084853189</v>
      </c>
      <c r="AN87" s="139">
        <f t="shared" si="62"/>
        <v>3119092.3038249537</v>
      </c>
      <c r="AO87" s="139">
        <f t="shared" si="62"/>
        <v>3163294.1022876827</v>
      </c>
      <c r="AP87" s="139">
        <f t="shared" si="62"/>
        <v>3204864.3934226963</v>
      </c>
      <c r="AQ87" s="139">
        <f t="shared" si="62"/>
        <v>3251593.5241832943</v>
      </c>
      <c r="AR87" s="139">
        <f t="shared" si="62"/>
        <v>3293761.2257574494</v>
      </c>
      <c r="AS87" s="139">
        <f t="shared" si="62"/>
        <v>3335020.2057162574</v>
      </c>
      <c r="AT87" s="139">
        <f t="shared" si="62"/>
        <v>3376456.3002016298</v>
      </c>
      <c r="AU87" s="139">
        <f t="shared" si="62"/>
        <v>3417658.4704660596</v>
      </c>
      <c r="AV87" s="139">
        <f t="shared" si="62"/>
        <v>3460943.2142388886</v>
      </c>
      <c r="AW87" s="139">
        <f t="shared" si="62"/>
        <v>3502141.7825773647</v>
      </c>
      <c r="AX87" s="139">
        <f t="shared" si="62"/>
        <v>3543002.3483360345</v>
      </c>
      <c r="AY87" s="139">
        <f t="shared" si="62"/>
        <v>3583898.8740459611</v>
      </c>
      <c r="AZ87" s="139">
        <f t="shared" si="62"/>
        <v>3624461.4460819606</v>
      </c>
      <c r="BA87" s="139">
        <f t="shared" ref="BA87:BO87" si="63">BA103*1000000</f>
        <v>3665062.2029266483</v>
      </c>
      <c r="BB87" s="139">
        <f t="shared" si="63"/>
        <v>3704597.7906741495</v>
      </c>
      <c r="BC87" s="139">
        <f t="shared" si="63"/>
        <v>3743826.771078954</v>
      </c>
      <c r="BD87" s="139">
        <f t="shared" si="63"/>
        <v>3782714.6675617569</v>
      </c>
      <c r="BE87" s="139">
        <f t="shared" si="63"/>
        <v>3821145.1386770043</v>
      </c>
      <c r="BF87" s="139">
        <f t="shared" si="63"/>
        <v>3859013.5622266848</v>
      </c>
      <c r="BG87" s="139">
        <f t="shared" si="63"/>
        <v>3896366.3964668377</v>
      </c>
      <c r="BH87" s="139">
        <f t="shared" si="63"/>
        <v>3933213.5887055662</v>
      </c>
      <c r="BI87" s="139">
        <f t="shared" si="63"/>
        <v>3969542.5107183722</v>
      </c>
      <c r="BJ87" s="139">
        <f t="shared" si="63"/>
        <v>4005284.2822053176</v>
      </c>
      <c r="BK87" s="139">
        <f t="shared" si="63"/>
        <v>4040417.2333773472</v>
      </c>
      <c r="BL87" s="139">
        <f t="shared" si="63"/>
        <v>4074900.5071804891</v>
      </c>
      <c r="BM87" s="139">
        <f t="shared" si="63"/>
        <v>4108754.9681221889</v>
      </c>
      <c r="BN87" s="139">
        <f t="shared" si="63"/>
        <v>4141954.9601038429</v>
      </c>
      <c r="BO87" s="139">
        <f t="shared" si="63"/>
        <v>4174474.2641408541</v>
      </c>
      <c r="BP87" s="114"/>
    </row>
    <row r="88" spans="1:68" x14ac:dyDescent="0.3">
      <c r="A88" s="388"/>
      <c r="D88" s="359" t="s">
        <v>494</v>
      </c>
      <c r="E88" s="115"/>
      <c r="F88" s="117" t="s">
        <v>517</v>
      </c>
      <c r="G88" s="120">
        <v>0</v>
      </c>
      <c r="H88" s="120">
        <v>0</v>
      </c>
      <c r="I88" s="120">
        <v>0</v>
      </c>
      <c r="J88" s="120">
        <v>0</v>
      </c>
      <c r="K88" s="118">
        <v>32681</v>
      </c>
      <c r="L88" s="119">
        <v>32697</v>
      </c>
      <c r="M88" s="119">
        <v>41788</v>
      </c>
      <c r="N88" s="119">
        <v>35006</v>
      </c>
      <c r="O88" s="119">
        <v>25504</v>
      </c>
      <c r="P88" s="119">
        <v>39515</v>
      </c>
      <c r="Q88" s="119">
        <v>27238</v>
      </c>
      <c r="R88" s="119">
        <v>20077</v>
      </c>
      <c r="S88" s="139">
        <v>29453.725766288386</v>
      </c>
      <c r="T88" s="139">
        <f t="shared" si="53"/>
        <v>26954.272462386787</v>
      </c>
      <c r="U88" s="139">
        <f t="shared" ref="U88:AZ88" si="64">U104*1000000</f>
        <v>28566.936717266221</v>
      </c>
      <c r="V88" s="139">
        <f t="shared" si="64"/>
        <v>28586.445371470836</v>
      </c>
      <c r="W88" s="139">
        <f t="shared" si="64"/>
        <v>30270.601402522323</v>
      </c>
      <c r="X88" s="139">
        <f t="shared" si="64"/>
        <v>30990.926994803511</v>
      </c>
      <c r="Y88" s="139">
        <f t="shared" si="64"/>
        <v>31743.5913347762</v>
      </c>
      <c r="Z88" s="139">
        <f t="shared" si="64"/>
        <v>32408.75750360834</v>
      </c>
      <c r="AA88" s="139">
        <f t="shared" si="64"/>
        <v>33190.572493659245</v>
      </c>
      <c r="AB88" s="139">
        <f t="shared" si="64"/>
        <v>32744.535130764514</v>
      </c>
      <c r="AC88" s="139">
        <f t="shared" si="64"/>
        <v>33318.954462652415</v>
      </c>
      <c r="AD88" s="139">
        <f t="shared" si="64"/>
        <v>34019.253176190898</v>
      </c>
      <c r="AE88" s="139">
        <f t="shared" si="64"/>
        <v>34519.859093420782</v>
      </c>
      <c r="AF88" s="139">
        <f t="shared" si="64"/>
        <v>34996.103928644021</v>
      </c>
      <c r="AG88" s="139">
        <f t="shared" si="64"/>
        <v>35454.068976098039</v>
      </c>
      <c r="AH88" s="139">
        <f t="shared" si="64"/>
        <v>35843.747441412968</v>
      </c>
      <c r="AI88" s="139">
        <f t="shared" si="64"/>
        <v>36178.224343330512</v>
      </c>
      <c r="AJ88" s="139">
        <f t="shared" si="64"/>
        <v>36673.75131329448</v>
      </c>
      <c r="AK88" s="139">
        <f t="shared" si="64"/>
        <v>37129.131853215462</v>
      </c>
      <c r="AL88" s="139">
        <f t="shared" si="64"/>
        <v>37556.45302484592</v>
      </c>
      <c r="AM88" s="139">
        <f t="shared" si="64"/>
        <v>37967.218356617501</v>
      </c>
      <c r="AN88" s="139">
        <f t="shared" si="64"/>
        <v>38316.746206421478</v>
      </c>
      <c r="AO88" s="139">
        <f t="shared" si="64"/>
        <v>38710.394950090558</v>
      </c>
      <c r="AP88" s="139">
        <f t="shared" si="64"/>
        <v>39068.372878727081</v>
      </c>
      <c r="AQ88" s="139">
        <f t="shared" si="64"/>
        <v>39485.673612661994</v>
      </c>
      <c r="AR88" s="139">
        <f t="shared" si="64"/>
        <v>39844.010828634717</v>
      </c>
      <c r="AS88" s="139">
        <f t="shared" si="64"/>
        <v>40188.059964220352</v>
      </c>
      <c r="AT88" s="139">
        <f t="shared" si="64"/>
        <v>40531.002024589085</v>
      </c>
      <c r="AU88" s="139">
        <f t="shared" si="64"/>
        <v>40867.917118047728</v>
      </c>
      <c r="AV88" s="139">
        <f t="shared" si="64"/>
        <v>41226.451174426227</v>
      </c>
      <c r="AW88" s="139">
        <f t="shared" si="64"/>
        <v>41556.870776191055</v>
      </c>
      <c r="AX88" s="139">
        <f t="shared" si="64"/>
        <v>41880.14619685564</v>
      </c>
      <c r="AY88" s="139">
        <f t="shared" si="64"/>
        <v>42200.7462705379</v>
      </c>
      <c r="AZ88" s="139">
        <f t="shared" si="64"/>
        <v>42514.346132285857</v>
      </c>
      <c r="BA88" s="139">
        <f t="shared" ref="BA88:BO88" si="65">BA104*1000000</f>
        <v>42825.358257742846</v>
      </c>
      <c r="BB88" s="139">
        <f t="shared" si="65"/>
        <v>43120.953319762462</v>
      </c>
      <c r="BC88" s="139">
        <f t="shared" si="65"/>
        <v>43410.088490379414</v>
      </c>
      <c r="BD88" s="139">
        <f t="shared" si="65"/>
        <v>43692.424498921879</v>
      </c>
      <c r="BE88" s="139">
        <f t="shared" si="65"/>
        <v>43966.685836742618</v>
      </c>
      <c r="BF88" s="139">
        <f t="shared" si="65"/>
        <v>44231.751456886683</v>
      </c>
      <c r="BG88" s="139">
        <f t="shared" si="65"/>
        <v>44488.243207258834</v>
      </c>
      <c r="BH88" s="139">
        <f t="shared" si="65"/>
        <v>44736.358843610498</v>
      </c>
      <c r="BI88" s="139">
        <f t="shared" si="65"/>
        <v>44976.037984449336</v>
      </c>
      <c r="BJ88" s="139">
        <f t="shared" si="65"/>
        <v>45206.586948683784</v>
      </c>
      <c r="BK88" s="139">
        <f t="shared" si="65"/>
        <v>45427.854205778771</v>
      </c>
      <c r="BL88" s="139">
        <f t="shared" si="65"/>
        <v>45639.476399598039</v>
      </c>
      <c r="BM88" s="139">
        <f t="shared" si="65"/>
        <v>45841.785154048623</v>
      </c>
      <c r="BN88" s="139">
        <f t="shared" si="65"/>
        <v>46034.59074939524</v>
      </c>
      <c r="BO88" s="139">
        <f t="shared" si="65"/>
        <v>46217.700918018098</v>
      </c>
      <c r="BP88" s="114"/>
    </row>
    <row r="89" spans="1:68" x14ac:dyDescent="0.3">
      <c r="A89" s="388"/>
      <c r="D89" s="359" t="s">
        <v>494</v>
      </c>
      <c r="E89" s="115"/>
      <c r="F89" s="117" t="s">
        <v>496</v>
      </c>
      <c r="G89" s="120">
        <v>0</v>
      </c>
      <c r="H89" s="120">
        <v>0</v>
      </c>
      <c r="I89" s="120">
        <v>0</v>
      </c>
      <c r="J89" s="120">
        <v>0</v>
      </c>
      <c r="K89" s="120">
        <v>0</v>
      </c>
      <c r="L89" s="119">
        <v>63334.728355706735</v>
      </c>
      <c r="M89" s="119">
        <v>40803.084957981751</v>
      </c>
      <c r="N89" s="119">
        <v>65372.491848106867</v>
      </c>
      <c r="O89" s="119">
        <v>43652.64024665601</v>
      </c>
      <c r="P89" s="119">
        <v>35010.121222727226</v>
      </c>
      <c r="Q89" s="119">
        <v>37421.596562221981</v>
      </c>
      <c r="R89" s="119">
        <v>27855.525305192987</v>
      </c>
      <c r="S89" s="139">
        <v>23652.076736890878</v>
      </c>
      <c r="T89" s="139">
        <f t="shared" si="53"/>
        <v>25810.647019040596</v>
      </c>
      <c r="U89" s="139">
        <f t="shared" ref="U89:AZ89" si="66">U105*1000000</f>
        <v>27354.888582265914</v>
      </c>
      <c r="V89" s="139">
        <f t="shared" si="66"/>
        <v>27373.569516362524</v>
      </c>
      <c r="W89" s="139">
        <f t="shared" si="66"/>
        <v>28986.26957729413</v>
      </c>
      <c r="X89" s="139">
        <f t="shared" si="66"/>
        <v>29676.03293956241</v>
      </c>
      <c r="Y89" s="139">
        <f t="shared" si="66"/>
        <v>30396.76296965182</v>
      </c>
      <c r="Z89" s="139">
        <f t="shared" si="66"/>
        <v>31033.707232075954</v>
      </c>
      <c r="AA89" s="139">
        <f t="shared" si="66"/>
        <v>31782.351098110837</v>
      </c>
      <c r="AB89" s="139">
        <f t="shared" si="66"/>
        <v>31355.238366834383</v>
      </c>
      <c r="AC89" s="139">
        <f t="shared" si="66"/>
        <v>31905.286031335843</v>
      </c>
      <c r="AD89" s="139">
        <f t="shared" si="66"/>
        <v>32575.872222384136</v>
      </c>
      <c r="AE89" s="139">
        <f t="shared" si="66"/>
        <v>33055.23825399542</v>
      </c>
      <c r="AF89" s="139">
        <f t="shared" si="66"/>
        <v>33511.276804237925</v>
      </c>
      <c r="AG89" s="139">
        <f t="shared" si="66"/>
        <v>33949.811148037734</v>
      </c>
      <c r="AH89" s="139">
        <f t="shared" si="66"/>
        <v>34322.956197053631</v>
      </c>
      <c r="AI89" s="139">
        <f t="shared" si="66"/>
        <v>34643.241794205729</v>
      </c>
      <c r="AJ89" s="139">
        <f t="shared" si="66"/>
        <v>35117.744369929191</v>
      </c>
      <c r="AK89" s="139">
        <f t="shared" si="66"/>
        <v>35553.803862599321</v>
      </c>
      <c r="AL89" s="139">
        <f t="shared" si="66"/>
        <v>35962.994499820474</v>
      </c>
      <c r="AM89" s="139">
        <f t="shared" si="66"/>
        <v>36356.331734235173</v>
      </c>
      <c r="AN89" s="139">
        <f t="shared" si="66"/>
        <v>36691.029692312273</v>
      </c>
      <c r="AO89" s="139">
        <f t="shared" si="66"/>
        <v>37067.976567302496</v>
      </c>
      <c r="AP89" s="139">
        <f t="shared" si="66"/>
        <v>37410.766081266862</v>
      </c>
      <c r="AQ89" s="139">
        <f t="shared" si="66"/>
        <v>37810.361431481215</v>
      </c>
      <c r="AR89" s="139">
        <f t="shared" si="66"/>
        <v>38153.4949888111</v>
      </c>
      <c r="AS89" s="139">
        <f t="shared" si="66"/>
        <v>38482.946685502182</v>
      </c>
      <c r="AT89" s="139">
        <f t="shared" si="66"/>
        <v>38811.338278356765</v>
      </c>
      <c r="AU89" s="139">
        <f t="shared" si="66"/>
        <v>39133.958618593468</v>
      </c>
      <c r="AV89" s="139">
        <f t="shared" si="66"/>
        <v>39477.28066471449</v>
      </c>
      <c r="AW89" s="139">
        <f t="shared" si="66"/>
        <v>39793.681106285476</v>
      </c>
      <c r="AX89" s="139">
        <f t="shared" si="66"/>
        <v>40103.240482608795</v>
      </c>
      <c r="AY89" s="139">
        <f t="shared" si="66"/>
        <v>40410.238022521567</v>
      </c>
      <c r="AZ89" s="139">
        <f t="shared" si="66"/>
        <v>40710.532357977718</v>
      </c>
      <c r="BA89" s="139">
        <f t="shared" ref="BA89:BO89" si="67">BA105*1000000</f>
        <v>41008.348750537138</v>
      </c>
      <c r="BB89" s="139">
        <f t="shared" si="67"/>
        <v>41291.402200301221</v>
      </c>
      <c r="BC89" s="139">
        <f t="shared" si="67"/>
        <v>41568.269841228954</v>
      </c>
      <c r="BD89" s="139">
        <f t="shared" si="67"/>
        <v>41838.62679734503</v>
      </c>
      <c r="BE89" s="139">
        <f t="shared" si="67"/>
        <v>42101.251677736043</v>
      </c>
      <c r="BF89" s="139">
        <f t="shared" si="67"/>
        <v>42355.070999625306</v>
      </c>
      <c r="BG89" s="139">
        <f t="shared" si="67"/>
        <v>42600.680226933873</v>
      </c>
      <c r="BH89" s="139">
        <f t="shared" si="67"/>
        <v>42838.268724961934</v>
      </c>
      <c r="BI89" s="139">
        <f t="shared" si="67"/>
        <v>43067.778674104527</v>
      </c>
      <c r="BJ89" s="139">
        <f t="shared" si="67"/>
        <v>43288.545825017791</v>
      </c>
      <c r="BK89" s="139">
        <f t="shared" si="67"/>
        <v>43500.425076357984</v>
      </c>
      <c r="BL89" s="139">
        <f t="shared" si="67"/>
        <v>43703.06848859202</v>
      </c>
      <c r="BM89" s="139">
        <f t="shared" si="67"/>
        <v>43896.793615370065</v>
      </c>
      <c r="BN89" s="139">
        <f t="shared" si="67"/>
        <v>44081.41878645312</v>
      </c>
      <c r="BO89" s="139">
        <f t="shared" si="67"/>
        <v>44256.759891820249</v>
      </c>
      <c r="BP89" s="114"/>
    </row>
    <row r="90" spans="1:68" x14ac:dyDescent="0.3">
      <c r="A90" s="388"/>
      <c r="D90" s="359"/>
      <c r="E90" s="115"/>
      <c r="F90" s="117" t="s">
        <v>518</v>
      </c>
      <c r="G90" s="118">
        <v>58133</v>
      </c>
      <c r="H90" s="118">
        <v>68072</v>
      </c>
      <c r="I90" s="118">
        <v>45975</v>
      </c>
      <c r="J90" s="118">
        <v>37544</v>
      </c>
      <c r="K90" s="118">
        <v>72494</v>
      </c>
      <c r="L90" s="119">
        <v>63077</v>
      </c>
      <c r="M90" s="119">
        <v>73829</v>
      </c>
      <c r="N90" s="119">
        <v>63367</v>
      </c>
      <c r="O90" s="119">
        <v>66623</v>
      </c>
      <c r="P90" s="119">
        <v>69686</v>
      </c>
      <c r="Q90" s="119">
        <v>77361</v>
      </c>
      <c r="R90" s="119">
        <v>87922</v>
      </c>
      <c r="S90" s="139">
        <v>68358.373950290232</v>
      </c>
      <c r="T90" s="139">
        <f t="shared" si="53"/>
        <v>83786.134204488568</v>
      </c>
      <c r="U90" s="139">
        <f t="shared" ref="U90:AZ90" si="68">U106*1000000</f>
        <v>88984.21882628731</v>
      </c>
      <c r="V90" s="139">
        <f t="shared" si="68"/>
        <v>89230.69089357958</v>
      </c>
      <c r="W90" s="139">
        <f t="shared" si="68"/>
        <v>94684.726687222137</v>
      </c>
      <c r="X90" s="139">
        <f t="shared" si="68"/>
        <v>97140.028813314566</v>
      </c>
      <c r="Y90" s="139">
        <f t="shared" si="68"/>
        <v>99706.736341853102</v>
      </c>
      <c r="Z90" s="139">
        <f t="shared" si="68"/>
        <v>102008.32190343508</v>
      </c>
      <c r="AA90" s="139">
        <f t="shared" si="68"/>
        <v>104686.99794915135</v>
      </c>
      <c r="AB90" s="139">
        <f t="shared" si="68"/>
        <v>103495.53459271671</v>
      </c>
      <c r="AC90" s="139">
        <f t="shared" si="68"/>
        <v>105530.72661453251</v>
      </c>
      <c r="AD90" s="139">
        <f t="shared" si="68"/>
        <v>107973.48505469334</v>
      </c>
      <c r="AE90" s="139">
        <f t="shared" si="68"/>
        <v>109790.84781922876</v>
      </c>
      <c r="AF90" s="139">
        <f t="shared" si="68"/>
        <v>111537.67889643459</v>
      </c>
      <c r="AG90" s="139">
        <f t="shared" si="68"/>
        <v>113232.93666144522</v>
      </c>
      <c r="AH90" s="139">
        <f t="shared" si="68"/>
        <v>114716.23224860216</v>
      </c>
      <c r="AI90" s="139">
        <f t="shared" si="68"/>
        <v>116028.18373032197</v>
      </c>
      <c r="AJ90" s="139">
        <f t="shared" si="68"/>
        <v>117862.69374491202</v>
      </c>
      <c r="AK90" s="139">
        <f t="shared" si="68"/>
        <v>119575.05855307204</v>
      </c>
      <c r="AL90" s="139">
        <f t="shared" si="68"/>
        <v>121203.49885543599</v>
      </c>
      <c r="AM90" s="139">
        <f t="shared" si="68"/>
        <v>122784.67031590009</v>
      </c>
      <c r="AN90" s="139">
        <f t="shared" si="68"/>
        <v>124173.45679523067</v>
      </c>
      <c r="AO90" s="139">
        <f t="shared" si="68"/>
        <v>125710.78309450754</v>
      </c>
      <c r="AP90" s="139">
        <f t="shared" si="68"/>
        <v>127137.90009943374</v>
      </c>
      <c r="AQ90" s="139">
        <f t="shared" si="68"/>
        <v>128763.87618003787</v>
      </c>
      <c r="AR90" s="139">
        <f t="shared" si="68"/>
        <v>130203.39858927004</v>
      </c>
      <c r="AS90" s="139">
        <f t="shared" si="68"/>
        <v>131601.57685361759</v>
      </c>
      <c r="AT90" s="139">
        <f t="shared" si="68"/>
        <v>133001.38780004677</v>
      </c>
      <c r="AU90" s="139">
        <f t="shared" si="68"/>
        <v>134386.64641998371</v>
      </c>
      <c r="AV90" s="139">
        <f t="shared" si="68"/>
        <v>135848.34275322946</v>
      </c>
      <c r="AW90" s="139">
        <f t="shared" si="68"/>
        <v>137222.71611218294</v>
      </c>
      <c r="AX90" s="139">
        <f t="shared" si="68"/>
        <v>138578.59153280954</v>
      </c>
      <c r="AY90" s="139">
        <f t="shared" si="68"/>
        <v>139930.65449237314</v>
      </c>
      <c r="AZ90" s="139">
        <f t="shared" si="68"/>
        <v>141264.49425136863</v>
      </c>
      <c r="BA90" s="139">
        <f t="shared" ref="BA90:BO90" si="69">BA106*1000000</f>
        <v>142594.67253635701</v>
      </c>
      <c r="BB90" s="139">
        <f t="shared" si="69"/>
        <v>143878.34368276875</v>
      </c>
      <c r="BC90" s="139">
        <f t="shared" si="69"/>
        <v>145145.14967383305</v>
      </c>
      <c r="BD90" s="139">
        <f t="shared" si="69"/>
        <v>146393.83279173836</v>
      </c>
      <c r="BE90" s="139">
        <f t="shared" si="69"/>
        <v>147619.98185269316</v>
      </c>
      <c r="BF90" s="139">
        <f t="shared" si="69"/>
        <v>148819.66908402782</v>
      </c>
      <c r="BG90" s="139">
        <f t="shared" si="69"/>
        <v>149994.81085386363</v>
      </c>
      <c r="BH90" s="139">
        <f t="shared" si="69"/>
        <v>151145.90741458689</v>
      </c>
      <c r="BI90" s="139">
        <f t="shared" si="69"/>
        <v>152272.5899136744</v>
      </c>
      <c r="BJ90" s="139">
        <f t="shared" si="69"/>
        <v>153372.33849406906</v>
      </c>
      <c r="BK90" s="139">
        <f t="shared" si="69"/>
        <v>154444.45614363209</v>
      </c>
      <c r="BL90" s="139">
        <f t="shared" si="69"/>
        <v>155487.51911546636</v>
      </c>
      <c r="BM90" s="139">
        <f t="shared" si="69"/>
        <v>156502.46518462832</v>
      </c>
      <c r="BN90" s="139">
        <f t="shared" si="69"/>
        <v>157488.45718003914</v>
      </c>
      <c r="BO90" s="139">
        <f t="shared" si="69"/>
        <v>158444.64298086221</v>
      </c>
      <c r="BP90" s="114"/>
    </row>
    <row r="91" spans="1:68" x14ac:dyDescent="0.3">
      <c r="A91" s="388"/>
      <c r="D91" s="359"/>
      <c r="E91" s="115"/>
      <c r="F91" s="117" t="s">
        <v>519</v>
      </c>
      <c r="G91" s="118">
        <v>26338</v>
      </c>
      <c r="H91" s="118">
        <v>30641</v>
      </c>
      <c r="I91" s="118">
        <v>18412</v>
      </c>
      <c r="J91" s="118">
        <v>26909</v>
      </c>
      <c r="K91" s="118">
        <v>21304</v>
      </c>
      <c r="L91" s="119">
        <v>23687</v>
      </c>
      <c r="M91" s="119">
        <v>36063</v>
      </c>
      <c r="N91" s="119">
        <v>20602</v>
      </c>
      <c r="O91" s="119">
        <v>21217</v>
      </c>
      <c r="P91" s="119">
        <v>23028</v>
      </c>
      <c r="Q91" s="119">
        <v>33657</v>
      </c>
      <c r="R91" s="119">
        <v>27061</v>
      </c>
      <c r="S91" s="139">
        <v>19469.815087454572</v>
      </c>
      <c r="T91" s="139">
        <f t="shared" si="53"/>
        <v>23147.915967647343</v>
      </c>
      <c r="U91" s="139">
        <f t="shared" ref="U91:AZ91" si="70">U107*1000000</f>
        <v>24584.010700511524</v>
      </c>
      <c r="V91" s="139">
        <f t="shared" si="70"/>
        <v>24652.104481854025</v>
      </c>
      <c r="W91" s="139">
        <f t="shared" si="70"/>
        <v>26158.911824554114</v>
      </c>
      <c r="X91" s="139">
        <f t="shared" si="70"/>
        <v>26837.247539999127</v>
      </c>
      <c r="Y91" s="139">
        <f t="shared" si="70"/>
        <v>27546.361652354903</v>
      </c>
      <c r="Z91" s="139">
        <f t="shared" si="70"/>
        <v>28182.229504209983</v>
      </c>
      <c r="AA91" s="139">
        <f t="shared" si="70"/>
        <v>28922.277587338616</v>
      </c>
      <c r="AB91" s="139">
        <f t="shared" si="70"/>
        <v>28593.107445821293</v>
      </c>
      <c r="AC91" s="139">
        <f t="shared" si="70"/>
        <v>29155.377734888945</v>
      </c>
      <c r="AD91" s="139">
        <f t="shared" si="70"/>
        <v>29830.247958213738</v>
      </c>
      <c r="AE91" s="139">
        <f t="shared" si="70"/>
        <v>30332.337724684232</v>
      </c>
      <c r="AF91" s="139">
        <f t="shared" si="70"/>
        <v>30814.941431953372</v>
      </c>
      <c r="AG91" s="139">
        <f t="shared" si="70"/>
        <v>31283.296782878071</v>
      </c>
      <c r="AH91" s="139">
        <f t="shared" si="70"/>
        <v>31693.092531693652</v>
      </c>
      <c r="AI91" s="139">
        <f t="shared" si="70"/>
        <v>32055.550388722375</v>
      </c>
      <c r="AJ91" s="139">
        <f t="shared" si="70"/>
        <v>32562.377491592375</v>
      </c>
      <c r="AK91" s="139">
        <f t="shared" si="70"/>
        <v>33035.459070800993</v>
      </c>
      <c r="AL91" s="139">
        <f t="shared" si="70"/>
        <v>33485.354505592775</v>
      </c>
      <c r="AM91" s="139">
        <f t="shared" si="70"/>
        <v>33922.190796522933</v>
      </c>
      <c r="AN91" s="139">
        <f t="shared" si="70"/>
        <v>34305.876152408789</v>
      </c>
      <c r="AO91" s="139">
        <f t="shared" si="70"/>
        <v>34730.5991728511</v>
      </c>
      <c r="AP91" s="139">
        <f t="shared" si="70"/>
        <v>35124.874249743989</v>
      </c>
      <c r="AQ91" s="139">
        <f t="shared" si="70"/>
        <v>35574.08888455898</v>
      </c>
      <c r="AR91" s="139">
        <f t="shared" si="70"/>
        <v>35971.791249978131</v>
      </c>
      <c r="AS91" s="139">
        <f t="shared" si="70"/>
        <v>36358.071310255385</v>
      </c>
      <c r="AT91" s="139">
        <f t="shared" si="70"/>
        <v>36744.802437860017</v>
      </c>
      <c r="AU91" s="139">
        <f t="shared" si="70"/>
        <v>37127.513138529175</v>
      </c>
      <c r="AV91" s="139">
        <f t="shared" si="70"/>
        <v>37531.341578800835</v>
      </c>
      <c r="AW91" s="139">
        <f t="shared" si="70"/>
        <v>37911.044966757399</v>
      </c>
      <c r="AX91" s="139">
        <f t="shared" si="70"/>
        <v>38285.637858496062</v>
      </c>
      <c r="AY91" s="139">
        <f t="shared" si="70"/>
        <v>38659.177467025591</v>
      </c>
      <c r="AZ91" s="139">
        <f t="shared" si="70"/>
        <v>39027.682482189317</v>
      </c>
      <c r="BA91" s="139">
        <f t="shared" ref="BA91:BO91" si="71">BA107*1000000</f>
        <v>39395.17592791569</v>
      </c>
      <c r="BB91" s="139">
        <f t="shared" si="71"/>
        <v>39749.820668472785</v>
      </c>
      <c r="BC91" s="139">
        <f t="shared" si="71"/>
        <v>40099.806008014762</v>
      </c>
      <c r="BD91" s="139">
        <f t="shared" si="71"/>
        <v>40444.784472028245</v>
      </c>
      <c r="BE91" s="139">
        <f t="shared" si="71"/>
        <v>40783.537365884411</v>
      </c>
      <c r="BF91" s="139">
        <f t="shared" si="71"/>
        <v>41114.979548795236</v>
      </c>
      <c r="BG91" s="139">
        <f t="shared" si="71"/>
        <v>41439.640463115997</v>
      </c>
      <c r="BH91" s="139">
        <f t="shared" si="71"/>
        <v>41757.658315488072</v>
      </c>
      <c r="BI91" s="139">
        <f t="shared" si="71"/>
        <v>42068.931201613173</v>
      </c>
      <c r="BJ91" s="139">
        <f t="shared" si="71"/>
        <v>42372.762950938006</v>
      </c>
      <c r="BK91" s="139">
        <f t="shared" si="71"/>
        <v>42668.960997251335</v>
      </c>
      <c r="BL91" s="139">
        <f t="shared" si="71"/>
        <v>42957.131996548866</v>
      </c>
      <c r="BM91" s="139">
        <f t="shared" si="71"/>
        <v>43237.535031534535</v>
      </c>
      <c r="BN91" s="139">
        <f t="shared" si="71"/>
        <v>43509.938813750319</v>
      </c>
      <c r="BO91" s="139">
        <f t="shared" si="71"/>
        <v>43774.107924511409</v>
      </c>
      <c r="BP91" s="114"/>
    </row>
    <row r="92" spans="1:68" x14ac:dyDescent="0.3">
      <c r="A92" s="388"/>
      <c r="D92" s="359"/>
      <c r="E92" s="115"/>
      <c r="F92" s="117" t="s">
        <v>520</v>
      </c>
      <c r="G92" s="118">
        <v>440656</v>
      </c>
      <c r="H92" s="118">
        <v>390719</v>
      </c>
      <c r="I92" s="118">
        <v>356046</v>
      </c>
      <c r="J92" s="118">
        <v>391691</v>
      </c>
      <c r="K92" s="118">
        <v>532354</v>
      </c>
      <c r="L92" s="119">
        <v>472720</v>
      </c>
      <c r="M92" s="119">
        <v>513316</v>
      </c>
      <c r="N92" s="119">
        <v>479769</v>
      </c>
      <c r="O92" s="119">
        <v>346093</v>
      </c>
      <c r="P92" s="119">
        <v>345209</v>
      </c>
      <c r="Q92" s="119">
        <v>472586</v>
      </c>
      <c r="R92" s="119">
        <v>340959</v>
      </c>
      <c r="S92" s="139">
        <v>397733.16804241942</v>
      </c>
      <c r="T92" s="139">
        <f t="shared" si="53"/>
        <v>427108.08603816823</v>
      </c>
      <c r="U92" s="139">
        <f t="shared" ref="U92:AZ92" si="72">U108*1000000</f>
        <v>453605.83527746855</v>
      </c>
      <c r="V92" s="139">
        <f t="shared" si="72"/>
        <v>454862.25095916301</v>
      </c>
      <c r="W92" s="139">
        <f t="shared" si="72"/>
        <v>482664.73655088444</v>
      </c>
      <c r="X92" s="139">
        <f t="shared" si="72"/>
        <v>495180.88139606104</v>
      </c>
      <c r="Y92" s="139">
        <f t="shared" si="72"/>
        <v>508264.92627224908</v>
      </c>
      <c r="Z92" s="139">
        <f t="shared" si="72"/>
        <v>519997.48576307349</v>
      </c>
      <c r="AA92" s="139">
        <f t="shared" si="72"/>
        <v>533652.30120317859</v>
      </c>
      <c r="AB92" s="139">
        <f t="shared" si="72"/>
        <v>527578.69918557699</v>
      </c>
      <c r="AC92" s="139">
        <f t="shared" si="72"/>
        <v>537953.29132317845</v>
      </c>
      <c r="AD92" s="139">
        <f t="shared" si="72"/>
        <v>550405.49349167012</v>
      </c>
      <c r="AE92" s="139">
        <f t="shared" si="72"/>
        <v>559669.67949771427</v>
      </c>
      <c r="AF92" s="139">
        <f t="shared" si="72"/>
        <v>568574.32326844241</v>
      </c>
      <c r="AG92" s="139">
        <f t="shared" si="72"/>
        <v>577216.06699166843</v>
      </c>
      <c r="AH92" s="139">
        <f t="shared" si="72"/>
        <v>584777.3125996025</v>
      </c>
      <c r="AI92" s="139">
        <f t="shared" si="72"/>
        <v>591465.11472405319</v>
      </c>
      <c r="AJ92" s="139">
        <f t="shared" si="72"/>
        <v>600816.71052911936</v>
      </c>
      <c r="AK92" s="139">
        <f t="shared" si="72"/>
        <v>609545.65909270104</v>
      </c>
      <c r="AL92" s="139">
        <f t="shared" si="72"/>
        <v>617846.7942074039</v>
      </c>
      <c r="AM92" s="139">
        <f t="shared" si="72"/>
        <v>625906.97173664509</v>
      </c>
      <c r="AN92" s="139">
        <f t="shared" si="72"/>
        <v>632986.44784249936</v>
      </c>
      <c r="AO92" s="139">
        <f t="shared" si="72"/>
        <v>640823.12033651571</v>
      </c>
      <c r="AP92" s="139">
        <f t="shared" si="72"/>
        <v>648097.99007855356</v>
      </c>
      <c r="AQ92" s="139">
        <f t="shared" si="72"/>
        <v>656386.56357969821</v>
      </c>
      <c r="AR92" s="139">
        <f t="shared" si="72"/>
        <v>663724.67109419045</v>
      </c>
      <c r="AS92" s="139">
        <f t="shared" si="72"/>
        <v>670852.0227508283</v>
      </c>
      <c r="AT92" s="139">
        <f t="shared" si="72"/>
        <v>677987.69716546917</v>
      </c>
      <c r="AU92" s="139">
        <f t="shared" si="72"/>
        <v>685049.18965998082</v>
      </c>
      <c r="AV92" s="139">
        <f t="shared" si="72"/>
        <v>692500.330939968</v>
      </c>
      <c r="AW92" s="139">
        <f t="shared" si="72"/>
        <v>699506.33474259987</v>
      </c>
      <c r="AX92" s="139">
        <f t="shared" si="72"/>
        <v>706418.04347947333</v>
      </c>
      <c r="AY92" s="139">
        <f t="shared" si="72"/>
        <v>713310.31781991397</v>
      </c>
      <c r="AZ92" s="139">
        <f t="shared" si="72"/>
        <v>720109.69759742939</v>
      </c>
      <c r="BA92" s="139">
        <f t="shared" ref="BA92:BO92" si="73">BA108*1000000</f>
        <v>726890.4126499265</v>
      </c>
      <c r="BB92" s="139">
        <f t="shared" si="73"/>
        <v>733434.05297480675</v>
      </c>
      <c r="BC92" s="139">
        <f t="shared" si="73"/>
        <v>739891.72150626848</v>
      </c>
      <c r="BD92" s="139">
        <f t="shared" si="73"/>
        <v>746257.00690367189</v>
      </c>
      <c r="BE92" s="139">
        <f t="shared" si="73"/>
        <v>752507.42272240098</v>
      </c>
      <c r="BF92" s="139">
        <f t="shared" si="73"/>
        <v>758622.946753731</v>
      </c>
      <c r="BG92" s="139">
        <f t="shared" si="73"/>
        <v>764613.34787324222</v>
      </c>
      <c r="BH92" s="139">
        <f t="shared" si="73"/>
        <v>770481.17616683221</v>
      </c>
      <c r="BI92" s="139">
        <f t="shared" si="73"/>
        <v>776224.55137237057</v>
      </c>
      <c r="BJ92" s="139">
        <f t="shared" si="73"/>
        <v>781830.62826988171</v>
      </c>
      <c r="BK92" s="139">
        <f t="shared" si="73"/>
        <v>787295.85377121624</v>
      </c>
      <c r="BL92" s="139">
        <f t="shared" si="73"/>
        <v>792612.97018608882</v>
      </c>
      <c r="BM92" s="139">
        <f t="shared" si="73"/>
        <v>797786.75791537773</v>
      </c>
      <c r="BN92" s="139">
        <f t="shared" si="73"/>
        <v>802812.94939690689</v>
      </c>
      <c r="BO92" s="139">
        <f t="shared" si="73"/>
        <v>807687.20086063561</v>
      </c>
      <c r="BP92" s="114"/>
    </row>
    <row r="93" spans="1:68" x14ac:dyDescent="0.3">
      <c r="A93" s="388"/>
      <c r="D93" s="359"/>
      <c r="E93" s="115"/>
      <c r="F93" s="117" t="s">
        <v>521</v>
      </c>
      <c r="G93" s="118">
        <f>188272+547291</f>
        <v>735563</v>
      </c>
      <c r="H93" s="118">
        <f>138069+591984</f>
        <v>730053</v>
      </c>
      <c r="I93" s="118">
        <f>137864+559319</f>
        <v>697183</v>
      </c>
      <c r="J93" s="118">
        <f>77832+604134</f>
        <v>681966</v>
      </c>
      <c r="K93" s="118">
        <f>263374+769442</f>
        <v>1032816</v>
      </c>
      <c r="L93" s="119">
        <f>526695+ 675538</f>
        <v>1202233</v>
      </c>
      <c r="M93" s="119">
        <f>333963+ 610413</f>
        <v>944376</v>
      </c>
      <c r="N93" s="119">
        <f>445416+763820</f>
        <v>1209236</v>
      </c>
      <c r="O93" s="119">
        <f>342921+651968</f>
        <v>994889</v>
      </c>
      <c r="P93" s="119">
        <f>264673+749450</f>
        <v>1014123</v>
      </c>
      <c r="Q93" s="119">
        <f>347640.660863619+722298</f>
        <v>1069938.6608636191</v>
      </c>
      <c r="R93" s="119">
        <f>451256+763455</f>
        <v>1214711</v>
      </c>
      <c r="S93" s="139">
        <f>574984.40894489+857562</f>
        <v>1432546.4089448899</v>
      </c>
      <c r="T93" s="139">
        <f t="shared" si="53"/>
        <v>1114376.1672843322</v>
      </c>
      <c r="U93" s="139">
        <f t="shared" ref="U93:AZ93" si="74">U109*1000000</f>
        <v>1185975.0539065078</v>
      </c>
      <c r="V93" s="139">
        <f t="shared" si="74"/>
        <v>1191735.0621560258</v>
      </c>
      <c r="W93" s="139">
        <f t="shared" si="74"/>
        <v>1267209.1224004715</v>
      </c>
      <c r="X93" s="139">
        <f t="shared" si="74"/>
        <v>1302775.2166740205</v>
      </c>
      <c r="Y93" s="139">
        <f t="shared" si="74"/>
        <v>1339981.0622464712</v>
      </c>
      <c r="Z93" s="139">
        <f t="shared" si="74"/>
        <v>1373765.6797227836</v>
      </c>
      <c r="AA93" s="139">
        <f t="shared" si="74"/>
        <v>1412774.0350871219</v>
      </c>
      <c r="AB93" s="139">
        <f t="shared" si="74"/>
        <v>1399601.7286805522</v>
      </c>
      <c r="AC93" s="139">
        <f t="shared" si="74"/>
        <v>1430094.3337639139</v>
      </c>
      <c r="AD93" s="139">
        <f t="shared" si="74"/>
        <v>1466242.4074716931</v>
      </c>
      <c r="AE93" s="139">
        <f t="shared" si="74"/>
        <v>1494024.4167490513</v>
      </c>
      <c r="AF93" s="139">
        <f t="shared" si="74"/>
        <v>1520953.9266638339</v>
      </c>
      <c r="AG93" s="139">
        <f t="shared" si="74"/>
        <v>1547284.325734305</v>
      </c>
      <c r="AH93" s="139">
        <f t="shared" si="74"/>
        <v>1570815.3239016384</v>
      </c>
      <c r="AI93" s="139">
        <f t="shared" si="74"/>
        <v>1592086.4575840007</v>
      </c>
      <c r="AJ93" s="139">
        <f t="shared" si="74"/>
        <v>1620624.5605128147</v>
      </c>
      <c r="AK93" s="139">
        <f t="shared" si="74"/>
        <v>1647591.5478433466</v>
      </c>
      <c r="AL93" s="139">
        <f t="shared" si="74"/>
        <v>1673504.9822916815</v>
      </c>
      <c r="AM93" s="139">
        <f t="shared" si="74"/>
        <v>1698865.1228793028</v>
      </c>
      <c r="AN93" s="139">
        <f t="shared" si="74"/>
        <v>1721656.1682824173</v>
      </c>
      <c r="AO93" s="139">
        <f t="shared" si="74"/>
        <v>1746598.4995616835</v>
      </c>
      <c r="AP93" s="139">
        <f t="shared" si="74"/>
        <v>1770102.7812645677</v>
      </c>
      <c r="AQ93" s="139">
        <f t="shared" si="74"/>
        <v>1796471.7477993227</v>
      </c>
      <c r="AR93" s="139">
        <f t="shared" si="74"/>
        <v>1820336.0491011692</v>
      </c>
      <c r="AS93" s="139">
        <f t="shared" si="74"/>
        <v>1843712.6770687157</v>
      </c>
      <c r="AT93" s="139">
        <f t="shared" si="74"/>
        <v>1867201.6431317807</v>
      </c>
      <c r="AU93" s="139">
        <f t="shared" si="74"/>
        <v>1890575.6677010849</v>
      </c>
      <c r="AV93" s="139">
        <f t="shared" si="74"/>
        <v>1915116.4729255114</v>
      </c>
      <c r="AW93" s="139">
        <f t="shared" si="74"/>
        <v>1938517.6424957619</v>
      </c>
      <c r="AX93" s="139">
        <f t="shared" si="74"/>
        <v>1961746.0601415944</v>
      </c>
      <c r="AY93" s="139">
        <f t="shared" si="74"/>
        <v>1985008.6836679524</v>
      </c>
      <c r="AZ93" s="139">
        <f t="shared" si="74"/>
        <v>2008100.590994271</v>
      </c>
      <c r="BA93" s="139">
        <f t="shared" ref="BA93:BO93" si="75">BA109*1000000</f>
        <v>2031227.8600685177</v>
      </c>
      <c r="BB93" s="139">
        <f t="shared" si="75"/>
        <v>2053778.8328226791</v>
      </c>
      <c r="BC93" s="139">
        <f t="shared" si="75"/>
        <v>2076173.6312276588</v>
      </c>
      <c r="BD93" s="139">
        <f t="shared" si="75"/>
        <v>2098392.9775096383</v>
      </c>
      <c r="BE93" s="139">
        <f t="shared" si="75"/>
        <v>2120372.1427438441</v>
      </c>
      <c r="BF93" s="139">
        <f t="shared" si="75"/>
        <v>2142052.8225205299</v>
      </c>
      <c r="BG93" s="139">
        <f t="shared" si="75"/>
        <v>2163460.5274382131</v>
      </c>
      <c r="BH93" s="139">
        <f t="shared" si="75"/>
        <v>2184600.5210205633</v>
      </c>
      <c r="BI93" s="139">
        <f t="shared" si="75"/>
        <v>2205465.530617828</v>
      </c>
      <c r="BJ93" s="139">
        <f t="shared" si="75"/>
        <v>2226017.0114551964</v>
      </c>
      <c r="BK93" s="139">
        <f t="shared" si="75"/>
        <v>2246242.6172388038</v>
      </c>
      <c r="BL93" s="139">
        <f t="shared" si="75"/>
        <v>2266119.3161162091</v>
      </c>
      <c r="BM93" s="139">
        <f t="shared" si="75"/>
        <v>2285658.3827918419</v>
      </c>
      <c r="BN93" s="139">
        <f t="shared" si="75"/>
        <v>2304845.21922768</v>
      </c>
      <c r="BO93" s="139">
        <f t="shared" si="75"/>
        <v>2323664.896065528</v>
      </c>
      <c r="BP93" s="114"/>
    </row>
    <row r="94" spans="1:68" x14ac:dyDescent="0.3">
      <c r="A94" s="388"/>
      <c r="D94" s="359"/>
      <c r="E94" s="115"/>
      <c r="F94" s="117" t="s">
        <v>522</v>
      </c>
      <c r="G94" s="118">
        <v>53518</v>
      </c>
      <c r="H94" s="118">
        <v>36221</v>
      </c>
      <c r="I94" s="118">
        <v>62956</v>
      </c>
      <c r="J94" s="118">
        <v>13121</v>
      </c>
      <c r="K94" s="118">
        <v>184964</v>
      </c>
      <c r="L94" s="119">
        <v>175741.34622532772</v>
      </c>
      <c r="M94" s="119">
        <v>148851.91504201826</v>
      </c>
      <c r="N94" s="119">
        <v>245267.50815189313</v>
      </c>
      <c r="O94" s="119">
        <v>254020.35975334398</v>
      </c>
      <c r="P94" s="119">
        <v>243770.87877727277</v>
      </c>
      <c r="Q94" s="119">
        <v>243796.78429693205</v>
      </c>
      <c r="R94" s="119">
        <v>197232.67877640869</v>
      </c>
      <c r="S94" s="139">
        <v>205030.22433716798</v>
      </c>
      <c r="T94" s="139">
        <f t="shared" si="53"/>
        <v>161299.29454918223</v>
      </c>
      <c r="U94" s="139">
        <f t="shared" ref="U94:AZ94" si="76">U110*1000000</f>
        <v>171841.0641252253</v>
      </c>
      <c r="V94" s="139">
        <f t="shared" si="76"/>
        <v>172854.96680887023</v>
      </c>
      <c r="W94" s="139">
        <f t="shared" si="76"/>
        <v>183992.95039947185</v>
      </c>
      <c r="X94" s="139">
        <f t="shared" si="76"/>
        <v>189353.40880257075</v>
      </c>
      <c r="Y94" s="139">
        <f t="shared" si="76"/>
        <v>194963.38071983823</v>
      </c>
      <c r="Z94" s="139">
        <f t="shared" si="76"/>
        <v>200086.50375851349</v>
      </c>
      <c r="AA94" s="139">
        <f t="shared" si="76"/>
        <v>205981.67458865681</v>
      </c>
      <c r="AB94" s="139">
        <f t="shared" si="76"/>
        <v>204273.06110019796</v>
      </c>
      <c r="AC94" s="139">
        <f t="shared" si="76"/>
        <v>208940.22568474655</v>
      </c>
      <c r="AD94" s="139">
        <f t="shared" si="76"/>
        <v>214443.99857502093</v>
      </c>
      <c r="AE94" s="139">
        <f t="shared" si="76"/>
        <v>218734.13462841249</v>
      </c>
      <c r="AF94" s="139">
        <f t="shared" si="76"/>
        <v>222908.00875678001</v>
      </c>
      <c r="AG94" s="139">
        <f t="shared" si="76"/>
        <v>227002.41981975696</v>
      </c>
      <c r="AH94" s="139">
        <f t="shared" si="76"/>
        <v>230693.96677086348</v>
      </c>
      <c r="AI94" s="139">
        <f t="shared" si="76"/>
        <v>234060.7015702021</v>
      </c>
      <c r="AJ94" s="139">
        <f t="shared" si="76"/>
        <v>238503.64318034245</v>
      </c>
      <c r="AK94" s="139">
        <f t="shared" si="76"/>
        <v>242724.10206865027</v>
      </c>
      <c r="AL94" s="139">
        <f t="shared" si="76"/>
        <v>246797.69783591648</v>
      </c>
      <c r="AM94" s="139">
        <f t="shared" si="76"/>
        <v>250797.81115519395</v>
      </c>
      <c r="AN94" s="139">
        <f t="shared" si="76"/>
        <v>254426.30513427904</v>
      </c>
      <c r="AO94" s="139">
        <f t="shared" si="76"/>
        <v>258380.31159063551</v>
      </c>
      <c r="AP94" s="139">
        <f t="shared" si="76"/>
        <v>262129.29902610084</v>
      </c>
      <c r="AQ94" s="139">
        <f t="shared" si="76"/>
        <v>266310.45715200988</v>
      </c>
      <c r="AR94" s="139">
        <f t="shared" si="76"/>
        <v>270128.33702438703</v>
      </c>
      <c r="AS94" s="139">
        <f t="shared" si="76"/>
        <v>273881.41554922011</v>
      </c>
      <c r="AT94" s="139">
        <f t="shared" si="76"/>
        <v>277658.70236986852</v>
      </c>
      <c r="AU94" s="139">
        <f t="shared" si="76"/>
        <v>281426.42878417391</v>
      </c>
      <c r="AV94" s="139">
        <f t="shared" si="76"/>
        <v>285375.5452172152</v>
      </c>
      <c r="AW94" s="139">
        <f t="shared" si="76"/>
        <v>289162.56402134628</v>
      </c>
      <c r="AX94" s="139">
        <f t="shared" si="76"/>
        <v>292931.34452496184</v>
      </c>
      <c r="AY94" s="139">
        <f t="shared" si="76"/>
        <v>296712.75337081379</v>
      </c>
      <c r="AZ94" s="139">
        <f t="shared" si="76"/>
        <v>300476.15512586862</v>
      </c>
      <c r="BA94" s="139">
        <f t="shared" ref="BA94:BO94" si="77">BA110*1000000</f>
        <v>304252.34966958815</v>
      </c>
      <c r="BB94" s="139">
        <f t="shared" si="77"/>
        <v>307949.6511992641</v>
      </c>
      <c r="BC94" s="139">
        <f t="shared" si="77"/>
        <v>311630.86180408602</v>
      </c>
      <c r="BD94" s="139">
        <f t="shared" si="77"/>
        <v>315293.02316403989</v>
      </c>
      <c r="BE94" s="139">
        <f t="shared" si="77"/>
        <v>318926.32845913025</v>
      </c>
      <c r="BF94" s="139">
        <f t="shared" si="77"/>
        <v>322521.89759252872</v>
      </c>
      <c r="BG94" s="139">
        <f t="shared" si="77"/>
        <v>326083.44664168631</v>
      </c>
      <c r="BH94" s="139">
        <f t="shared" si="77"/>
        <v>329611.65250897902</v>
      </c>
      <c r="BI94" s="139">
        <f t="shared" si="77"/>
        <v>333105.30172730854</v>
      </c>
      <c r="BJ94" s="139">
        <f t="shared" si="77"/>
        <v>336558.44789049297</v>
      </c>
      <c r="BK94" s="139">
        <f t="shared" si="77"/>
        <v>339969.08527503</v>
      </c>
      <c r="BL94" s="139">
        <f t="shared" si="77"/>
        <v>343333.5811636367</v>
      </c>
      <c r="BM94" s="139">
        <f t="shared" si="77"/>
        <v>346653.49113059638</v>
      </c>
      <c r="BN94" s="139">
        <f t="shared" si="77"/>
        <v>349926.44947079383</v>
      </c>
      <c r="BO94" s="139">
        <f t="shared" si="77"/>
        <v>353150.03060189809</v>
      </c>
      <c r="BP94" s="114"/>
    </row>
    <row r="95" spans="1:68" x14ac:dyDescent="0.3">
      <c r="D95" s="359"/>
      <c r="E95" s="115"/>
      <c r="F95" s="117" t="s">
        <v>523</v>
      </c>
      <c r="G95" s="119">
        <f>G111*1000000</f>
        <v>0</v>
      </c>
      <c r="H95" s="119">
        <f t="shared" ref="H95:R95" si="78">H111*1000000</f>
        <v>0</v>
      </c>
      <c r="I95" s="119">
        <f t="shared" si="78"/>
        <v>0</v>
      </c>
      <c r="J95" s="119">
        <f t="shared" si="78"/>
        <v>0</v>
      </c>
      <c r="K95" s="119">
        <f t="shared" si="78"/>
        <v>480014.1409</v>
      </c>
      <c r="L95" s="119">
        <f t="shared" si="78"/>
        <v>591934.2709</v>
      </c>
      <c r="M95" s="119">
        <f t="shared" si="78"/>
        <v>533950.91830000002</v>
      </c>
      <c r="N95" s="119">
        <f t="shared" si="78"/>
        <v>601688.43839999998</v>
      </c>
      <c r="O95" s="119">
        <f t="shared" si="78"/>
        <v>505686.82919999998</v>
      </c>
      <c r="P95" s="119">
        <f t="shared" si="78"/>
        <v>524165.41610000003</v>
      </c>
      <c r="Q95" s="119">
        <f t="shared" si="78"/>
        <v>392111.25349999999</v>
      </c>
      <c r="R95" s="119">
        <f t="shared" si="78"/>
        <v>438748.6275</v>
      </c>
      <c r="S95" s="119">
        <v>339569.45422631124</v>
      </c>
      <c r="T95" s="139">
        <f t="shared" si="53"/>
        <v>408321.06863001635</v>
      </c>
      <c r="U95" s="139">
        <f t="shared" ref="U95:AZ95" si="79">U111*1000000</f>
        <v>435413.15612076526</v>
      </c>
      <c r="V95" s="139">
        <f t="shared" si="79"/>
        <v>438391.100661323</v>
      </c>
      <c r="W95" s="139">
        <f t="shared" si="79"/>
        <v>467074.67724788311</v>
      </c>
      <c r="X95" s="139">
        <f t="shared" si="79"/>
        <v>481131.22058317007</v>
      </c>
      <c r="Y95" s="139">
        <f t="shared" si="79"/>
        <v>495848.1883944344</v>
      </c>
      <c r="Z95" s="139">
        <f t="shared" si="79"/>
        <v>509352.86334584263</v>
      </c>
      <c r="AA95" s="139">
        <f t="shared" si="79"/>
        <v>524849.53089787089</v>
      </c>
      <c r="AB95" s="139">
        <f t="shared" si="79"/>
        <v>520981.85568107915</v>
      </c>
      <c r="AC95" s="139">
        <f t="shared" si="79"/>
        <v>533382.58680487773</v>
      </c>
      <c r="AD95" s="139">
        <f t="shared" si="79"/>
        <v>547943.70622096397</v>
      </c>
      <c r="AE95" s="139">
        <f t="shared" si="79"/>
        <v>559427.58987603569</v>
      </c>
      <c r="AF95" s="139">
        <f t="shared" si="79"/>
        <v>570634.8133899956</v>
      </c>
      <c r="AG95" s="139">
        <f t="shared" si="79"/>
        <v>581658.8637321943</v>
      </c>
      <c r="AH95" s="139">
        <f t="shared" si="79"/>
        <v>591669.75981431676</v>
      </c>
      <c r="AI95" s="139">
        <f t="shared" si="79"/>
        <v>600865.00538203167</v>
      </c>
      <c r="AJ95" s="139">
        <f t="shared" si="79"/>
        <v>612842.25039471115</v>
      </c>
      <c r="AK95" s="139">
        <f t="shared" si="79"/>
        <v>624269.12609148526</v>
      </c>
      <c r="AL95" s="139">
        <f t="shared" si="79"/>
        <v>635338.72996213252</v>
      </c>
      <c r="AM95" s="139">
        <f t="shared" si="79"/>
        <v>646239.11440418055</v>
      </c>
      <c r="AN95" s="139">
        <f t="shared" si="79"/>
        <v>656200.84049887315</v>
      </c>
      <c r="AO95" s="139">
        <f t="shared" si="79"/>
        <v>667020.92982086353</v>
      </c>
      <c r="AP95" s="139">
        <f t="shared" si="79"/>
        <v>677330.89029065729</v>
      </c>
      <c r="AQ95" s="139">
        <f t="shared" si="79"/>
        <v>688777.2734706928</v>
      </c>
      <c r="AR95" s="139">
        <f t="shared" si="79"/>
        <v>699303.99015621608</v>
      </c>
      <c r="AS95" s="139">
        <f t="shared" si="79"/>
        <v>709681.8488509208</v>
      </c>
      <c r="AT95" s="139">
        <f t="shared" si="79"/>
        <v>720141.26288629498</v>
      </c>
      <c r="AU95" s="139">
        <f t="shared" si="79"/>
        <v>730594.76915525249</v>
      </c>
      <c r="AV95" s="139">
        <f t="shared" si="79"/>
        <v>741538.50242603407</v>
      </c>
      <c r="AW95" s="139">
        <f t="shared" si="79"/>
        <v>752080.43491300428</v>
      </c>
      <c r="AX95" s="139">
        <f t="shared" si="79"/>
        <v>762593.92503478855</v>
      </c>
      <c r="AY95" s="139">
        <f t="shared" si="79"/>
        <v>773159.29692517268</v>
      </c>
      <c r="AZ95" s="139">
        <f t="shared" si="79"/>
        <v>783696.76620441442</v>
      </c>
      <c r="BA95" s="139">
        <f t="shared" ref="BA95:BO95" si="80">BA111*1000000</f>
        <v>794286.6344324802</v>
      </c>
      <c r="BB95" s="139">
        <f t="shared" si="80"/>
        <v>804689.44138011546</v>
      </c>
      <c r="BC95" s="139">
        <f t="shared" si="80"/>
        <v>815068.89460388105</v>
      </c>
      <c r="BD95" s="139">
        <f t="shared" si="80"/>
        <v>825417.15744385379</v>
      </c>
      <c r="BE95" s="139">
        <f t="shared" si="80"/>
        <v>835708.4184523056</v>
      </c>
      <c r="BF95" s="139">
        <f t="shared" si="80"/>
        <v>845919.200621219</v>
      </c>
      <c r="BG95" s="139">
        <f t="shared" si="80"/>
        <v>856059.00803281495</v>
      </c>
      <c r="BH95" s="139">
        <f t="shared" si="80"/>
        <v>866129.39459350135</v>
      </c>
      <c r="BI95" s="139">
        <f t="shared" si="80"/>
        <v>876126.94840419397</v>
      </c>
      <c r="BJ95" s="139">
        <f t="shared" si="80"/>
        <v>886035.78511529521</v>
      </c>
      <c r="BK95" s="139">
        <f t="shared" si="80"/>
        <v>895850.34553861991</v>
      </c>
      <c r="BL95" s="139">
        <f t="shared" si="80"/>
        <v>905560.75893790857</v>
      </c>
      <c r="BM95" s="139">
        <f t="shared" si="80"/>
        <v>915170.8154133939</v>
      </c>
      <c r="BN95" s="139">
        <f t="shared" si="80"/>
        <v>924673.95788924757</v>
      </c>
      <c r="BO95" s="139">
        <f t="shared" si="80"/>
        <v>934063.44698628783</v>
      </c>
      <c r="BP95" s="114"/>
    </row>
    <row r="96" spans="1:68" x14ac:dyDescent="0.3">
      <c r="A96" s="354"/>
      <c r="B96" s="354"/>
      <c r="C96" s="354"/>
      <c r="D96" s="359"/>
      <c r="E96" s="115"/>
      <c r="F96" s="117"/>
      <c r="G96" s="140"/>
      <c r="H96" s="140"/>
      <c r="I96" s="140"/>
      <c r="J96" s="140"/>
      <c r="K96" s="140"/>
      <c r="L96" s="141"/>
      <c r="M96" s="141"/>
      <c r="N96" s="141"/>
      <c r="O96" s="141"/>
      <c r="P96" s="141"/>
      <c r="Q96" s="141"/>
      <c r="R96" s="141"/>
      <c r="S96" s="142"/>
      <c r="T96" s="142"/>
      <c r="U96" s="142"/>
      <c r="V96" s="142"/>
      <c r="W96" s="142"/>
      <c r="X96" s="142"/>
      <c r="Y96" s="142"/>
      <c r="Z96" s="142"/>
      <c r="AA96" s="142"/>
      <c r="AB96" s="142"/>
      <c r="AC96" s="142"/>
      <c r="AD96" s="142"/>
      <c r="AE96" s="142"/>
      <c r="AF96" s="142"/>
      <c r="AG96" s="142"/>
      <c r="AH96" s="142"/>
      <c r="AI96" s="142"/>
      <c r="AJ96" s="142"/>
      <c r="AK96" s="142"/>
      <c r="AL96" s="142"/>
      <c r="AM96" s="142"/>
      <c r="AN96" s="142"/>
      <c r="AO96" s="142"/>
      <c r="AP96" s="142"/>
      <c r="AQ96" s="142"/>
      <c r="AR96" s="142"/>
      <c r="AS96" s="142"/>
      <c r="AT96" s="142"/>
      <c r="AU96" s="142"/>
      <c r="AV96" s="142"/>
      <c r="AW96" s="142"/>
      <c r="AX96" s="142"/>
      <c r="AY96" s="142"/>
      <c r="AZ96" s="142"/>
      <c r="BA96" s="142"/>
      <c r="BB96" s="142"/>
      <c r="BC96" s="142"/>
      <c r="BD96" s="142"/>
      <c r="BE96" s="142"/>
      <c r="BF96" s="142"/>
      <c r="BG96" s="142"/>
      <c r="BH96" s="142"/>
      <c r="BI96" s="142"/>
      <c r="BJ96" s="142"/>
      <c r="BK96" s="142"/>
      <c r="BL96" s="142"/>
      <c r="BM96" s="142"/>
      <c r="BN96" s="142"/>
      <c r="BO96" s="142"/>
      <c r="BP96" s="114"/>
    </row>
    <row r="97" spans="1:81" ht="15.6" x14ac:dyDescent="0.3">
      <c r="A97" s="354"/>
      <c r="B97" s="354"/>
      <c r="C97" s="354"/>
      <c r="D97" s="359"/>
      <c r="E97" s="115"/>
      <c r="F97" s="116" t="s">
        <v>524</v>
      </c>
      <c r="G97" s="111"/>
      <c r="H97" s="111"/>
      <c r="I97" s="111"/>
      <c r="J97" s="111"/>
      <c r="K97" s="111"/>
      <c r="L97" s="112"/>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c r="AU97" s="113"/>
      <c r="AV97" s="113"/>
      <c r="AW97" s="113"/>
      <c r="AX97" s="113"/>
      <c r="AY97" s="113"/>
      <c r="AZ97" s="113"/>
      <c r="BA97" s="113"/>
      <c r="BB97" s="113"/>
      <c r="BC97" s="113"/>
      <c r="BD97" s="113"/>
      <c r="BE97" s="113"/>
      <c r="BF97" s="113"/>
      <c r="BG97" s="113"/>
      <c r="BH97" s="113"/>
      <c r="BI97" s="113"/>
      <c r="BJ97" s="113"/>
      <c r="BK97" s="113"/>
      <c r="BL97" s="113"/>
      <c r="BM97" s="113"/>
      <c r="BN97" s="113"/>
      <c r="BO97" s="113"/>
      <c r="BP97" s="114"/>
    </row>
    <row r="98" spans="1:81" x14ac:dyDescent="0.3">
      <c r="A98" s="382" t="s">
        <v>487</v>
      </c>
      <c r="B98" s="354"/>
      <c r="C98" s="354"/>
      <c r="D98" s="359" t="s">
        <v>525</v>
      </c>
      <c r="E98" s="115"/>
      <c r="F98" s="117" t="s">
        <v>409</v>
      </c>
      <c r="G98" s="122">
        <f t="shared" ref="G98:P98" si="81">G82/1000000</f>
        <v>7.9310600000000004</v>
      </c>
      <c r="H98" s="122">
        <f t="shared" si="81"/>
        <v>7.4277759999999997</v>
      </c>
      <c r="I98" s="122">
        <f t="shared" si="81"/>
        <v>7.0122439999999999</v>
      </c>
      <c r="J98" s="122">
        <f t="shared" si="81"/>
        <v>5.9955270000000001</v>
      </c>
      <c r="K98" s="122">
        <f t="shared" si="81"/>
        <v>6.9073760000000002</v>
      </c>
      <c r="L98" s="123">
        <f t="shared" si="81"/>
        <v>7.1944309999999998</v>
      </c>
      <c r="M98" s="123">
        <f t="shared" si="81"/>
        <v>6.5296760000000003</v>
      </c>
      <c r="N98" s="123">
        <f t="shared" si="81"/>
        <v>6.2821049999999996</v>
      </c>
      <c r="O98" s="123">
        <f t="shared" si="81"/>
        <v>6.5056349999999998</v>
      </c>
      <c r="P98" s="123">
        <f t="shared" si="81"/>
        <v>6.5834770000000002</v>
      </c>
      <c r="Q98" s="349">
        <f>AVERAGE(O98:P98)</f>
        <v>6.544556</v>
      </c>
      <c r="R98" s="123">
        <f t="shared" ref="R98:S105" si="82">R82/1000000</f>
        <v>6.6849160000000003</v>
      </c>
      <c r="S98" s="123">
        <f t="shared" si="82"/>
        <v>6.0787890000000004</v>
      </c>
      <c r="T98" s="143">
        <f t="shared" ref="T98:BO98" si="83">T116*T58</f>
        <v>6.6176148515088835</v>
      </c>
      <c r="U98" s="143">
        <f t="shared" si="83"/>
        <v>7.0208577191704835</v>
      </c>
      <c r="V98" s="143">
        <f t="shared" si="83"/>
        <v>7.0329783540655306</v>
      </c>
      <c r="W98" s="143">
        <f t="shared" si="83"/>
        <v>7.0681432458358575</v>
      </c>
      <c r="X98" s="143">
        <f t="shared" si="83"/>
        <v>7.1034839620650363</v>
      </c>
      <c r="Y98" s="143">
        <f t="shared" si="83"/>
        <v>7.1390013818753602</v>
      </c>
      <c r="Z98" s="143">
        <f t="shared" si="83"/>
        <v>7.1746963887847368</v>
      </c>
      <c r="AA98" s="143">
        <f t="shared" si="83"/>
        <v>7.2105698707286603</v>
      </c>
      <c r="AB98" s="143">
        <f t="shared" si="83"/>
        <v>7.2466227200823026</v>
      </c>
      <c r="AC98" s="143">
        <f t="shared" si="83"/>
        <v>7.2828558336827136</v>
      </c>
      <c r="AD98" s="143">
        <f t="shared" si="83"/>
        <v>7.3192701128511271</v>
      </c>
      <c r="AE98" s="143">
        <f t="shared" si="83"/>
        <v>7.3558664634153823</v>
      </c>
      <c r="AF98" s="143">
        <f t="shared" si="83"/>
        <v>7.3926457957324585</v>
      </c>
      <c r="AG98" s="143">
        <f t="shared" si="83"/>
        <v>7.4296090247111204</v>
      </c>
      <c r="AH98" s="143">
        <f t="shared" si="83"/>
        <v>7.4667570698346744</v>
      </c>
      <c r="AI98" s="143">
        <f t="shared" si="83"/>
        <v>7.5040908551838479</v>
      </c>
      <c r="AJ98" s="143">
        <f t="shared" si="83"/>
        <v>7.5416113094597659</v>
      </c>
      <c r="AK98" s="143">
        <f t="shared" si="83"/>
        <v>7.5793193660070637</v>
      </c>
      <c r="AL98" s="143">
        <f t="shared" si="83"/>
        <v>7.617215962837097</v>
      </c>
      <c r="AM98" s="143">
        <f t="shared" si="83"/>
        <v>7.6553020426512814</v>
      </c>
      <c r="AN98" s="143">
        <f t="shared" si="83"/>
        <v>7.6935785528645377</v>
      </c>
      <c r="AO98" s="143">
        <f t="shared" si="83"/>
        <v>7.7320464456288596</v>
      </c>
      <c r="AP98" s="143">
        <f t="shared" si="83"/>
        <v>7.770706677857004</v>
      </c>
      <c r="AQ98" s="143">
        <f t="shared" si="83"/>
        <v>7.8095602112462883</v>
      </c>
      <c r="AR98" s="143">
        <f t="shared" si="83"/>
        <v>7.8486080123025186</v>
      </c>
      <c r="AS98" s="143">
        <f t="shared" si="83"/>
        <v>7.8878510523640308</v>
      </c>
      <c r="AT98" s="143">
        <f t="shared" si="83"/>
        <v>7.9272903076258503</v>
      </c>
      <c r="AU98" s="143">
        <f t="shared" si="83"/>
        <v>7.9669267591639787</v>
      </c>
      <c r="AV98" s="143">
        <f t="shared" si="83"/>
        <v>8.0067613929597972</v>
      </c>
      <c r="AW98" s="143">
        <f t="shared" si="83"/>
        <v>8.0467951999245955</v>
      </c>
      <c r="AX98" s="143">
        <f t="shared" si="83"/>
        <v>8.0870291759242185</v>
      </c>
      <c r="AY98" s="143">
        <f t="shared" si="83"/>
        <v>8.1274643218038385</v>
      </c>
      <c r="AZ98" s="143">
        <f t="shared" si="83"/>
        <v>8.1681016434128573</v>
      </c>
      <c r="BA98" s="143">
        <f t="shared" si="83"/>
        <v>8.2089421516299197</v>
      </c>
      <c r="BB98" s="143">
        <f t="shared" si="83"/>
        <v>8.2499868623880683</v>
      </c>
      <c r="BC98" s="143">
        <f t="shared" si="83"/>
        <v>8.2912367967000087</v>
      </c>
      <c r="BD98" s="143">
        <f t="shared" si="83"/>
        <v>8.3326929806835075</v>
      </c>
      <c r="BE98" s="143">
        <f t="shared" si="83"/>
        <v>8.3743564455869244</v>
      </c>
      <c r="BF98" s="143">
        <f t="shared" si="83"/>
        <v>8.4162282278148588</v>
      </c>
      <c r="BG98" s="143">
        <f t="shared" si="83"/>
        <v>8.4583093689539304</v>
      </c>
      <c r="BH98" s="143">
        <f t="shared" si="83"/>
        <v>8.5006009157986995</v>
      </c>
      <c r="BI98" s="143">
        <f t="shared" si="83"/>
        <v>8.5431039203776926</v>
      </c>
      <c r="BJ98" s="143">
        <f t="shared" si="83"/>
        <v>8.5858194399795806</v>
      </c>
      <c r="BK98" s="143">
        <f t="shared" si="83"/>
        <v>8.6287485371794777</v>
      </c>
      <c r="BL98" s="143">
        <f t="shared" si="83"/>
        <v>8.6718922798653733</v>
      </c>
      <c r="BM98" s="143">
        <f t="shared" si="83"/>
        <v>8.7152517412646997</v>
      </c>
      <c r="BN98" s="143">
        <f t="shared" si="83"/>
        <v>8.7588279999710217</v>
      </c>
      <c r="BO98" s="143">
        <f t="shared" si="83"/>
        <v>8.8026221399708753</v>
      </c>
      <c r="BP98" s="114"/>
    </row>
    <row r="99" spans="1:81" x14ac:dyDescent="0.3">
      <c r="A99" s="388"/>
      <c r="D99" s="359"/>
      <c r="E99" s="115"/>
      <c r="F99" s="117" t="s">
        <v>394</v>
      </c>
      <c r="G99" s="122">
        <f t="shared" ref="G99:P99" si="84">G83/1000000</f>
        <v>0.1321</v>
      </c>
      <c r="H99" s="122">
        <f t="shared" si="84"/>
        <v>0.224163</v>
      </c>
      <c r="I99" s="122">
        <f t="shared" si="84"/>
        <v>0.133323</v>
      </c>
      <c r="J99" s="122">
        <f t="shared" si="84"/>
        <v>0.128446</v>
      </c>
      <c r="K99" s="122">
        <f t="shared" si="84"/>
        <v>0.15621599999999999</v>
      </c>
      <c r="L99" s="123">
        <f t="shared" si="84"/>
        <v>0.18019199999999999</v>
      </c>
      <c r="M99" s="123">
        <f t="shared" si="84"/>
        <v>0.17755099999999999</v>
      </c>
      <c r="N99" s="123">
        <f t="shared" si="84"/>
        <v>0.205955</v>
      </c>
      <c r="O99" s="123">
        <f t="shared" si="84"/>
        <v>0.235182</v>
      </c>
      <c r="P99" s="123">
        <f t="shared" si="84"/>
        <v>0.28367999999999999</v>
      </c>
      <c r="Q99" s="123">
        <f t="shared" ref="Q99:Q110" si="85">Q83/1000000</f>
        <v>0.327903</v>
      </c>
      <c r="R99" s="123">
        <f t="shared" si="82"/>
        <v>0.30209399999999997</v>
      </c>
      <c r="S99" s="123">
        <f t="shared" si="82"/>
        <v>0.33714940921686015</v>
      </c>
      <c r="T99" s="143">
        <f t="shared" ref="T99:BO99" si="86">T117*T59</f>
        <v>0.35886470240306245</v>
      </c>
      <c r="U99" s="143">
        <f t="shared" si="86"/>
        <v>0.381525233817744</v>
      </c>
      <c r="V99" s="143">
        <f t="shared" si="86"/>
        <v>0.38298010596947313</v>
      </c>
      <c r="W99" s="143">
        <f t="shared" si="86"/>
        <v>0.41494806657878391</v>
      </c>
      <c r="X99" s="143">
        <f t="shared" si="86"/>
        <v>0.43467423609182221</v>
      </c>
      <c r="Y99" s="143">
        <f t="shared" si="86"/>
        <v>0.45555627027367868</v>
      </c>
      <c r="Z99" s="143">
        <f t="shared" si="86"/>
        <v>0.47588825567318871</v>
      </c>
      <c r="AA99" s="143">
        <f t="shared" si="86"/>
        <v>0.49867085441778475</v>
      </c>
      <c r="AB99" s="143">
        <f t="shared" si="86"/>
        <v>0.50337855333280912</v>
      </c>
      <c r="AC99" s="143">
        <f t="shared" si="86"/>
        <v>0.52408759556318041</v>
      </c>
      <c r="AD99" s="143">
        <f t="shared" si="86"/>
        <v>0.54751235992063418</v>
      </c>
      <c r="AE99" s="143">
        <f t="shared" si="86"/>
        <v>0.56845331477086447</v>
      </c>
      <c r="AF99" s="143">
        <f t="shared" si="86"/>
        <v>0.58966061791681557</v>
      </c>
      <c r="AG99" s="143">
        <f t="shared" si="86"/>
        <v>0.61123068354915766</v>
      </c>
      <c r="AH99" s="143">
        <f t="shared" si="86"/>
        <v>0.61988187169698128</v>
      </c>
      <c r="AI99" s="143">
        <f t="shared" si="86"/>
        <v>0.62762356224013671</v>
      </c>
      <c r="AJ99" s="143">
        <f t="shared" si="86"/>
        <v>0.63821027588962875</v>
      </c>
      <c r="AK99" s="143">
        <f t="shared" si="86"/>
        <v>0.64815625490928919</v>
      </c>
      <c r="AL99" s="143">
        <f t="shared" si="86"/>
        <v>0.65766685618270837</v>
      </c>
      <c r="AM99" s="143">
        <f t="shared" si="86"/>
        <v>0.66693979462518593</v>
      </c>
      <c r="AN99" s="143">
        <f t="shared" si="86"/>
        <v>0.67518523841270128</v>
      </c>
      <c r="AO99" s="143">
        <f t="shared" si="86"/>
        <v>0.68425563639713283</v>
      </c>
      <c r="AP99" s="143">
        <f t="shared" si="86"/>
        <v>0.69274367648454438</v>
      </c>
      <c r="AQ99" s="143">
        <f t="shared" si="86"/>
        <v>0.70233330319555287</v>
      </c>
      <c r="AR99" s="143">
        <f t="shared" si="86"/>
        <v>0.7109240809816374</v>
      </c>
      <c r="AS99" s="143">
        <f t="shared" si="86"/>
        <v>0.71930599887220825</v>
      </c>
      <c r="AT99" s="143">
        <f t="shared" si="86"/>
        <v>0.72771352429949931</v>
      </c>
      <c r="AU99" s="143">
        <f t="shared" si="86"/>
        <v>0.73605806278692554</v>
      </c>
      <c r="AV99" s="143">
        <f t="shared" si="86"/>
        <v>0.74483827741175423</v>
      </c>
      <c r="AW99" s="143">
        <f t="shared" si="86"/>
        <v>0.75315668971454774</v>
      </c>
      <c r="AX99" s="143">
        <f t="shared" si="86"/>
        <v>0.76138997458477398</v>
      </c>
      <c r="AY99" s="143">
        <f t="shared" si="86"/>
        <v>0.76961861021949074</v>
      </c>
      <c r="AZ99" s="143">
        <f t="shared" si="86"/>
        <v>0.77776321466429199</v>
      </c>
      <c r="BA99" s="143">
        <f t="shared" si="86"/>
        <v>0.78590375598605355</v>
      </c>
      <c r="BB99" s="143">
        <f t="shared" si="86"/>
        <v>0.7938038083429757</v>
      </c>
      <c r="BC99" s="143">
        <f t="shared" si="86"/>
        <v>0.80162630597989104</v>
      </c>
      <c r="BD99" s="143">
        <f t="shared" si="86"/>
        <v>0.80936402849926736</v>
      </c>
      <c r="BE99" s="143">
        <f t="shared" si="86"/>
        <v>0.81699227335561775</v>
      </c>
      <c r="BF99" s="143">
        <f t="shared" si="86"/>
        <v>0.82448891395678192</v>
      </c>
      <c r="BG99" s="143">
        <f t="shared" si="86"/>
        <v>0.83186414368667627</v>
      </c>
      <c r="BH99" s="143">
        <f t="shared" si="86"/>
        <v>0.83912033736241753</v>
      </c>
      <c r="BI99" s="143">
        <f t="shared" si="86"/>
        <v>0.84625505045622962</v>
      </c>
      <c r="BJ99" s="143">
        <f t="shared" si="86"/>
        <v>0.85325386242213341</v>
      </c>
      <c r="BK99" s="143">
        <f t="shared" si="86"/>
        <v>0.86011244506838935</v>
      </c>
      <c r="BL99" s="143">
        <f t="shared" si="86"/>
        <v>0.86682240165161506</v>
      </c>
      <c r="BM99" s="143">
        <f t="shared" si="86"/>
        <v>0.87338848029273564</v>
      </c>
      <c r="BN99" s="143">
        <f t="shared" si="86"/>
        <v>0.87980553417691676</v>
      </c>
      <c r="BO99" s="143">
        <f t="shared" si="86"/>
        <v>0.88606831242719475</v>
      </c>
      <c r="BP99" s="114"/>
    </row>
    <row r="100" spans="1:81" x14ac:dyDescent="0.3">
      <c r="A100" s="388"/>
      <c r="D100" s="359"/>
      <c r="E100" s="115"/>
      <c r="F100" s="117" t="s">
        <v>395</v>
      </c>
      <c r="G100" s="122">
        <f t="shared" ref="G100:P100" si="87">G84/1000000</f>
        <v>3.1347E-2</v>
      </c>
      <c r="H100" s="122">
        <f t="shared" si="87"/>
        <v>2.3828999999999999E-2</v>
      </c>
      <c r="I100" s="122">
        <f t="shared" si="87"/>
        <v>7.3400000000000002E-3</v>
      </c>
      <c r="J100" s="122">
        <f t="shared" si="87"/>
        <v>7.7590000000000003E-3</v>
      </c>
      <c r="K100" s="122">
        <f t="shared" si="87"/>
        <v>4.2249999999999996E-3</v>
      </c>
      <c r="L100" s="123">
        <f t="shared" si="87"/>
        <v>5.2969999999999996E-3</v>
      </c>
      <c r="M100" s="123">
        <f t="shared" si="87"/>
        <v>3.9050000000000001E-3</v>
      </c>
      <c r="N100" s="123">
        <f t="shared" si="87"/>
        <v>7.5640000000000004E-3</v>
      </c>
      <c r="O100" s="123">
        <f t="shared" si="87"/>
        <v>5.0650000000000001E-3</v>
      </c>
      <c r="P100" s="123">
        <f t="shared" si="87"/>
        <v>8.1410000000000007E-3</v>
      </c>
      <c r="Q100" s="123">
        <f t="shared" si="85"/>
        <v>5.28E-3</v>
      </c>
      <c r="R100" s="123">
        <f t="shared" si="82"/>
        <v>4.9170000000000004E-3</v>
      </c>
      <c r="S100" s="123">
        <f t="shared" si="82"/>
        <v>7.9659689417556218E-3</v>
      </c>
      <c r="T100" s="143">
        <f t="shared" ref="T100:BO100" si="88">T118*T60</f>
        <v>7.4472288920733173E-3</v>
      </c>
      <c r="U100" s="143">
        <f t="shared" si="88"/>
        <v>7.9174845709715138E-3</v>
      </c>
      <c r="V100" s="143">
        <f t="shared" si="88"/>
        <v>7.9476763559257774E-3</v>
      </c>
      <c r="W100" s="143">
        <f t="shared" si="88"/>
        <v>8.4422368473998487E-3</v>
      </c>
      <c r="X100" s="143">
        <f t="shared" si="88"/>
        <v>8.6701680355968386E-3</v>
      </c>
      <c r="Y100" s="143">
        <f t="shared" si="88"/>
        <v>8.908518206273721E-3</v>
      </c>
      <c r="Z100" s="143">
        <f t="shared" si="88"/>
        <v>9.1236424789824192E-3</v>
      </c>
      <c r="AA100" s="143">
        <f t="shared" si="88"/>
        <v>9.3729669504784702E-3</v>
      </c>
      <c r="AB100" s="143">
        <f t="shared" si="88"/>
        <v>9.2759337090285617E-3</v>
      </c>
      <c r="AC100" s="143">
        <f t="shared" si="88"/>
        <v>9.4681828592127464E-3</v>
      </c>
      <c r="AD100" s="143">
        <f t="shared" si="88"/>
        <v>9.6974268462998534E-3</v>
      </c>
      <c r="AE100" s="143">
        <f t="shared" si="88"/>
        <v>9.8709105412889721E-3</v>
      </c>
      <c r="AF100" s="143">
        <f t="shared" si="88"/>
        <v>1.0038396928511634E-2</v>
      </c>
      <c r="AG100" s="143">
        <f t="shared" si="88"/>
        <v>1.0201574763510855E-2</v>
      </c>
      <c r="AH100" s="143">
        <f t="shared" si="88"/>
        <v>1.0345964999568309E-2</v>
      </c>
      <c r="AI100" s="143">
        <f t="shared" si="88"/>
        <v>1.0475175520240108E-2</v>
      </c>
      <c r="AJ100" s="143">
        <f t="shared" si="88"/>
        <v>1.0651870103319703E-2</v>
      </c>
      <c r="AK100" s="143">
        <f t="shared" si="88"/>
        <v>1.0817870684272569E-2</v>
      </c>
      <c r="AL100" s="143">
        <f t="shared" si="88"/>
        <v>1.0976604714726267E-2</v>
      </c>
      <c r="AM100" s="143">
        <f t="shared" si="88"/>
        <v>1.1131372100174055E-2</v>
      </c>
      <c r="AN100" s="143">
        <f t="shared" si="88"/>
        <v>1.1268990373471847E-2</v>
      </c>
      <c r="AO100" s="143">
        <f t="shared" si="88"/>
        <v>1.1420377314054866E-2</v>
      </c>
      <c r="AP100" s="143">
        <f t="shared" si="88"/>
        <v>1.156204457304227E-2</v>
      </c>
      <c r="AQ100" s="143">
        <f t="shared" si="88"/>
        <v>1.1722097555458763E-2</v>
      </c>
      <c r="AR100" s="143">
        <f t="shared" si="88"/>
        <v>1.1865479529270294E-2</v>
      </c>
      <c r="AS100" s="143">
        <f t="shared" si="88"/>
        <v>1.2005375585413538E-2</v>
      </c>
      <c r="AT100" s="143">
        <f t="shared" si="88"/>
        <v>1.2145699036986021E-2</v>
      </c>
      <c r="AU100" s="143">
        <f t="shared" si="88"/>
        <v>1.2284971222656043E-2</v>
      </c>
      <c r="AV100" s="143">
        <f t="shared" si="88"/>
        <v>1.2431514939039446E-2</v>
      </c>
      <c r="AW100" s="143">
        <f t="shared" si="88"/>
        <v>1.2570351072932308E-2</v>
      </c>
      <c r="AX100" s="143">
        <f t="shared" si="88"/>
        <v>1.2707766411221916E-2</v>
      </c>
      <c r="AY100" s="143">
        <f t="shared" si="88"/>
        <v>1.2845104152746638E-2</v>
      </c>
      <c r="AZ100" s="143">
        <f t="shared" si="88"/>
        <v>1.2981039395199465E-2</v>
      </c>
      <c r="BA100" s="143">
        <f t="shared" si="88"/>
        <v>1.3116906823233647E-2</v>
      </c>
      <c r="BB100" s="143">
        <f t="shared" si="88"/>
        <v>1.3248760437464568E-2</v>
      </c>
      <c r="BC100" s="143">
        <f t="shared" si="88"/>
        <v>1.3379319646333146E-2</v>
      </c>
      <c r="BD100" s="143">
        <f t="shared" si="88"/>
        <v>1.3508463939813906E-2</v>
      </c>
      <c r="BE100" s="143">
        <f t="shared" si="88"/>
        <v>1.3635781026980666E-2</v>
      </c>
      <c r="BF100" s="143">
        <f t="shared" si="88"/>
        <v>1.3760901610135743E-2</v>
      </c>
      <c r="BG100" s="143">
        <f t="shared" si="88"/>
        <v>1.3883995819102324E-2</v>
      </c>
      <c r="BH100" s="143">
        <f t="shared" si="88"/>
        <v>1.400510329010126E-2</v>
      </c>
      <c r="BI100" s="143">
        <f t="shared" si="88"/>
        <v>1.412418322342544E-2</v>
      </c>
      <c r="BJ100" s="143">
        <f t="shared" si="88"/>
        <v>1.4240994936985595E-2</v>
      </c>
      <c r="BK100" s="143">
        <f t="shared" si="88"/>
        <v>1.435546619230809E-2</v>
      </c>
      <c r="BL100" s="143">
        <f t="shared" si="88"/>
        <v>1.4467456845896056E-2</v>
      </c>
      <c r="BM100" s="143">
        <f t="shared" si="88"/>
        <v>1.4577046144933749E-2</v>
      </c>
      <c r="BN100" s="143">
        <f t="shared" si="88"/>
        <v>1.4684148187947735E-2</v>
      </c>
      <c r="BO100" s="143">
        <f t="shared" si="88"/>
        <v>1.4788675336644718E-2</v>
      </c>
      <c r="BP100" s="114"/>
    </row>
    <row r="101" spans="1:81" x14ac:dyDescent="0.3">
      <c r="A101" s="388"/>
      <c r="D101" s="359"/>
      <c r="E101" s="115"/>
      <c r="F101" s="117" t="s">
        <v>396</v>
      </c>
      <c r="G101" s="122">
        <f t="shared" ref="G101:P101" si="89">G85/1000000</f>
        <v>8.3471820000000001</v>
      </c>
      <c r="H101" s="122">
        <f t="shared" si="89"/>
        <v>8.1318190000000001</v>
      </c>
      <c r="I101" s="122">
        <f t="shared" si="89"/>
        <v>7.3789220000000002</v>
      </c>
      <c r="J101" s="122">
        <f t="shared" si="89"/>
        <v>7.1582650000000001</v>
      </c>
      <c r="K101" s="122">
        <f t="shared" si="89"/>
        <v>8.2513059999999996</v>
      </c>
      <c r="L101" s="123">
        <f t="shared" si="89"/>
        <v>10.106104999999999</v>
      </c>
      <c r="M101" s="123">
        <f t="shared" si="89"/>
        <v>8.6616090000000003</v>
      </c>
      <c r="N101" s="123">
        <f t="shared" si="89"/>
        <v>9.3449829999999992</v>
      </c>
      <c r="O101" s="123">
        <f t="shared" si="89"/>
        <v>7.8406349999999998</v>
      </c>
      <c r="P101" s="123">
        <f t="shared" si="89"/>
        <v>10.08887</v>
      </c>
      <c r="Q101" s="123">
        <f t="shared" si="85"/>
        <v>11.390245</v>
      </c>
      <c r="R101" s="123">
        <f t="shared" si="82"/>
        <v>11.6717</v>
      </c>
      <c r="S101" s="123">
        <f t="shared" si="82"/>
        <v>8.1132930000000005</v>
      </c>
      <c r="T101" s="143">
        <f t="shared" ref="T101:BO101" si="90">T119*T61</f>
        <v>9.1992265069613417</v>
      </c>
      <c r="U101" s="143">
        <f t="shared" si="90"/>
        <v>9.789160300550197</v>
      </c>
      <c r="V101" s="143">
        <f t="shared" si="90"/>
        <v>9.8355803911172064</v>
      </c>
      <c r="W101" s="143">
        <f t="shared" si="90"/>
        <v>10.457285267457515</v>
      </c>
      <c r="X101" s="143">
        <f t="shared" si="90"/>
        <v>10.488766053314759</v>
      </c>
      <c r="Y101" s="143">
        <f t="shared" si="90"/>
        <v>10.520341609454425</v>
      </c>
      <c r="Z101" s="143">
        <f t="shared" si="90"/>
        <v>10.552012221174552</v>
      </c>
      <c r="AA101" s="143">
        <f t="shared" si="90"/>
        <v>10.583778174632046</v>
      </c>
      <c r="AB101" s="143">
        <f t="shared" si="90"/>
        <v>10.615639756845262</v>
      </c>
      <c r="AC101" s="143">
        <f t="shared" si="90"/>
        <v>10.647597255696599</v>
      </c>
      <c r="AD101" s="143">
        <f t="shared" si="90"/>
        <v>10.679650959935103</v>
      </c>
      <c r="AE101" s="143">
        <f t="shared" si="90"/>
        <v>10.711801159179073</v>
      </c>
      <c r="AF101" s="143">
        <f t="shared" si="90"/>
        <v>10.744048143918684</v>
      </c>
      <c r="AG101" s="143">
        <f t="shared" si="90"/>
        <v>10.776392205518606</v>
      </c>
      <c r="AH101" s="143">
        <f t="shared" si="90"/>
        <v>10.808833636220635</v>
      </c>
      <c r="AI101" s="143">
        <f t="shared" si="90"/>
        <v>10.841372729146341</v>
      </c>
      <c r="AJ101" s="143">
        <f t="shared" si="90"/>
        <v>10.874009778299708</v>
      </c>
      <c r="AK101" s="143">
        <f t="shared" si="90"/>
        <v>10.906745078569799</v>
      </c>
      <c r="AL101" s="143">
        <f t="shared" si="90"/>
        <v>10.939578925733409</v>
      </c>
      <c r="AM101" s="143">
        <f t="shared" si="90"/>
        <v>10.972511616457753</v>
      </c>
      <c r="AN101" s="143">
        <f t="shared" si="90"/>
        <v>11.005543448303133</v>
      </c>
      <c r="AO101" s="143">
        <f t="shared" si="90"/>
        <v>11.038674719725627</v>
      </c>
      <c r="AP101" s="143">
        <f t="shared" si="90"/>
        <v>11.071905730079802</v>
      </c>
      <c r="AQ101" s="143">
        <f t="shared" si="90"/>
        <v>11.105236779621398</v>
      </c>
      <c r="AR101" s="143">
        <f t="shared" si="90"/>
        <v>11.138668169510051</v>
      </c>
      <c r="AS101" s="143">
        <f t="shared" si="90"/>
        <v>11.172200201812013</v>
      </c>
      <c r="AT101" s="143">
        <f t="shared" si="90"/>
        <v>11.205833179502884</v>
      </c>
      <c r="AU101" s="143">
        <f t="shared" si="90"/>
        <v>11.239567406470348</v>
      </c>
      <c r="AV101" s="143">
        <f t="shared" si="90"/>
        <v>11.273403187516909</v>
      </c>
      <c r="AW101" s="143">
        <f t="shared" si="90"/>
        <v>11.307340828362664</v>
      </c>
      <c r="AX101" s="143">
        <f t="shared" si="90"/>
        <v>11.341380635648047</v>
      </c>
      <c r="AY101" s="143">
        <f t="shared" si="90"/>
        <v>11.375522916936612</v>
      </c>
      <c r="AZ101" s="143">
        <f t="shared" si="90"/>
        <v>11.409767980717808</v>
      </c>
      <c r="BA101" s="143">
        <f t="shared" si="90"/>
        <v>11.444116136409759</v>
      </c>
      <c r="BB101" s="143">
        <f t="shared" si="90"/>
        <v>11.478567694362075</v>
      </c>
      <c r="BC101" s="143">
        <f t="shared" si="90"/>
        <v>11.513122965858644</v>
      </c>
      <c r="BD101" s="143">
        <f t="shared" si="90"/>
        <v>11.547782263120448</v>
      </c>
      <c r="BE101" s="143">
        <f t="shared" si="90"/>
        <v>11.582545899308382</v>
      </c>
      <c r="BF101" s="143">
        <f t="shared" si="90"/>
        <v>11.617414188526093</v>
      </c>
      <c r="BG101" s="143">
        <f t="shared" si="90"/>
        <v>11.6523874458228</v>
      </c>
      <c r="BH101" s="143">
        <f t="shared" si="90"/>
        <v>11.687465987196163</v>
      </c>
      <c r="BI101" s="143">
        <f t="shared" si="90"/>
        <v>11.722650129595117</v>
      </c>
      <c r="BJ101" s="143">
        <f t="shared" si="90"/>
        <v>11.757940190922753</v>
      </c>
      <c r="BK101" s="143">
        <f t="shared" si="90"/>
        <v>11.793336490039177</v>
      </c>
      <c r="BL101" s="143">
        <f t="shared" si="90"/>
        <v>11.828839346764399</v>
      </c>
      <c r="BM101" s="143">
        <f t="shared" si="90"/>
        <v>11.864449081881222</v>
      </c>
      <c r="BN101" s="143">
        <f t="shared" si="90"/>
        <v>11.900166017138135</v>
      </c>
      <c r="BO101" s="143">
        <f t="shared" si="90"/>
        <v>11.935990475252229</v>
      </c>
      <c r="BP101" s="114"/>
    </row>
    <row r="102" spans="1:81" x14ac:dyDescent="0.3">
      <c r="A102" s="388"/>
      <c r="D102" s="359"/>
      <c r="E102" s="115"/>
      <c r="F102" s="117" t="s">
        <v>397</v>
      </c>
      <c r="G102" s="122">
        <f t="shared" ref="G102:P102" si="91">G86/1000000</f>
        <v>0.98409599999999997</v>
      </c>
      <c r="H102" s="122">
        <f t="shared" si="91"/>
        <v>0.96326199999999995</v>
      </c>
      <c r="I102" s="122">
        <f t="shared" si="91"/>
        <v>1.3295319999999999</v>
      </c>
      <c r="J102" s="122">
        <f t="shared" si="91"/>
        <v>1.177181</v>
      </c>
      <c r="K102" s="122">
        <f t="shared" si="91"/>
        <v>1.6677040000000001</v>
      </c>
      <c r="L102" s="123">
        <f t="shared" si="91"/>
        <v>2.0175730000000001</v>
      </c>
      <c r="M102" s="123">
        <f t="shared" si="91"/>
        <v>1.1990749999999999</v>
      </c>
      <c r="N102" s="123">
        <f t="shared" si="91"/>
        <v>1.572279</v>
      </c>
      <c r="O102" s="123">
        <f t="shared" si="91"/>
        <v>1.4492659999999999</v>
      </c>
      <c r="P102" s="123">
        <f t="shared" si="91"/>
        <v>1.628519</v>
      </c>
      <c r="Q102" s="123">
        <f t="shared" si="85"/>
        <v>1.463279</v>
      </c>
      <c r="R102" s="123">
        <f t="shared" si="82"/>
        <v>1.849405</v>
      </c>
      <c r="S102" s="123">
        <f t="shared" si="82"/>
        <v>1.736397</v>
      </c>
      <c r="T102" s="143">
        <f t="shared" ref="T102:BO102" si="92">T120*T62</f>
        <v>1.8829251028288905</v>
      </c>
      <c r="U102" s="143">
        <f t="shared" si="92"/>
        <v>2.0071079895573583</v>
      </c>
      <c r="V102" s="143">
        <f t="shared" si="92"/>
        <v>2.0200813459494822</v>
      </c>
      <c r="W102" s="143">
        <f t="shared" si="92"/>
        <v>2.151450644725716</v>
      </c>
      <c r="X102" s="143">
        <f t="shared" si="92"/>
        <v>2.2153713797596195</v>
      </c>
      <c r="Y102" s="143">
        <f t="shared" si="92"/>
        <v>2.2822839118272658</v>
      </c>
      <c r="Z102" s="143">
        <f t="shared" si="92"/>
        <v>2.3435683612215867</v>
      </c>
      <c r="AA102" s="143">
        <f t="shared" si="92"/>
        <v>2.4139686415720769</v>
      </c>
      <c r="AB102" s="143">
        <f t="shared" si="92"/>
        <v>2.3952858308906038</v>
      </c>
      <c r="AC102" s="143">
        <f t="shared" si="92"/>
        <v>2.4513849576118218</v>
      </c>
      <c r="AD102" s="143">
        <f t="shared" si="92"/>
        <v>2.5173671626298217</v>
      </c>
      <c r="AE102" s="143">
        <f t="shared" si="92"/>
        <v>2.5691676056405601</v>
      </c>
      <c r="AF102" s="143">
        <f t="shared" si="92"/>
        <v>2.6196589593152715</v>
      </c>
      <c r="AG102" s="143">
        <f t="shared" si="92"/>
        <v>2.6692716851341793</v>
      </c>
      <c r="AH102" s="143">
        <f t="shared" si="92"/>
        <v>2.7141993272849132</v>
      </c>
      <c r="AI102" s="143">
        <f t="shared" si="92"/>
        <v>2.7553527906614863</v>
      </c>
      <c r="AJ102" s="143">
        <f t="shared" si="92"/>
        <v>2.8092276662483266</v>
      </c>
      <c r="AK102" s="143">
        <f t="shared" si="92"/>
        <v>2.8605400426559275</v>
      </c>
      <c r="AL102" s="143">
        <f t="shared" si="92"/>
        <v>2.9101772509585788</v>
      </c>
      <c r="AM102" s="143">
        <f t="shared" si="92"/>
        <v>2.959002199633797</v>
      </c>
      <c r="AN102" s="143">
        <f t="shared" si="92"/>
        <v>3.003493981464584</v>
      </c>
      <c r="AO102" s="143">
        <f t="shared" si="92"/>
        <v>3.0518794967509071</v>
      </c>
      <c r="AP102" s="143">
        <f t="shared" si="92"/>
        <v>3.0978953225357717</v>
      </c>
      <c r="AQ102" s="143">
        <f t="shared" si="92"/>
        <v>3.1490720824615273</v>
      </c>
      <c r="AR102" s="143">
        <f t="shared" si="92"/>
        <v>3.1960071005602386</v>
      </c>
      <c r="AS102" s="143">
        <f t="shared" si="92"/>
        <v>3.2422265906206706</v>
      </c>
      <c r="AT102" s="143">
        <f t="shared" si="92"/>
        <v>3.2887835989542031</v>
      </c>
      <c r="AU102" s="143">
        <f t="shared" si="92"/>
        <v>3.3352784456632558</v>
      </c>
      <c r="AV102" s="143">
        <f t="shared" si="92"/>
        <v>3.3839752678513069</v>
      </c>
      <c r="AW102" s="143">
        <f t="shared" si="92"/>
        <v>3.4308023741897391</v>
      </c>
      <c r="AX102" s="143">
        <f t="shared" si="92"/>
        <v>3.4774643689669227</v>
      </c>
      <c r="AY102" s="143">
        <f t="shared" si="92"/>
        <v>3.524327562450519</v>
      </c>
      <c r="AZ102" s="143">
        <f t="shared" si="92"/>
        <v>3.5710281606608056</v>
      </c>
      <c r="BA102" s="143">
        <f t="shared" si="92"/>
        <v>3.6179320950431659</v>
      </c>
      <c r="BB102" s="143">
        <f t="shared" si="92"/>
        <v>3.663948797044307</v>
      </c>
      <c r="BC102" s="143">
        <f t="shared" si="92"/>
        <v>3.7098243625933165</v>
      </c>
      <c r="BD102" s="143">
        <f t="shared" si="92"/>
        <v>3.7555232746400069</v>
      </c>
      <c r="BE102" s="143">
        <f t="shared" si="92"/>
        <v>3.8009283171932187</v>
      </c>
      <c r="BF102" s="143">
        <f t="shared" si="92"/>
        <v>3.8459330627545101</v>
      </c>
      <c r="BG102" s="143">
        <f t="shared" si="92"/>
        <v>3.8905811339697642</v>
      </c>
      <c r="BH102" s="143">
        <f t="shared" si="92"/>
        <v>3.934879970562422</v>
      </c>
      <c r="BI102" s="143">
        <f t="shared" si="92"/>
        <v>3.9788144498938083</v>
      </c>
      <c r="BJ102" s="143">
        <f t="shared" si="92"/>
        <v>4.0223128513278068</v>
      </c>
      <c r="BK102" s="143">
        <f t="shared" si="92"/>
        <v>4.0653504169277923</v>
      </c>
      <c r="BL102" s="143">
        <f t="shared" si="92"/>
        <v>4.107882867643994</v>
      </c>
      <c r="BM102" s="143">
        <f t="shared" si="92"/>
        <v>4.1499279372286351</v>
      </c>
      <c r="BN102" s="143">
        <f t="shared" si="92"/>
        <v>4.1914564306462134</v>
      </c>
      <c r="BO102" s="143">
        <f t="shared" si="92"/>
        <v>4.2324383707746183</v>
      </c>
      <c r="BP102" s="114"/>
    </row>
    <row r="103" spans="1:81" x14ac:dyDescent="0.3">
      <c r="A103" s="388"/>
      <c r="D103" s="359"/>
      <c r="E103" s="115"/>
      <c r="F103" s="117" t="s">
        <v>398</v>
      </c>
      <c r="G103" s="122">
        <f t="shared" ref="G103:P103" si="93">G87/1000000</f>
        <v>2.8504649999999998</v>
      </c>
      <c r="H103" s="122">
        <f t="shared" si="93"/>
        <v>2.097356</v>
      </c>
      <c r="I103" s="122">
        <f t="shared" si="93"/>
        <v>2.649051</v>
      </c>
      <c r="J103" s="122">
        <f t="shared" si="93"/>
        <v>2.3168380000000002</v>
      </c>
      <c r="K103" s="122">
        <f t="shared" si="93"/>
        <v>3.4685100000000002</v>
      </c>
      <c r="L103" s="123">
        <f t="shared" si="93"/>
        <v>4.1756589999999996</v>
      </c>
      <c r="M103" s="123">
        <f t="shared" si="93"/>
        <v>3.124069</v>
      </c>
      <c r="N103" s="123">
        <f t="shared" si="93"/>
        <v>3.2759930000000002</v>
      </c>
      <c r="O103" s="123">
        <f t="shared" si="93"/>
        <v>2.7857560000000001</v>
      </c>
      <c r="P103" s="123">
        <f t="shared" si="93"/>
        <v>2.2759480000000001</v>
      </c>
      <c r="Q103" s="123">
        <f t="shared" si="85"/>
        <v>2.4463119999999998</v>
      </c>
      <c r="R103" s="123">
        <f t="shared" si="82"/>
        <v>2.4188550000000002</v>
      </c>
      <c r="S103" s="123">
        <f t="shared" si="82"/>
        <v>2.2964022335077923</v>
      </c>
      <c r="T103" s="143">
        <f t="shared" ref="T103:BO103" si="94">T121*T63</f>
        <v>2.0315144970440913</v>
      </c>
      <c r="U103" s="143">
        <f t="shared" si="94"/>
        <v>2.1613661680480512</v>
      </c>
      <c r="V103" s="143">
        <f t="shared" si="94"/>
        <v>2.1711868337849238</v>
      </c>
      <c r="W103" s="143">
        <f t="shared" si="94"/>
        <v>2.3079715717594769</v>
      </c>
      <c r="X103" s="143">
        <f t="shared" si="94"/>
        <v>2.3720090263245468</v>
      </c>
      <c r="Y103" s="143">
        <f t="shared" si="94"/>
        <v>2.4389909814259396</v>
      </c>
      <c r="Z103" s="143">
        <f t="shared" si="94"/>
        <v>2.499705702215298</v>
      </c>
      <c r="AA103" s="143">
        <f t="shared" si="94"/>
        <v>2.5698845165371584</v>
      </c>
      <c r="AB103" s="143">
        <f t="shared" si="94"/>
        <v>2.5451305159189195</v>
      </c>
      <c r="AC103" s="143">
        <f t="shared" si="94"/>
        <v>2.5997701832677169</v>
      </c>
      <c r="AD103" s="143">
        <f t="shared" si="94"/>
        <v>2.6646534404898263</v>
      </c>
      <c r="AE103" s="143">
        <f t="shared" si="94"/>
        <v>2.7142968156006888</v>
      </c>
      <c r="AF103" s="143">
        <f t="shared" si="94"/>
        <v>2.7623606899797948</v>
      </c>
      <c r="AG103" s="143">
        <f t="shared" si="94"/>
        <v>2.8093065868173044</v>
      </c>
      <c r="AH103" s="143">
        <f t="shared" si="94"/>
        <v>2.8511418534808293</v>
      </c>
      <c r="AI103" s="143">
        <f t="shared" si="94"/>
        <v>2.8888502445138031</v>
      </c>
      <c r="AJ103" s="143">
        <f t="shared" si="94"/>
        <v>2.9397167152009347</v>
      </c>
      <c r="AK103" s="143">
        <f t="shared" si="94"/>
        <v>2.9877021904485148</v>
      </c>
      <c r="AL103" s="143">
        <f t="shared" si="94"/>
        <v>3.0337475910627982</v>
      </c>
      <c r="AM103" s="143">
        <f t="shared" si="94"/>
        <v>3.0787613084853187</v>
      </c>
      <c r="AN103" s="143">
        <f t="shared" si="94"/>
        <v>3.1190923038249538</v>
      </c>
      <c r="AO103" s="143">
        <f t="shared" si="94"/>
        <v>3.1632941022876828</v>
      </c>
      <c r="AP103" s="143">
        <f t="shared" si="94"/>
        <v>3.2048643934226964</v>
      </c>
      <c r="AQ103" s="143">
        <f t="shared" si="94"/>
        <v>3.2515935241832943</v>
      </c>
      <c r="AR103" s="143">
        <f t="shared" si="94"/>
        <v>3.2937612257574496</v>
      </c>
      <c r="AS103" s="143">
        <f t="shared" si="94"/>
        <v>3.3350202057162575</v>
      </c>
      <c r="AT103" s="143">
        <f t="shared" si="94"/>
        <v>3.3764563002016299</v>
      </c>
      <c r="AU103" s="143">
        <f t="shared" si="94"/>
        <v>3.4176584704660598</v>
      </c>
      <c r="AV103" s="143">
        <f t="shared" si="94"/>
        <v>3.4609432142388887</v>
      </c>
      <c r="AW103" s="143">
        <f t="shared" si="94"/>
        <v>3.5021417825773646</v>
      </c>
      <c r="AX103" s="143">
        <f t="shared" si="94"/>
        <v>3.5430023483360347</v>
      </c>
      <c r="AY103" s="143">
        <f t="shared" si="94"/>
        <v>3.583898874045961</v>
      </c>
      <c r="AZ103" s="143">
        <f t="shared" si="94"/>
        <v>3.6244614460819604</v>
      </c>
      <c r="BA103" s="143">
        <f t="shared" si="94"/>
        <v>3.6650622029266482</v>
      </c>
      <c r="BB103" s="143">
        <f t="shared" si="94"/>
        <v>3.7045977906741494</v>
      </c>
      <c r="BC103" s="143">
        <f t="shared" si="94"/>
        <v>3.7438267710789539</v>
      </c>
      <c r="BD103" s="143">
        <f t="shared" si="94"/>
        <v>3.7827146675617569</v>
      </c>
      <c r="BE103" s="143">
        <f t="shared" si="94"/>
        <v>3.8211451386770041</v>
      </c>
      <c r="BF103" s="143">
        <f t="shared" si="94"/>
        <v>3.8590135622266848</v>
      </c>
      <c r="BG103" s="143">
        <f t="shared" si="94"/>
        <v>3.8963663964668376</v>
      </c>
      <c r="BH103" s="143">
        <f t="shared" si="94"/>
        <v>3.9332135887055664</v>
      </c>
      <c r="BI103" s="143">
        <f t="shared" si="94"/>
        <v>3.9695425107183722</v>
      </c>
      <c r="BJ103" s="143">
        <f t="shared" si="94"/>
        <v>4.0052842822053174</v>
      </c>
      <c r="BK103" s="143">
        <f t="shared" si="94"/>
        <v>4.0404172333773474</v>
      </c>
      <c r="BL103" s="143">
        <f t="shared" si="94"/>
        <v>4.0749005071804891</v>
      </c>
      <c r="BM103" s="143">
        <f t="shared" si="94"/>
        <v>4.1087549681221889</v>
      </c>
      <c r="BN103" s="143">
        <f t="shared" si="94"/>
        <v>4.1419549601038428</v>
      </c>
      <c r="BO103" s="143">
        <f t="shared" si="94"/>
        <v>4.1744742641408541</v>
      </c>
      <c r="BP103" s="114"/>
    </row>
    <row r="104" spans="1:81" x14ac:dyDescent="0.3">
      <c r="A104" s="388"/>
      <c r="D104" s="359" t="s">
        <v>494</v>
      </c>
      <c r="E104" s="115"/>
      <c r="F104" s="117" t="s">
        <v>399</v>
      </c>
      <c r="G104" s="127">
        <f t="shared" ref="G104:P104" si="95">G88/1000000</f>
        <v>0</v>
      </c>
      <c r="H104" s="127">
        <f t="shared" si="95"/>
        <v>0</v>
      </c>
      <c r="I104" s="127">
        <f t="shared" si="95"/>
        <v>0</v>
      </c>
      <c r="J104" s="127">
        <f t="shared" si="95"/>
        <v>0</v>
      </c>
      <c r="K104" s="122">
        <f t="shared" si="95"/>
        <v>3.2681000000000002E-2</v>
      </c>
      <c r="L104" s="123">
        <f t="shared" si="95"/>
        <v>3.2696999999999997E-2</v>
      </c>
      <c r="M104" s="123">
        <f t="shared" si="95"/>
        <v>4.1787999999999999E-2</v>
      </c>
      <c r="N104" s="123">
        <f t="shared" si="95"/>
        <v>3.5006000000000002E-2</v>
      </c>
      <c r="O104" s="123">
        <f t="shared" si="95"/>
        <v>2.5503999999999999E-2</v>
      </c>
      <c r="P104" s="123">
        <f t="shared" si="95"/>
        <v>3.9515000000000002E-2</v>
      </c>
      <c r="Q104" s="123">
        <f t="shared" si="85"/>
        <v>2.7237999999999998E-2</v>
      </c>
      <c r="R104" s="123">
        <f t="shared" si="82"/>
        <v>2.0077000000000001E-2</v>
      </c>
      <c r="S104" s="123">
        <f t="shared" si="82"/>
        <v>2.9453725766288387E-2</v>
      </c>
      <c r="T104" s="143">
        <f t="shared" ref="T104:BO104" si="96">T122*T64</f>
        <v>2.6954272462386786E-2</v>
      </c>
      <c r="U104" s="143">
        <f t="shared" si="96"/>
        <v>2.856693671726622E-2</v>
      </c>
      <c r="V104" s="143">
        <f t="shared" si="96"/>
        <v>2.8586445371470835E-2</v>
      </c>
      <c r="W104" s="143">
        <f t="shared" si="96"/>
        <v>3.0270601402522322E-2</v>
      </c>
      <c r="X104" s="143">
        <f t="shared" si="96"/>
        <v>3.0990926994803512E-2</v>
      </c>
      <c r="Y104" s="143">
        <f t="shared" si="96"/>
        <v>3.1743591334776201E-2</v>
      </c>
      <c r="Z104" s="143">
        <f t="shared" si="96"/>
        <v>3.2408757503608339E-2</v>
      </c>
      <c r="AA104" s="143">
        <f t="shared" si="96"/>
        <v>3.3190572493659247E-2</v>
      </c>
      <c r="AB104" s="143">
        <f t="shared" si="96"/>
        <v>3.2744535130764515E-2</v>
      </c>
      <c r="AC104" s="143">
        <f t="shared" si="96"/>
        <v>3.3318954462652414E-2</v>
      </c>
      <c r="AD104" s="143">
        <f t="shared" si="96"/>
        <v>3.4019253176190895E-2</v>
      </c>
      <c r="AE104" s="143">
        <f t="shared" si="96"/>
        <v>3.4519859093420785E-2</v>
      </c>
      <c r="AF104" s="143">
        <f t="shared" si="96"/>
        <v>3.4996103928644023E-2</v>
      </c>
      <c r="AG104" s="143">
        <f t="shared" si="96"/>
        <v>3.5454068976098041E-2</v>
      </c>
      <c r="AH104" s="143">
        <f t="shared" si="96"/>
        <v>3.5843747441412971E-2</v>
      </c>
      <c r="AI104" s="143">
        <f t="shared" si="96"/>
        <v>3.6178224343330512E-2</v>
      </c>
      <c r="AJ104" s="143">
        <f t="shared" si="96"/>
        <v>3.6673751313294478E-2</v>
      </c>
      <c r="AK104" s="143">
        <f t="shared" si="96"/>
        <v>3.7129131853215459E-2</v>
      </c>
      <c r="AL104" s="143">
        <f t="shared" si="96"/>
        <v>3.7556453024845921E-2</v>
      </c>
      <c r="AM104" s="143">
        <f t="shared" si="96"/>
        <v>3.7967218356617503E-2</v>
      </c>
      <c r="AN104" s="143">
        <f t="shared" si="96"/>
        <v>3.8316746206421476E-2</v>
      </c>
      <c r="AO104" s="143">
        <f t="shared" si="96"/>
        <v>3.8710394950090557E-2</v>
      </c>
      <c r="AP104" s="143">
        <f t="shared" si="96"/>
        <v>3.9068372878727081E-2</v>
      </c>
      <c r="AQ104" s="143">
        <f t="shared" si="96"/>
        <v>3.9485673612661996E-2</v>
      </c>
      <c r="AR104" s="143">
        <f t="shared" si="96"/>
        <v>3.9844010828634716E-2</v>
      </c>
      <c r="AS104" s="143">
        <f t="shared" si="96"/>
        <v>4.0188059964220355E-2</v>
      </c>
      <c r="AT104" s="143">
        <f t="shared" si="96"/>
        <v>4.0531002024589084E-2</v>
      </c>
      <c r="AU104" s="143">
        <f t="shared" si="96"/>
        <v>4.0867917118047728E-2</v>
      </c>
      <c r="AV104" s="143">
        <f t="shared" si="96"/>
        <v>4.1226451174426228E-2</v>
      </c>
      <c r="AW104" s="143">
        <f t="shared" si="96"/>
        <v>4.1556870776191059E-2</v>
      </c>
      <c r="AX104" s="143">
        <f t="shared" si="96"/>
        <v>4.1880146196855643E-2</v>
      </c>
      <c r="AY104" s="143">
        <f t="shared" si="96"/>
        <v>4.2200746270537902E-2</v>
      </c>
      <c r="AZ104" s="143">
        <f t="shared" si="96"/>
        <v>4.2514346132285857E-2</v>
      </c>
      <c r="BA104" s="143">
        <f t="shared" si="96"/>
        <v>4.2825358257742849E-2</v>
      </c>
      <c r="BB104" s="143">
        <f t="shared" si="96"/>
        <v>4.3120953319762463E-2</v>
      </c>
      <c r="BC104" s="143">
        <f t="shared" si="96"/>
        <v>4.3410088490379417E-2</v>
      </c>
      <c r="BD104" s="143">
        <f t="shared" si="96"/>
        <v>4.3692424498921877E-2</v>
      </c>
      <c r="BE104" s="143">
        <f t="shared" si="96"/>
        <v>4.3966685836742618E-2</v>
      </c>
      <c r="BF104" s="143">
        <f t="shared" si="96"/>
        <v>4.4231751456886681E-2</v>
      </c>
      <c r="BG104" s="143">
        <f t="shared" si="96"/>
        <v>4.4488243207258832E-2</v>
      </c>
      <c r="BH104" s="143">
        <f t="shared" si="96"/>
        <v>4.4736358843610498E-2</v>
      </c>
      <c r="BI104" s="143">
        <f t="shared" si="96"/>
        <v>4.4976037984449338E-2</v>
      </c>
      <c r="BJ104" s="143">
        <f t="shared" si="96"/>
        <v>4.5206586948683784E-2</v>
      </c>
      <c r="BK104" s="143">
        <f t="shared" si="96"/>
        <v>4.5427854205778773E-2</v>
      </c>
      <c r="BL104" s="143">
        <f t="shared" si="96"/>
        <v>4.563947639959804E-2</v>
      </c>
      <c r="BM104" s="143">
        <f t="shared" si="96"/>
        <v>4.5841785154048624E-2</v>
      </c>
      <c r="BN104" s="143">
        <f t="shared" si="96"/>
        <v>4.6034590749395241E-2</v>
      </c>
      <c r="BO104" s="143">
        <f t="shared" si="96"/>
        <v>4.6217700918018099E-2</v>
      </c>
      <c r="BP104" s="114"/>
    </row>
    <row r="105" spans="1:81" x14ac:dyDescent="0.3">
      <c r="A105" s="388"/>
      <c r="D105" s="359" t="s">
        <v>494</v>
      </c>
      <c r="E105" s="115"/>
      <c r="F105" s="117" t="s">
        <v>400</v>
      </c>
      <c r="G105" s="127">
        <f t="shared" ref="G105:P105" si="97">G89/1000000</f>
        <v>0</v>
      </c>
      <c r="H105" s="127">
        <f t="shared" si="97"/>
        <v>0</v>
      </c>
      <c r="I105" s="127">
        <f t="shared" si="97"/>
        <v>0</v>
      </c>
      <c r="J105" s="127">
        <f t="shared" si="97"/>
        <v>0</v>
      </c>
      <c r="K105" s="127">
        <f t="shared" si="97"/>
        <v>0</v>
      </c>
      <c r="L105" s="123">
        <f t="shared" si="97"/>
        <v>6.3334728355706735E-2</v>
      </c>
      <c r="M105" s="123">
        <f t="shared" si="97"/>
        <v>4.0803084957981753E-2</v>
      </c>
      <c r="N105" s="123">
        <f t="shared" si="97"/>
        <v>6.5372491848106867E-2</v>
      </c>
      <c r="O105" s="123">
        <f t="shared" si="97"/>
        <v>4.3652640246656008E-2</v>
      </c>
      <c r="P105" s="123">
        <f t="shared" si="97"/>
        <v>3.5010121222727224E-2</v>
      </c>
      <c r="Q105" s="123">
        <f t="shared" si="85"/>
        <v>3.7421596562221979E-2</v>
      </c>
      <c r="R105" s="123">
        <f t="shared" si="82"/>
        <v>2.7855525305192988E-2</v>
      </c>
      <c r="S105" s="123">
        <f t="shared" si="82"/>
        <v>2.3652076736890879E-2</v>
      </c>
      <c r="T105" s="143">
        <f t="shared" ref="T105:BO105" si="98">T123*T65</f>
        <v>2.5810647019040598E-2</v>
      </c>
      <c r="U105" s="143">
        <f t="shared" si="98"/>
        <v>2.7354888582265913E-2</v>
      </c>
      <c r="V105" s="143">
        <f t="shared" si="98"/>
        <v>2.7373569516362523E-2</v>
      </c>
      <c r="W105" s="143">
        <f t="shared" si="98"/>
        <v>2.8986269577294131E-2</v>
      </c>
      <c r="X105" s="143">
        <f t="shared" si="98"/>
        <v>2.9676032939562409E-2</v>
      </c>
      <c r="Y105" s="143">
        <f t="shared" si="98"/>
        <v>3.0396762969651821E-2</v>
      </c>
      <c r="Z105" s="143">
        <f t="shared" si="98"/>
        <v>3.1033707232075953E-2</v>
      </c>
      <c r="AA105" s="143">
        <f t="shared" si="98"/>
        <v>3.1782351098110839E-2</v>
      </c>
      <c r="AB105" s="143">
        <f t="shared" si="98"/>
        <v>3.1355238366834383E-2</v>
      </c>
      <c r="AC105" s="143">
        <f t="shared" si="98"/>
        <v>3.1905286031335842E-2</v>
      </c>
      <c r="AD105" s="143">
        <f t="shared" si="98"/>
        <v>3.2575872222384138E-2</v>
      </c>
      <c r="AE105" s="143">
        <f t="shared" si="98"/>
        <v>3.3055238253995423E-2</v>
      </c>
      <c r="AF105" s="143">
        <f t="shared" si="98"/>
        <v>3.3511276804237926E-2</v>
      </c>
      <c r="AG105" s="143">
        <f t="shared" si="98"/>
        <v>3.3949811148037731E-2</v>
      </c>
      <c r="AH105" s="143">
        <f t="shared" si="98"/>
        <v>3.4322956197053632E-2</v>
      </c>
      <c r="AI105" s="143">
        <f t="shared" si="98"/>
        <v>3.4643241794205727E-2</v>
      </c>
      <c r="AJ105" s="143">
        <f t="shared" si="98"/>
        <v>3.5117744369929191E-2</v>
      </c>
      <c r="AK105" s="143">
        <f t="shared" si="98"/>
        <v>3.555380386259932E-2</v>
      </c>
      <c r="AL105" s="143">
        <f t="shared" si="98"/>
        <v>3.5962994499820475E-2</v>
      </c>
      <c r="AM105" s="143">
        <f t="shared" si="98"/>
        <v>3.6356331734235171E-2</v>
      </c>
      <c r="AN105" s="143">
        <f t="shared" si="98"/>
        <v>3.669102969231227E-2</v>
      </c>
      <c r="AO105" s="143">
        <f t="shared" si="98"/>
        <v>3.7067976567302492E-2</v>
      </c>
      <c r="AP105" s="143">
        <f t="shared" si="98"/>
        <v>3.7410766081266859E-2</v>
      </c>
      <c r="AQ105" s="143">
        <f t="shared" si="98"/>
        <v>3.7810361431481213E-2</v>
      </c>
      <c r="AR105" s="143">
        <f t="shared" si="98"/>
        <v>3.8153494988811099E-2</v>
      </c>
      <c r="AS105" s="143">
        <f t="shared" si="98"/>
        <v>3.848294668550218E-2</v>
      </c>
      <c r="AT105" s="143">
        <f t="shared" si="98"/>
        <v>3.8811338278356762E-2</v>
      </c>
      <c r="AU105" s="143">
        <f t="shared" si="98"/>
        <v>3.9133958618593465E-2</v>
      </c>
      <c r="AV105" s="143">
        <f t="shared" si="98"/>
        <v>3.9477280664714488E-2</v>
      </c>
      <c r="AW105" s="143">
        <f t="shared" si="98"/>
        <v>3.9793681106285478E-2</v>
      </c>
      <c r="AX105" s="143">
        <f t="shared" si="98"/>
        <v>4.0103240482608798E-2</v>
      </c>
      <c r="AY105" s="143">
        <f t="shared" si="98"/>
        <v>4.0410238022521569E-2</v>
      </c>
      <c r="AZ105" s="143">
        <f t="shared" si="98"/>
        <v>4.0710532357977718E-2</v>
      </c>
      <c r="BA105" s="143">
        <f t="shared" si="98"/>
        <v>4.1008348750537139E-2</v>
      </c>
      <c r="BB105" s="143">
        <f t="shared" si="98"/>
        <v>4.1291402200301225E-2</v>
      </c>
      <c r="BC105" s="143">
        <f t="shared" si="98"/>
        <v>4.1568269841228953E-2</v>
      </c>
      <c r="BD105" s="143">
        <f t="shared" si="98"/>
        <v>4.1838626797345027E-2</v>
      </c>
      <c r="BE105" s="143">
        <f t="shared" si="98"/>
        <v>4.210125167773604E-2</v>
      </c>
      <c r="BF105" s="143">
        <f t="shared" si="98"/>
        <v>4.2355070999625308E-2</v>
      </c>
      <c r="BG105" s="143">
        <f t="shared" si="98"/>
        <v>4.2600680226933876E-2</v>
      </c>
      <c r="BH105" s="143">
        <f t="shared" si="98"/>
        <v>4.2838268724961936E-2</v>
      </c>
      <c r="BI105" s="143">
        <f t="shared" si="98"/>
        <v>4.306777867410453E-2</v>
      </c>
      <c r="BJ105" s="143">
        <f t="shared" si="98"/>
        <v>4.3288545825017788E-2</v>
      </c>
      <c r="BK105" s="143">
        <f t="shared" si="98"/>
        <v>4.3500425076357985E-2</v>
      </c>
      <c r="BL105" s="143">
        <f t="shared" si="98"/>
        <v>4.3703068488592019E-2</v>
      </c>
      <c r="BM105" s="143">
        <f t="shared" si="98"/>
        <v>4.3896793615370064E-2</v>
      </c>
      <c r="BN105" s="143">
        <f t="shared" si="98"/>
        <v>4.4081418786453122E-2</v>
      </c>
      <c r="BO105" s="143">
        <f t="shared" si="98"/>
        <v>4.4256759891820249E-2</v>
      </c>
      <c r="BP105" s="114"/>
    </row>
    <row r="106" spans="1:81" x14ac:dyDescent="0.3">
      <c r="A106" s="388"/>
      <c r="D106" s="359"/>
      <c r="E106" s="115"/>
      <c r="F106" s="117" t="s">
        <v>401</v>
      </c>
      <c r="G106" s="122">
        <f t="shared" ref="G106:P106" si="99">G90/1000000</f>
        <v>5.8132999999999997E-2</v>
      </c>
      <c r="H106" s="122">
        <f t="shared" si="99"/>
        <v>6.8071999999999994E-2</v>
      </c>
      <c r="I106" s="122">
        <f t="shared" si="99"/>
        <v>4.5975000000000002E-2</v>
      </c>
      <c r="J106" s="122">
        <f t="shared" si="99"/>
        <v>3.7544000000000001E-2</v>
      </c>
      <c r="K106" s="122">
        <f t="shared" si="99"/>
        <v>7.2494000000000003E-2</v>
      </c>
      <c r="L106" s="123">
        <f t="shared" si="99"/>
        <v>6.3076999999999994E-2</v>
      </c>
      <c r="M106" s="123">
        <f t="shared" si="99"/>
        <v>7.3829000000000006E-2</v>
      </c>
      <c r="N106" s="123">
        <f t="shared" si="99"/>
        <v>6.3367000000000007E-2</v>
      </c>
      <c r="O106" s="123">
        <f t="shared" si="99"/>
        <v>6.6623000000000002E-2</v>
      </c>
      <c r="P106" s="123">
        <f t="shared" si="99"/>
        <v>6.9685999999999998E-2</v>
      </c>
      <c r="Q106" s="123">
        <f t="shared" si="85"/>
        <v>7.7360999999999999E-2</v>
      </c>
      <c r="R106" s="123">
        <f>R90/1000000</f>
        <v>8.7922E-2</v>
      </c>
      <c r="S106" s="123">
        <f t="shared" ref="S106" si="100">S90/1000000</f>
        <v>6.8358373950290235E-2</v>
      </c>
      <c r="T106" s="143">
        <f t="shared" ref="T106:BO106" si="101">T124*T66</f>
        <v>8.3786134204488563E-2</v>
      </c>
      <c r="U106" s="143">
        <f t="shared" si="101"/>
        <v>8.8984218826287306E-2</v>
      </c>
      <c r="V106" s="143">
        <f t="shared" si="101"/>
        <v>8.9230690893579587E-2</v>
      </c>
      <c r="W106" s="143">
        <f t="shared" si="101"/>
        <v>9.4684726687222137E-2</v>
      </c>
      <c r="X106" s="143">
        <f t="shared" si="101"/>
        <v>9.7140028813314572E-2</v>
      </c>
      <c r="Y106" s="143">
        <f t="shared" si="101"/>
        <v>9.9706736341853106E-2</v>
      </c>
      <c r="Z106" s="143">
        <f t="shared" si="101"/>
        <v>0.10200832190343508</v>
      </c>
      <c r="AA106" s="143">
        <f t="shared" si="101"/>
        <v>0.10468699794915136</v>
      </c>
      <c r="AB106" s="143">
        <f t="shared" si="101"/>
        <v>0.10349553459271671</v>
      </c>
      <c r="AC106" s="143">
        <f t="shared" si="101"/>
        <v>0.10553072661453251</v>
      </c>
      <c r="AD106" s="143">
        <f t="shared" si="101"/>
        <v>0.10797348505469334</v>
      </c>
      <c r="AE106" s="143">
        <f t="shared" si="101"/>
        <v>0.10979084781922875</v>
      </c>
      <c r="AF106" s="143">
        <f t="shared" si="101"/>
        <v>0.11153767889643459</v>
      </c>
      <c r="AG106" s="143">
        <f t="shared" si="101"/>
        <v>0.11323293666144521</v>
      </c>
      <c r="AH106" s="143">
        <f t="shared" si="101"/>
        <v>0.11471623224860215</v>
      </c>
      <c r="AI106" s="143">
        <f t="shared" si="101"/>
        <v>0.11602818373032196</v>
      </c>
      <c r="AJ106" s="143">
        <f t="shared" si="101"/>
        <v>0.11786269374491201</v>
      </c>
      <c r="AK106" s="143">
        <f t="shared" si="101"/>
        <v>0.11957505855307204</v>
      </c>
      <c r="AL106" s="143">
        <f t="shared" si="101"/>
        <v>0.12120349885543599</v>
      </c>
      <c r="AM106" s="143">
        <f t="shared" si="101"/>
        <v>0.1227846703159001</v>
      </c>
      <c r="AN106" s="143">
        <f t="shared" si="101"/>
        <v>0.12417345679523067</v>
      </c>
      <c r="AO106" s="143">
        <f t="shared" si="101"/>
        <v>0.12571078309450753</v>
      </c>
      <c r="AP106" s="143">
        <f t="shared" si="101"/>
        <v>0.12713790009943374</v>
      </c>
      <c r="AQ106" s="143">
        <f t="shared" si="101"/>
        <v>0.12876387618003787</v>
      </c>
      <c r="AR106" s="143">
        <f t="shared" si="101"/>
        <v>0.13020339858927005</v>
      </c>
      <c r="AS106" s="143">
        <f t="shared" si="101"/>
        <v>0.13160157685361759</v>
      </c>
      <c r="AT106" s="143">
        <f t="shared" si="101"/>
        <v>0.13300138780004678</v>
      </c>
      <c r="AU106" s="143">
        <f t="shared" si="101"/>
        <v>0.13438664641998371</v>
      </c>
      <c r="AV106" s="143">
        <f t="shared" si="101"/>
        <v>0.13584834275322946</v>
      </c>
      <c r="AW106" s="143">
        <f t="shared" si="101"/>
        <v>0.13722271611218295</v>
      </c>
      <c r="AX106" s="143">
        <f t="shared" si="101"/>
        <v>0.13857859153280955</v>
      </c>
      <c r="AY106" s="143">
        <f t="shared" si="101"/>
        <v>0.13993065449237313</v>
      </c>
      <c r="AZ106" s="143">
        <f t="shared" si="101"/>
        <v>0.14126449425136864</v>
      </c>
      <c r="BA106" s="143">
        <f t="shared" si="101"/>
        <v>0.14259467253635702</v>
      </c>
      <c r="BB106" s="143">
        <f t="shared" si="101"/>
        <v>0.14387834368276875</v>
      </c>
      <c r="BC106" s="143">
        <f t="shared" si="101"/>
        <v>0.14514514967383305</v>
      </c>
      <c r="BD106" s="143">
        <f t="shared" si="101"/>
        <v>0.14639383279173837</v>
      </c>
      <c r="BE106" s="143">
        <f t="shared" si="101"/>
        <v>0.14761998185269315</v>
      </c>
      <c r="BF106" s="143">
        <f t="shared" si="101"/>
        <v>0.14881966908402783</v>
      </c>
      <c r="BG106" s="143">
        <f t="shared" si="101"/>
        <v>0.14999481085386362</v>
      </c>
      <c r="BH106" s="143">
        <f t="shared" si="101"/>
        <v>0.15114590741458689</v>
      </c>
      <c r="BI106" s="143">
        <f t="shared" si="101"/>
        <v>0.1522725899136744</v>
      </c>
      <c r="BJ106" s="143">
        <f t="shared" si="101"/>
        <v>0.15337233849406906</v>
      </c>
      <c r="BK106" s="143">
        <f t="shared" si="101"/>
        <v>0.15444445614363209</v>
      </c>
      <c r="BL106" s="143">
        <f t="shared" si="101"/>
        <v>0.15548751911546635</v>
      </c>
      <c r="BM106" s="143">
        <f t="shared" si="101"/>
        <v>0.15650246518462832</v>
      </c>
      <c r="BN106" s="143">
        <f t="shared" si="101"/>
        <v>0.15748845718003915</v>
      </c>
      <c r="BO106" s="143">
        <f t="shared" si="101"/>
        <v>0.15844464298086219</v>
      </c>
      <c r="BP106" s="114"/>
    </row>
    <row r="107" spans="1:81" x14ac:dyDescent="0.3">
      <c r="A107" s="388"/>
      <c r="D107" s="359"/>
      <c r="E107" s="115"/>
      <c r="F107" s="117" t="s">
        <v>526</v>
      </c>
      <c r="G107" s="122">
        <f t="shared" ref="G107:P107" si="102">G91/1000000</f>
        <v>2.6338E-2</v>
      </c>
      <c r="H107" s="122">
        <f t="shared" si="102"/>
        <v>3.0641000000000002E-2</v>
      </c>
      <c r="I107" s="122">
        <f t="shared" si="102"/>
        <v>1.8412000000000001E-2</v>
      </c>
      <c r="J107" s="122">
        <f t="shared" si="102"/>
        <v>2.6908999999999999E-2</v>
      </c>
      <c r="K107" s="122">
        <f t="shared" si="102"/>
        <v>2.1304E-2</v>
      </c>
      <c r="L107" s="123">
        <f t="shared" si="102"/>
        <v>2.3687E-2</v>
      </c>
      <c r="M107" s="123">
        <f t="shared" si="102"/>
        <v>3.6062999999999998E-2</v>
      </c>
      <c r="N107" s="123">
        <f t="shared" si="102"/>
        <v>2.0601999999999999E-2</v>
      </c>
      <c r="O107" s="123">
        <f t="shared" si="102"/>
        <v>2.1217E-2</v>
      </c>
      <c r="P107" s="123">
        <f t="shared" si="102"/>
        <v>2.3028E-2</v>
      </c>
      <c r="Q107" s="123">
        <f t="shared" si="85"/>
        <v>3.3656999999999999E-2</v>
      </c>
      <c r="R107" s="123">
        <f>R91/1000000</f>
        <v>2.7061000000000002E-2</v>
      </c>
      <c r="S107" s="123">
        <f t="shared" ref="S107" si="103">S91/1000000</f>
        <v>1.9469815087454573E-2</v>
      </c>
      <c r="T107" s="143">
        <f t="shared" ref="T107:BO107" si="104">T125*T67</f>
        <v>2.3147915967647342E-2</v>
      </c>
      <c r="U107" s="143">
        <f t="shared" si="104"/>
        <v>2.4584010700511524E-2</v>
      </c>
      <c r="V107" s="143">
        <f t="shared" si="104"/>
        <v>2.4652104481854027E-2</v>
      </c>
      <c r="W107" s="143">
        <f t="shared" si="104"/>
        <v>2.6158911824554112E-2</v>
      </c>
      <c r="X107" s="143">
        <f t="shared" si="104"/>
        <v>2.6837247539999127E-2</v>
      </c>
      <c r="Y107" s="143">
        <f t="shared" si="104"/>
        <v>2.7546361652354901E-2</v>
      </c>
      <c r="Z107" s="143">
        <f t="shared" si="104"/>
        <v>2.8182229504209982E-2</v>
      </c>
      <c r="AA107" s="143">
        <f t="shared" si="104"/>
        <v>2.8922277587338615E-2</v>
      </c>
      <c r="AB107" s="143">
        <f t="shared" si="104"/>
        <v>2.8593107445821293E-2</v>
      </c>
      <c r="AC107" s="143">
        <f t="shared" si="104"/>
        <v>2.9155377734888945E-2</v>
      </c>
      <c r="AD107" s="143">
        <f t="shared" si="104"/>
        <v>2.9830247958213738E-2</v>
      </c>
      <c r="AE107" s="143">
        <f t="shared" si="104"/>
        <v>3.033233772468423E-2</v>
      </c>
      <c r="AF107" s="143">
        <f t="shared" si="104"/>
        <v>3.0814941431953371E-2</v>
      </c>
      <c r="AG107" s="143">
        <f t="shared" si="104"/>
        <v>3.128329678287807E-2</v>
      </c>
      <c r="AH107" s="143">
        <f t="shared" si="104"/>
        <v>3.1693092531693653E-2</v>
      </c>
      <c r="AI107" s="143">
        <f t="shared" si="104"/>
        <v>3.2055550388722376E-2</v>
      </c>
      <c r="AJ107" s="143">
        <f t="shared" si="104"/>
        <v>3.2562377491592374E-2</v>
      </c>
      <c r="AK107" s="143">
        <f t="shared" si="104"/>
        <v>3.3035459070800993E-2</v>
      </c>
      <c r="AL107" s="143">
        <f t="shared" si="104"/>
        <v>3.3485354505592778E-2</v>
      </c>
      <c r="AM107" s="143">
        <f t="shared" si="104"/>
        <v>3.3922190796522936E-2</v>
      </c>
      <c r="AN107" s="143">
        <f t="shared" si="104"/>
        <v>3.4305876152408793E-2</v>
      </c>
      <c r="AO107" s="143">
        <f t="shared" si="104"/>
        <v>3.4730599172851102E-2</v>
      </c>
      <c r="AP107" s="143">
        <f t="shared" si="104"/>
        <v>3.512487424974399E-2</v>
      </c>
      <c r="AQ107" s="143">
        <f t="shared" si="104"/>
        <v>3.5574088884558978E-2</v>
      </c>
      <c r="AR107" s="143">
        <f t="shared" si="104"/>
        <v>3.5971791249978131E-2</v>
      </c>
      <c r="AS107" s="143">
        <f t="shared" si="104"/>
        <v>3.6358071310255383E-2</v>
      </c>
      <c r="AT107" s="143">
        <f t="shared" si="104"/>
        <v>3.6744802437860019E-2</v>
      </c>
      <c r="AU107" s="143">
        <f t="shared" si="104"/>
        <v>3.7127513138529175E-2</v>
      </c>
      <c r="AV107" s="143">
        <f t="shared" si="104"/>
        <v>3.7531341578800836E-2</v>
      </c>
      <c r="AW107" s="143">
        <f t="shared" si="104"/>
        <v>3.7911044966757401E-2</v>
      </c>
      <c r="AX107" s="143">
        <f t="shared" si="104"/>
        <v>3.8285637858496063E-2</v>
      </c>
      <c r="AY107" s="143">
        <f t="shared" si="104"/>
        <v>3.8659177467025588E-2</v>
      </c>
      <c r="AZ107" s="143">
        <f t="shared" si="104"/>
        <v>3.9027682482189317E-2</v>
      </c>
      <c r="BA107" s="143">
        <f t="shared" si="104"/>
        <v>3.9395175927915693E-2</v>
      </c>
      <c r="BB107" s="143">
        <f t="shared" si="104"/>
        <v>3.9749820668472782E-2</v>
      </c>
      <c r="BC107" s="143">
        <f t="shared" si="104"/>
        <v>4.0099806008014764E-2</v>
      </c>
      <c r="BD107" s="143">
        <f t="shared" si="104"/>
        <v>4.0444784472028247E-2</v>
      </c>
      <c r="BE107" s="143">
        <f t="shared" si="104"/>
        <v>4.0783537365884408E-2</v>
      </c>
      <c r="BF107" s="143">
        <f t="shared" si="104"/>
        <v>4.1114979548795234E-2</v>
      </c>
      <c r="BG107" s="143">
        <f t="shared" si="104"/>
        <v>4.1439640463115997E-2</v>
      </c>
      <c r="BH107" s="143">
        <f t="shared" si="104"/>
        <v>4.1757658315488069E-2</v>
      </c>
      <c r="BI107" s="143">
        <f t="shared" si="104"/>
        <v>4.2068931201613174E-2</v>
      </c>
      <c r="BJ107" s="143">
        <f t="shared" si="104"/>
        <v>4.2372762950938003E-2</v>
      </c>
      <c r="BK107" s="143">
        <f t="shared" si="104"/>
        <v>4.2668960997251336E-2</v>
      </c>
      <c r="BL107" s="143">
        <f t="shared" si="104"/>
        <v>4.2957131996548867E-2</v>
      </c>
      <c r="BM107" s="143">
        <f t="shared" si="104"/>
        <v>4.3237535031534532E-2</v>
      </c>
      <c r="BN107" s="143">
        <f t="shared" si="104"/>
        <v>4.3509938813750322E-2</v>
      </c>
      <c r="BO107" s="143">
        <f t="shared" si="104"/>
        <v>4.3774107924511411E-2</v>
      </c>
      <c r="BP107" s="114"/>
    </row>
    <row r="108" spans="1:81" x14ac:dyDescent="0.3">
      <c r="A108" s="388"/>
      <c r="D108" s="359"/>
      <c r="E108" s="115"/>
      <c r="F108" s="117" t="s">
        <v>403</v>
      </c>
      <c r="G108" s="122">
        <f t="shared" ref="G108:P108" si="105">G92/1000000</f>
        <v>0.44065599999999999</v>
      </c>
      <c r="H108" s="122">
        <f t="shared" si="105"/>
        <v>0.39071899999999998</v>
      </c>
      <c r="I108" s="122">
        <f t="shared" si="105"/>
        <v>0.35604599999999997</v>
      </c>
      <c r="J108" s="122">
        <f t="shared" si="105"/>
        <v>0.39169100000000001</v>
      </c>
      <c r="K108" s="122">
        <f t="shared" si="105"/>
        <v>0.53235399999999999</v>
      </c>
      <c r="L108" s="123">
        <f t="shared" si="105"/>
        <v>0.47271999999999997</v>
      </c>
      <c r="M108" s="123">
        <f t="shared" si="105"/>
        <v>0.51331599999999999</v>
      </c>
      <c r="N108" s="123">
        <f t="shared" si="105"/>
        <v>0.479769</v>
      </c>
      <c r="O108" s="123">
        <f t="shared" si="105"/>
        <v>0.34609299999999998</v>
      </c>
      <c r="P108" s="123">
        <f t="shared" si="105"/>
        <v>0.34520899999999999</v>
      </c>
      <c r="Q108" s="123">
        <f t="shared" si="85"/>
        <v>0.47258600000000001</v>
      </c>
      <c r="R108" s="123">
        <f>R92/1000000</f>
        <v>0.34095900000000001</v>
      </c>
      <c r="S108" s="123">
        <f t="shared" ref="S108" si="106">S92/1000000</f>
        <v>0.39773316804241943</v>
      </c>
      <c r="T108" s="143">
        <f t="shared" ref="T108:BO108" si="107">T126*T68</f>
        <v>0.42710808603816824</v>
      </c>
      <c r="U108" s="143">
        <f t="shared" si="107"/>
        <v>0.45360583527746856</v>
      </c>
      <c r="V108" s="143">
        <f t="shared" si="107"/>
        <v>0.45486225095916299</v>
      </c>
      <c r="W108" s="143">
        <f t="shared" si="107"/>
        <v>0.48266473655088443</v>
      </c>
      <c r="X108" s="143">
        <f t="shared" si="107"/>
        <v>0.49518088139606103</v>
      </c>
      <c r="Y108" s="143">
        <f t="shared" si="107"/>
        <v>0.50826492627224906</v>
      </c>
      <c r="Z108" s="143">
        <f t="shared" si="107"/>
        <v>0.51999748576307347</v>
      </c>
      <c r="AA108" s="143">
        <f t="shared" si="107"/>
        <v>0.53365230120317864</v>
      </c>
      <c r="AB108" s="143">
        <f t="shared" si="107"/>
        <v>0.52757869918557698</v>
      </c>
      <c r="AC108" s="143">
        <f t="shared" si="107"/>
        <v>0.53795329132317848</v>
      </c>
      <c r="AD108" s="143">
        <f t="shared" si="107"/>
        <v>0.55040549349167012</v>
      </c>
      <c r="AE108" s="143">
        <f t="shared" si="107"/>
        <v>0.55966967949771429</v>
      </c>
      <c r="AF108" s="143">
        <f t="shared" si="107"/>
        <v>0.56857432326844237</v>
      </c>
      <c r="AG108" s="143">
        <f t="shared" si="107"/>
        <v>0.57721606699166839</v>
      </c>
      <c r="AH108" s="143">
        <f t="shared" si="107"/>
        <v>0.58477731259960253</v>
      </c>
      <c r="AI108" s="143">
        <f t="shared" si="107"/>
        <v>0.59146511472405316</v>
      </c>
      <c r="AJ108" s="143">
        <f t="shared" si="107"/>
        <v>0.60081671052911934</v>
      </c>
      <c r="AK108" s="143">
        <f t="shared" si="107"/>
        <v>0.60954565909270109</v>
      </c>
      <c r="AL108" s="143">
        <f t="shared" si="107"/>
        <v>0.61784679420740385</v>
      </c>
      <c r="AM108" s="143">
        <f t="shared" si="107"/>
        <v>0.62590697173664511</v>
      </c>
      <c r="AN108" s="143">
        <f t="shared" si="107"/>
        <v>0.63298644784249936</v>
      </c>
      <c r="AO108" s="143">
        <f t="shared" si="107"/>
        <v>0.64082312033651567</v>
      </c>
      <c r="AP108" s="143">
        <f t="shared" si="107"/>
        <v>0.64809799007855351</v>
      </c>
      <c r="AQ108" s="143">
        <f t="shared" si="107"/>
        <v>0.65638656357969827</v>
      </c>
      <c r="AR108" s="143">
        <f t="shared" si="107"/>
        <v>0.66372467109419042</v>
      </c>
      <c r="AS108" s="143">
        <f t="shared" si="107"/>
        <v>0.67085202275082834</v>
      </c>
      <c r="AT108" s="143">
        <f t="shared" si="107"/>
        <v>0.67798769716546914</v>
      </c>
      <c r="AU108" s="143">
        <f t="shared" si="107"/>
        <v>0.68504918965998085</v>
      </c>
      <c r="AV108" s="143">
        <f t="shared" si="107"/>
        <v>0.69250033093996799</v>
      </c>
      <c r="AW108" s="143">
        <f t="shared" si="107"/>
        <v>0.69950633474259982</v>
      </c>
      <c r="AX108" s="143">
        <f t="shared" si="107"/>
        <v>0.70641804347947335</v>
      </c>
      <c r="AY108" s="143">
        <f t="shared" si="107"/>
        <v>0.71331031781991394</v>
      </c>
      <c r="AZ108" s="143">
        <f t="shared" si="107"/>
        <v>0.72010969759742938</v>
      </c>
      <c r="BA108" s="143">
        <f t="shared" si="107"/>
        <v>0.72689041264992649</v>
      </c>
      <c r="BB108" s="143">
        <f t="shared" si="107"/>
        <v>0.73343405297480679</v>
      </c>
      <c r="BC108" s="143">
        <f t="shared" si="107"/>
        <v>0.73989172150626847</v>
      </c>
      <c r="BD108" s="143">
        <f t="shared" si="107"/>
        <v>0.74625700690367192</v>
      </c>
      <c r="BE108" s="143">
        <f t="shared" si="107"/>
        <v>0.75250742272240101</v>
      </c>
      <c r="BF108" s="143">
        <f t="shared" si="107"/>
        <v>0.75862294675373099</v>
      </c>
      <c r="BG108" s="143">
        <f t="shared" si="107"/>
        <v>0.7646133478732422</v>
      </c>
      <c r="BH108" s="143">
        <f t="shared" si="107"/>
        <v>0.7704811761668322</v>
      </c>
      <c r="BI108" s="143">
        <f t="shared" si="107"/>
        <v>0.77622455137237056</v>
      </c>
      <c r="BJ108" s="143">
        <f t="shared" si="107"/>
        <v>0.7818306282698817</v>
      </c>
      <c r="BK108" s="143">
        <f t="shared" si="107"/>
        <v>0.78729585377121625</v>
      </c>
      <c r="BL108" s="143">
        <f t="shared" si="107"/>
        <v>0.79261297018608878</v>
      </c>
      <c r="BM108" s="143">
        <f t="shared" si="107"/>
        <v>0.79778675791537768</v>
      </c>
      <c r="BN108" s="143">
        <f t="shared" si="107"/>
        <v>0.80281294939690684</v>
      </c>
      <c r="BO108" s="143">
        <f t="shared" si="107"/>
        <v>0.80768720086063561</v>
      </c>
      <c r="BP108" s="114"/>
    </row>
    <row r="109" spans="1:81" x14ac:dyDescent="0.3">
      <c r="A109" s="388"/>
      <c r="D109" s="359"/>
      <c r="E109" s="115"/>
      <c r="F109" s="117" t="s">
        <v>404</v>
      </c>
      <c r="G109" s="122">
        <f t="shared" ref="G109:P109" si="108">G93/1000000</f>
        <v>0.73556299999999997</v>
      </c>
      <c r="H109" s="122">
        <f t="shared" si="108"/>
        <v>0.73005299999999995</v>
      </c>
      <c r="I109" s="122">
        <f t="shared" si="108"/>
        <v>0.697183</v>
      </c>
      <c r="J109" s="122">
        <f t="shared" si="108"/>
        <v>0.68196599999999996</v>
      </c>
      <c r="K109" s="122">
        <f t="shared" si="108"/>
        <v>1.032816</v>
      </c>
      <c r="L109" s="123">
        <f t="shared" si="108"/>
        <v>1.2022330000000001</v>
      </c>
      <c r="M109" s="123">
        <f t="shared" si="108"/>
        <v>0.94437599999999999</v>
      </c>
      <c r="N109" s="123">
        <f t="shared" si="108"/>
        <v>1.209236</v>
      </c>
      <c r="O109" s="123">
        <f t="shared" si="108"/>
        <v>0.99488900000000002</v>
      </c>
      <c r="P109" s="123">
        <f t="shared" si="108"/>
        <v>1.0141230000000001</v>
      </c>
      <c r="Q109" s="123">
        <f t="shared" si="85"/>
        <v>1.069938660863619</v>
      </c>
      <c r="R109" s="123">
        <f>R93/1000000</f>
        <v>1.2147110000000001</v>
      </c>
      <c r="S109" s="123">
        <f t="shared" ref="S109" si="109">S93/1000000</f>
        <v>1.4325464089448898</v>
      </c>
      <c r="T109" s="143">
        <f t="shared" ref="T109:BO109" si="110">T127*T69</f>
        <v>1.1143761672843322</v>
      </c>
      <c r="U109" s="143">
        <f t="shared" si="110"/>
        <v>1.1859750539065077</v>
      </c>
      <c r="V109" s="143">
        <f t="shared" si="110"/>
        <v>1.1917350621560259</v>
      </c>
      <c r="W109" s="143">
        <f t="shared" si="110"/>
        <v>1.2672091224004716</v>
      </c>
      <c r="X109" s="143">
        <f t="shared" si="110"/>
        <v>1.3027752166740205</v>
      </c>
      <c r="Y109" s="143">
        <f t="shared" si="110"/>
        <v>1.3399810622464712</v>
      </c>
      <c r="Z109" s="143">
        <f t="shared" si="110"/>
        <v>1.3737656797227835</v>
      </c>
      <c r="AA109" s="143">
        <f t="shared" si="110"/>
        <v>1.4127740350871218</v>
      </c>
      <c r="AB109" s="143">
        <f t="shared" si="110"/>
        <v>1.3996017286805522</v>
      </c>
      <c r="AC109" s="143">
        <f t="shared" si="110"/>
        <v>1.430094333763914</v>
      </c>
      <c r="AD109" s="143">
        <f t="shared" si="110"/>
        <v>1.4662424074716931</v>
      </c>
      <c r="AE109" s="143">
        <f t="shared" si="110"/>
        <v>1.4940244167490513</v>
      </c>
      <c r="AF109" s="143">
        <f t="shared" si="110"/>
        <v>1.5209539266638339</v>
      </c>
      <c r="AG109" s="143">
        <f t="shared" si="110"/>
        <v>1.547284325734305</v>
      </c>
      <c r="AH109" s="143">
        <f t="shared" si="110"/>
        <v>1.5708153239016385</v>
      </c>
      <c r="AI109" s="143">
        <f t="shared" si="110"/>
        <v>1.5920864575840006</v>
      </c>
      <c r="AJ109" s="143">
        <f t="shared" si="110"/>
        <v>1.6206245605128147</v>
      </c>
      <c r="AK109" s="143">
        <f t="shared" si="110"/>
        <v>1.6475915478433465</v>
      </c>
      <c r="AL109" s="143">
        <f t="shared" si="110"/>
        <v>1.6735049822916814</v>
      </c>
      <c r="AM109" s="143">
        <f t="shared" si="110"/>
        <v>1.6988651228793028</v>
      </c>
      <c r="AN109" s="143">
        <f t="shared" si="110"/>
        <v>1.7216561682824174</v>
      </c>
      <c r="AO109" s="143">
        <f t="shared" si="110"/>
        <v>1.7465984995616834</v>
      </c>
      <c r="AP109" s="143">
        <f t="shared" si="110"/>
        <v>1.7701027812645678</v>
      </c>
      <c r="AQ109" s="143">
        <f t="shared" si="110"/>
        <v>1.7964717477993226</v>
      </c>
      <c r="AR109" s="143">
        <f t="shared" si="110"/>
        <v>1.8203360491011693</v>
      </c>
      <c r="AS109" s="143">
        <f t="shared" si="110"/>
        <v>1.8437126770687158</v>
      </c>
      <c r="AT109" s="143">
        <f t="shared" si="110"/>
        <v>1.8672016431317806</v>
      </c>
      <c r="AU109" s="143">
        <f t="shared" si="110"/>
        <v>1.8905756677010848</v>
      </c>
      <c r="AV109" s="143">
        <f t="shared" si="110"/>
        <v>1.9151164729255115</v>
      </c>
      <c r="AW109" s="143">
        <f t="shared" si="110"/>
        <v>1.938517642495762</v>
      </c>
      <c r="AX109" s="143">
        <f t="shared" si="110"/>
        <v>1.9617460601415944</v>
      </c>
      <c r="AY109" s="143">
        <f t="shared" si="110"/>
        <v>1.9850086836679524</v>
      </c>
      <c r="AZ109" s="143">
        <f t="shared" si="110"/>
        <v>2.0081005909942711</v>
      </c>
      <c r="BA109" s="143">
        <f t="shared" si="110"/>
        <v>2.0312278600685176</v>
      </c>
      <c r="BB109" s="143">
        <f t="shared" si="110"/>
        <v>2.0537788328226791</v>
      </c>
      <c r="BC109" s="143">
        <f t="shared" si="110"/>
        <v>2.0761736312276589</v>
      </c>
      <c r="BD109" s="143">
        <f t="shared" si="110"/>
        <v>2.0983929775096382</v>
      </c>
      <c r="BE109" s="143">
        <f t="shared" si="110"/>
        <v>2.120372142743844</v>
      </c>
      <c r="BF109" s="143">
        <f t="shared" si="110"/>
        <v>2.14205282252053</v>
      </c>
      <c r="BG109" s="143">
        <f t="shared" si="110"/>
        <v>2.1634605274382133</v>
      </c>
      <c r="BH109" s="143">
        <f t="shared" si="110"/>
        <v>2.1846005210205632</v>
      </c>
      <c r="BI109" s="143">
        <f t="shared" si="110"/>
        <v>2.2054655306178281</v>
      </c>
      <c r="BJ109" s="143">
        <f t="shared" si="110"/>
        <v>2.2260170114551965</v>
      </c>
      <c r="BK109" s="143">
        <f t="shared" si="110"/>
        <v>2.2462426172388037</v>
      </c>
      <c r="BL109" s="143">
        <f t="shared" si="110"/>
        <v>2.266119316116209</v>
      </c>
      <c r="BM109" s="143">
        <f t="shared" si="110"/>
        <v>2.285658382791842</v>
      </c>
      <c r="BN109" s="143">
        <f t="shared" si="110"/>
        <v>2.3048452192276798</v>
      </c>
      <c r="BO109" s="143">
        <f t="shared" si="110"/>
        <v>2.323664896065528</v>
      </c>
      <c r="BP109" s="114"/>
    </row>
    <row r="110" spans="1:81" x14ac:dyDescent="0.3">
      <c r="A110" s="388"/>
      <c r="D110" s="359" t="s">
        <v>494</v>
      </c>
      <c r="E110" s="115"/>
      <c r="F110" s="117" t="s">
        <v>405</v>
      </c>
      <c r="G110" s="122">
        <f t="shared" ref="G110:P110" si="111">G94/1000000</f>
        <v>5.3518000000000003E-2</v>
      </c>
      <c r="H110" s="122">
        <f t="shared" si="111"/>
        <v>3.6221000000000003E-2</v>
      </c>
      <c r="I110" s="122">
        <f t="shared" si="111"/>
        <v>6.2955999999999998E-2</v>
      </c>
      <c r="J110" s="122">
        <f t="shared" si="111"/>
        <v>1.3121000000000001E-2</v>
      </c>
      <c r="K110" s="122">
        <f t="shared" si="111"/>
        <v>0.18496399999999999</v>
      </c>
      <c r="L110" s="123">
        <f t="shared" si="111"/>
        <v>0.17574134622532772</v>
      </c>
      <c r="M110" s="123">
        <f t="shared" si="111"/>
        <v>0.14885191504201825</v>
      </c>
      <c r="N110" s="123">
        <f t="shared" si="111"/>
        <v>0.24526750815189313</v>
      </c>
      <c r="O110" s="123">
        <f t="shared" si="111"/>
        <v>0.25402035975334397</v>
      </c>
      <c r="P110" s="123">
        <f t="shared" si="111"/>
        <v>0.24377087877727277</v>
      </c>
      <c r="Q110" s="123">
        <f t="shared" si="85"/>
        <v>0.24379678429693205</v>
      </c>
      <c r="R110" s="123">
        <f>R94/1000000</f>
        <v>0.19723267877640868</v>
      </c>
      <c r="S110" s="123">
        <f t="shared" ref="S110:S111" si="112">S94/1000000</f>
        <v>0.20503022433716797</v>
      </c>
      <c r="T110" s="143">
        <f t="shared" ref="T110:BO110" si="113">T128*T70</f>
        <v>0.16129929454918224</v>
      </c>
      <c r="U110" s="143">
        <f t="shared" si="113"/>
        <v>0.17184106412522529</v>
      </c>
      <c r="V110" s="143">
        <f t="shared" si="113"/>
        <v>0.17285496680887022</v>
      </c>
      <c r="W110" s="143">
        <f t="shared" si="113"/>
        <v>0.18399295039947186</v>
      </c>
      <c r="X110" s="143">
        <f t="shared" si="113"/>
        <v>0.18935340880257073</v>
      </c>
      <c r="Y110" s="143">
        <f t="shared" si="113"/>
        <v>0.19496338071983824</v>
      </c>
      <c r="Z110" s="143">
        <f t="shared" si="113"/>
        <v>0.20008650375851347</v>
      </c>
      <c r="AA110" s="143">
        <f t="shared" si="113"/>
        <v>0.20598167458865682</v>
      </c>
      <c r="AB110" s="143">
        <f t="shared" si="113"/>
        <v>0.20427306110019797</v>
      </c>
      <c r="AC110" s="143">
        <f t="shared" si="113"/>
        <v>0.20894022568474654</v>
      </c>
      <c r="AD110" s="143">
        <f t="shared" si="113"/>
        <v>0.21444399857502094</v>
      </c>
      <c r="AE110" s="143">
        <f t="shared" si="113"/>
        <v>0.21873413462841249</v>
      </c>
      <c r="AF110" s="143">
        <f t="shared" si="113"/>
        <v>0.22290800875678002</v>
      </c>
      <c r="AG110" s="143">
        <f t="shared" si="113"/>
        <v>0.22700241981975697</v>
      </c>
      <c r="AH110" s="143">
        <f t="shared" si="113"/>
        <v>0.23069396677086348</v>
      </c>
      <c r="AI110" s="143">
        <f t="shared" si="113"/>
        <v>0.23406070157020209</v>
      </c>
      <c r="AJ110" s="143">
        <f t="shared" si="113"/>
        <v>0.23850364318034245</v>
      </c>
      <c r="AK110" s="143">
        <f t="shared" si="113"/>
        <v>0.24272410206865028</v>
      </c>
      <c r="AL110" s="143">
        <f t="shared" si="113"/>
        <v>0.24679769783591649</v>
      </c>
      <c r="AM110" s="143">
        <f t="shared" si="113"/>
        <v>0.25079781115519395</v>
      </c>
      <c r="AN110" s="143">
        <f t="shared" si="113"/>
        <v>0.25442630513427905</v>
      </c>
      <c r="AO110" s="143">
        <f t="shared" si="113"/>
        <v>0.25838031159063551</v>
      </c>
      <c r="AP110" s="143">
        <f t="shared" si="113"/>
        <v>0.26212929902610083</v>
      </c>
      <c r="AQ110" s="143">
        <f t="shared" si="113"/>
        <v>0.26631045715200991</v>
      </c>
      <c r="AR110" s="143">
        <f t="shared" si="113"/>
        <v>0.27012833702438704</v>
      </c>
      <c r="AS110" s="143">
        <f t="shared" si="113"/>
        <v>0.27388141554922013</v>
      </c>
      <c r="AT110" s="143">
        <f t="shared" si="113"/>
        <v>0.2776587023698685</v>
      </c>
      <c r="AU110" s="143">
        <f t="shared" si="113"/>
        <v>0.2814264287841739</v>
      </c>
      <c r="AV110" s="143">
        <f t="shared" si="113"/>
        <v>0.2853755452172152</v>
      </c>
      <c r="AW110" s="143">
        <f t="shared" si="113"/>
        <v>0.28916256402134627</v>
      </c>
      <c r="AX110" s="143">
        <f t="shared" si="113"/>
        <v>0.29293134452496183</v>
      </c>
      <c r="AY110" s="143">
        <f t="shared" si="113"/>
        <v>0.29671275337081382</v>
      </c>
      <c r="AZ110" s="143">
        <f t="shared" si="113"/>
        <v>0.30047615512586862</v>
      </c>
      <c r="BA110" s="143">
        <f t="shared" si="113"/>
        <v>0.30425234966958814</v>
      </c>
      <c r="BB110" s="143">
        <f t="shared" si="113"/>
        <v>0.3079496511992641</v>
      </c>
      <c r="BC110" s="143">
        <f t="shared" si="113"/>
        <v>0.311630861804086</v>
      </c>
      <c r="BD110" s="143">
        <f t="shared" si="113"/>
        <v>0.3152930231640399</v>
      </c>
      <c r="BE110" s="143">
        <f t="shared" si="113"/>
        <v>0.31892632845913027</v>
      </c>
      <c r="BF110" s="143">
        <f t="shared" si="113"/>
        <v>0.32252189759252875</v>
      </c>
      <c r="BG110" s="143">
        <f t="shared" si="113"/>
        <v>0.32608344664168631</v>
      </c>
      <c r="BH110" s="143">
        <f t="shared" si="113"/>
        <v>0.329611652508979</v>
      </c>
      <c r="BI110" s="143">
        <f t="shared" si="113"/>
        <v>0.33310530172730857</v>
      </c>
      <c r="BJ110" s="143">
        <f t="shared" si="113"/>
        <v>0.336558447890493</v>
      </c>
      <c r="BK110" s="143">
        <f t="shared" si="113"/>
        <v>0.33996908527503</v>
      </c>
      <c r="BL110" s="143">
        <f t="shared" si="113"/>
        <v>0.34333358116363671</v>
      </c>
      <c r="BM110" s="143">
        <f t="shared" si="113"/>
        <v>0.34665349113059635</v>
      </c>
      <c r="BN110" s="143">
        <f t="shared" si="113"/>
        <v>0.34992644947079382</v>
      </c>
      <c r="BO110" s="143">
        <f t="shared" si="113"/>
        <v>0.35315003060189809</v>
      </c>
      <c r="BP110" s="114"/>
    </row>
    <row r="111" spans="1:81" x14ac:dyDescent="0.3">
      <c r="A111" s="354"/>
      <c r="B111" s="354"/>
      <c r="C111" s="354"/>
      <c r="D111" s="359" t="s">
        <v>494</v>
      </c>
      <c r="E111" s="115"/>
      <c r="F111" s="117" t="s">
        <v>406</v>
      </c>
      <c r="G111" s="127">
        <v>0</v>
      </c>
      <c r="H111" s="127">
        <v>0</v>
      </c>
      <c r="I111" s="127">
        <v>0</v>
      </c>
      <c r="J111" s="127">
        <v>0</v>
      </c>
      <c r="K111" s="122">
        <v>0.4800141409</v>
      </c>
      <c r="L111" s="123">
        <v>0.59193427089999995</v>
      </c>
      <c r="M111" s="123">
        <v>0.53395091829999997</v>
      </c>
      <c r="N111" s="123">
        <v>0.60168843839999997</v>
      </c>
      <c r="O111" s="123">
        <v>0.50568682919999997</v>
      </c>
      <c r="P111" s="123">
        <v>0.5241654161</v>
      </c>
      <c r="Q111" s="123">
        <v>0.39211125349999998</v>
      </c>
      <c r="R111" s="123">
        <v>0.43874862749999999</v>
      </c>
      <c r="S111" s="123">
        <f t="shared" si="112"/>
        <v>0.33956945422631124</v>
      </c>
      <c r="T111" s="143">
        <f t="shared" ref="T111:BO111" si="114">T129*T71</f>
        <v>0.40832106863001633</v>
      </c>
      <c r="U111" s="143">
        <f t="shared" si="114"/>
        <v>0.43541315612076525</v>
      </c>
      <c r="V111" s="143">
        <f t="shared" si="114"/>
        <v>0.43839110066132297</v>
      </c>
      <c r="W111" s="143">
        <f t="shared" si="114"/>
        <v>0.4670746772478831</v>
      </c>
      <c r="X111" s="143">
        <f t="shared" si="114"/>
        <v>0.48113122058317009</v>
      </c>
      <c r="Y111" s="143">
        <f t="shared" si="114"/>
        <v>0.4958481883944344</v>
      </c>
      <c r="Z111" s="143">
        <f t="shared" si="114"/>
        <v>0.50935286334584262</v>
      </c>
      <c r="AA111" s="143">
        <f t="shared" si="114"/>
        <v>0.5248495308978709</v>
      </c>
      <c r="AB111" s="143">
        <f t="shared" si="114"/>
        <v>0.52098185568107913</v>
      </c>
      <c r="AC111" s="143">
        <f t="shared" si="114"/>
        <v>0.53338258680487771</v>
      </c>
      <c r="AD111" s="143">
        <f t="shared" si="114"/>
        <v>0.547943706220964</v>
      </c>
      <c r="AE111" s="143">
        <f t="shared" si="114"/>
        <v>0.55942758987603569</v>
      </c>
      <c r="AF111" s="143">
        <f t="shared" si="114"/>
        <v>0.57063481338999555</v>
      </c>
      <c r="AG111" s="143">
        <f t="shared" si="114"/>
        <v>0.58165886373219433</v>
      </c>
      <c r="AH111" s="143">
        <f t="shared" si="114"/>
        <v>0.5916697598143168</v>
      </c>
      <c r="AI111" s="143">
        <f t="shared" si="114"/>
        <v>0.60086500538203169</v>
      </c>
      <c r="AJ111" s="143">
        <f t="shared" si="114"/>
        <v>0.61284225039471119</v>
      </c>
      <c r="AK111" s="143">
        <f t="shared" si="114"/>
        <v>0.62426912609148522</v>
      </c>
      <c r="AL111" s="143">
        <f t="shared" si="114"/>
        <v>0.63533872996213248</v>
      </c>
      <c r="AM111" s="143">
        <f t="shared" si="114"/>
        <v>0.64623911440418058</v>
      </c>
      <c r="AN111" s="143">
        <f t="shared" si="114"/>
        <v>0.65620084049887317</v>
      </c>
      <c r="AO111" s="143">
        <f t="shared" si="114"/>
        <v>0.66702092982086347</v>
      </c>
      <c r="AP111" s="143">
        <f t="shared" si="114"/>
        <v>0.67733089029065729</v>
      </c>
      <c r="AQ111" s="143">
        <f t="shared" si="114"/>
        <v>0.68877727347069284</v>
      </c>
      <c r="AR111" s="143">
        <f t="shared" si="114"/>
        <v>0.69930399015621603</v>
      </c>
      <c r="AS111" s="143">
        <f t="shared" si="114"/>
        <v>0.70968184885092078</v>
      </c>
      <c r="AT111" s="143">
        <f t="shared" si="114"/>
        <v>0.72014126288629499</v>
      </c>
      <c r="AU111" s="143">
        <f t="shared" si="114"/>
        <v>0.73059476915525245</v>
      </c>
      <c r="AV111" s="143">
        <f t="shared" si="114"/>
        <v>0.74153850242603403</v>
      </c>
      <c r="AW111" s="143">
        <f t="shared" si="114"/>
        <v>0.75208043491300425</v>
      </c>
      <c r="AX111" s="143">
        <f t="shared" si="114"/>
        <v>0.76259392503478851</v>
      </c>
      <c r="AY111" s="143">
        <f t="shared" si="114"/>
        <v>0.77315929692517271</v>
      </c>
      <c r="AZ111" s="143">
        <f t="shared" si="114"/>
        <v>0.78369676620441442</v>
      </c>
      <c r="BA111" s="143">
        <f t="shared" si="114"/>
        <v>0.79428663443248015</v>
      </c>
      <c r="BB111" s="143">
        <f t="shared" si="114"/>
        <v>0.80468944138011544</v>
      </c>
      <c r="BC111" s="143">
        <f t="shared" si="114"/>
        <v>0.8150688946038811</v>
      </c>
      <c r="BD111" s="143">
        <f t="shared" si="114"/>
        <v>0.8254171574438538</v>
      </c>
      <c r="BE111" s="143">
        <f t="shared" si="114"/>
        <v>0.83570841845230559</v>
      </c>
      <c r="BF111" s="143">
        <f t="shared" si="114"/>
        <v>0.84591920062121895</v>
      </c>
      <c r="BG111" s="143">
        <f t="shared" si="114"/>
        <v>0.85605900803281498</v>
      </c>
      <c r="BH111" s="143">
        <f t="shared" si="114"/>
        <v>0.86612939459350136</v>
      </c>
      <c r="BI111" s="143">
        <f t="shared" si="114"/>
        <v>0.87612694840419392</v>
      </c>
      <c r="BJ111" s="143">
        <f t="shared" si="114"/>
        <v>0.88603578511529524</v>
      </c>
      <c r="BK111" s="143">
        <f t="shared" si="114"/>
        <v>0.89585034553861986</v>
      </c>
      <c r="BL111" s="143">
        <f t="shared" si="114"/>
        <v>0.90556075893790855</v>
      </c>
      <c r="BM111" s="143">
        <f t="shared" si="114"/>
        <v>0.91517081541339385</v>
      </c>
      <c r="BN111" s="143">
        <f t="shared" si="114"/>
        <v>0.92467395788924756</v>
      </c>
      <c r="BO111" s="143">
        <f t="shared" si="114"/>
        <v>0.93406344698628785</v>
      </c>
      <c r="BP111" s="114"/>
    </row>
    <row r="112" spans="1:81" x14ac:dyDescent="0.3">
      <c r="A112" s="16"/>
      <c r="B112" s="16"/>
      <c r="C112" s="16"/>
      <c r="D112" s="128"/>
      <c r="E112" s="129"/>
      <c r="F112" s="111" t="s">
        <v>527</v>
      </c>
      <c r="G112" s="130">
        <f t="shared" ref="G112:BO112" si="115">SUM(G98:G111)</f>
        <v>21.590458000000002</v>
      </c>
      <c r="H112" s="130">
        <f t="shared" si="115"/>
        <v>20.123911000000003</v>
      </c>
      <c r="I112" s="130">
        <f t="shared" si="115"/>
        <v>19.690984</v>
      </c>
      <c r="J112" s="130">
        <f t="shared" si="115"/>
        <v>17.935247000000004</v>
      </c>
      <c r="K112" s="130">
        <f t="shared" si="115"/>
        <v>22.811964140900002</v>
      </c>
      <c r="L112" s="130">
        <f t="shared" si="115"/>
        <v>26.304681345481026</v>
      </c>
      <c r="M112" s="130">
        <f t="shared" si="115"/>
        <v>22.0288629183</v>
      </c>
      <c r="N112" s="130">
        <f t="shared" si="115"/>
        <v>23.4091874384</v>
      </c>
      <c r="O112" s="130">
        <f t="shared" si="115"/>
        <v>21.079224829200001</v>
      </c>
      <c r="P112" s="130">
        <f t="shared" si="115"/>
        <v>23.163142416100005</v>
      </c>
      <c r="Q112" s="130">
        <f t="shared" si="115"/>
        <v>24.531685295222776</v>
      </c>
      <c r="R112" s="130">
        <f t="shared" si="115"/>
        <v>25.286453831581603</v>
      </c>
      <c r="S112" s="130">
        <f t="shared" si="115"/>
        <v>21.085809858758118</v>
      </c>
      <c r="T112" s="130">
        <f t="shared" si="115"/>
        <v>22.368396475793602</v>
      </c>
      <c r="U112" s="130">
        <f t="shared" si="115"/>
        <v>23.7842600599711</v>
      </c>
      <c r="V112" s="130">
        <f t="shared" si="115"/>
        <v>23.878440898091196</v>
      </c>
      <c r="W112" s="130">
        <f t="shared" si="115"/>
        <v>24.989283029295056</v>
      </c>
      <c r="X112" s="130">
        <f t="shared" si="115"/>
        <v>25.27605978933488</v>
      </c>
      <c r="Y112" s="130">
        <f t="shared" si="115"/>
        <v>25.573533682994572</v>
      </c>
      <c r="Z112" s="130">
        <f t="shared" si="115"/>
        <v>25.851830120281885</v>
      </c>
      <c r="AA112" s="130">
        <f t="shared" si="115"/>
        <v>26.162084765743295</v>
      </c>
      <c r="AB112" s="130">
        <f t="shared" si="115"/>
        <v>26.163957070962471</v>
      </c>
      <c r="AC112" s="130">
        <f t="shared" si="115"/>
        <v>26.425444791101366</v>
      </c>
      <c r="AD112" s="130">
        <f t="shared" si="115"/>
        <v>26.721585926843638</v>
      </c>
      <c r="AE112" s="130">
        <f t="shared" si="115"/>
        <v>26.969010372790404</v>
      </c>
      <c r="AF112" s="130">
        <f t="shared" si="115"/>
        <v>27.212343676931855</v>
      </c>
      <c r="AG112" s="130">
        <f t="shared" si="115"/>
        <v>27.453093550340263</v>
      </c>
      <c r="AH112" s="130">
        <f t="shared" si="115"/>
        <v>27.665692115022782</v>
      </c>
      <c r="AI112" s="130">
        <f t="shared" si="115"/>
        <v>27.865147836782722</v>
      </c>
      <c r="AJ112" s="130">
        <f t="shared" si="115"/>
        <v>28.108431346738403</v>
      </c>
      <c r="AK112" s="130">
        <f t="shared" si="115"/>
        <v>28.342704691710736</v>
      </c>
      <c r="AL112" s="130">
        <f t="shared" si="115"/>
        <v>28.571059696672144</v>
      </c>
      <c r="AM112" s="130">
        <f t="shared" si="115"/>
        <v>28.79648776533211</v>
      </c>
      <c r="AN112" s="130">
        <f t="shared" si="115"/>
        <v>29.006919385847819</v>
      </c>
      <c r="AO112" s="130">
        <f t="shared" si="115"/>
        <v>29.230613393198716</v>
      </c>
      <c r="AP112" s="130">
        <f t="shared" si="115"/>
        <v>29.446080718921909</v>
      </c>
      <c r="AQ112" s="130">
        <f t="shared" si="115"/>
        <v>29.679098040373987</v>
      </c>
      <c r="AR112" s="130">
        <f t="shared" si="115"/>
        <v>29.897499811673825</v>
      </c>
      <c r="AS112" s="130">
        <f t="shared" si="115"/>
        <v>30.113368044003874</v>
      </c>
      <c r="AT112" s="130">
        <f t="shared" si="115"/>
        <v>30.33030044571532</v>
      </c>
      <c r="AU112" s="130">
        <f t="shared" si="115"/>
        <v>30.546936206368869</v>
      </c>
      <c r="AV112" s="130">
        <f t="shared" si="115"/>
        <v>30.770967122597593</v>
      </c>
      <c r="AW112" s="130">
        <f t="shared" si="115"/>
        <v>30.988558514975974</v>
      </c>
      <c r="AX112" s="130">
        <f t="shared" si="115"/>
        <v>31.205511259122808</v>
      </c>
      <c r="AY112" s="130">
        <f t="shared" si="115"/>
        <v>31.423069257645476</v>
      </c>
      <c r="AZ112" s="130">
        <f t="shared" si="115"/>
        <v>31.640003750078726</v>
      </c>
      <c r="BA112" s="130">
        <f t="shared" si="115"/>
        <v>31.857554061111848</v>
      </c>
      <c r="BB112" s="130">
        <f t="shared" si="115"/>
        <v>32.072046211497202</v>
      </c>
      <c r="BC112" s="130">
        <f t="shared" si="115"/>
        <v>32.286004945012493</v>
      </c>
      <c r="BD112" s="130">
        <f t="shared" si="115"/>
        <v>32.499315512026037</v>
      </c>
      <c r="BE112" s="130">
        <f t="shared" si="115"/>
        <v>32.711589624258863</v>
      </c>
      <c r="BF112" s="130">
        <f t="shared" si="115"/>
        <v>32.922477195466406</v>
      </c>
      <c r="BG112" s="130">
        <f t="shared" si="115"/>
        <v>33.13213218945625</v>
      </c>
      <c r="BH112" s="130">
        <f t="shared" si="115"/>
        <v>33.340586840503896</v>
      </c>
      <c r="BI112" s="130">
        <f t="shared" si="115"/>
        <v>33.547797914160178</v>
      </c>
      <c r="BJ112" s="130">
        <f t="shared" si="115"/>
        <v>33.753533728744159</v>
      </c>
      <c r="BK112" s="130">
        <f t="shared" si="115"/>
        <v>33.957720187031178</v>
      </c>
      <c r="BL112" s="130">
        <f t="shared" si="115"/>
        <v>34.160218682355811</v>
      </c>
      <c r="BM112" s="130">
        <f t="shared" si="115"/>
        <v>34.361097281171212</v>
      </c>
      <c r="BN112" s="130">
        <f t="shared" si="115"/>
        <v>34.560268071738342</v>
      </c>
      <c r="BO112" s="130">
        <f t="shared" si="115"/>
        <v>34.757641024131971</v>
      </c>
      <c r="BP112" s="132"/>
      <c r="BQ112" s="13"/>
      <c r="BR112" s="13"/>
      <c r="BS112" s="13"/>
      <c r="BT112" s="13"/>
      <c r="BU112" s="13"/>
      <c r="BV112" s="13"/>
      <c r="BW112" s="13"/>
      <c r="BX112" s="13"/>
      <c r="BY112" s="13"/>
      <c r="BZ112" s="13"/>
      <c r="CA112" s="13"/>
      <c r="CB112" s="13"/>
      <c r="CC112" s="13"/>
    </row>
    <row r="113" spans="1:69" x14ac:dyDescent="0.3">
      <c r="A113" s="354"/>
      <c r="B113" s="354"/>
      <c r="C113" s="354"/>
      <c r="D113" s="359"/>
      <c r="E113" s="115"/>
      <c r="F113" s="133"/>
      <c r="G113" s="133"/>
      <c r="H113" s="133"/>
      <c r="I113" s="133"/>
      <c r="J113" s="133"/>
      <c r="K113" s="133"/>
      <c r="L113" s="134"/>
      <c r="M113" s="134"/>
      <c r="N113" s="134"/>
      <c r="O113" s="134"/>
      <c r="P113" s="134"/>
      <c r="Q113" s="134"/>
      <c r="R113" s="134"/>
      <c r="S113" s="134"/>
      <c r="T113" s="134"/>
      <c r="U113" s="134"/>
      <c r="V113" s="134"/>
      <c r="W113" s="134"/>
      <c r="X113" s="134"/>
      <c r="Y113" s="134"/>
      <c r="Z113" s="134"/>
      <c r="AA113" s="134"/>
      <c r="AB113" s="134"/>
      <c r="AC113" s="134"/>
      <c r="AD113" s="134"/>
      <c r="AE113" s="134"/>
      <c r="AF113" s="134"/>
      <c r="AG113" s="134"/>
      <c r="AH113" s="134"/>
      <c r="AI113" s="134"/>
      <c r="AJ113" s="134"/>
      <c r="AK113" s="134"/>
      <c r="AL113" s="134"/>
      <c r="AM113" s="134"/>
      <c r="AN113" s="134"/>
      <c r="AO113" s="134"/>
      <c r="AP113" s="134"/>
      <c r="AQ113" s="134"/>
      <c r="AR113" s="134"/>
      <c r="AS113" s="134"/>
      <c r="AT113" s="134"/>
      <c r="AU113" s="134"/>
      <c r="AV113" s="134"/>
      <c r="AW113" s="134"/>
      <c r="AX113" s="134"/>
      <c r="AY113" s="134"/>
      <c r="AZ113" s="134"/>
      <c r="BA113" s="134"/>
      <c r="BB113" s="134"/>
      <c r="BC113" s="134"/>
      <c r="BD113" s="134"/>
      <c r="BE113" s="134"/>
      <c r="BF113" s="134"/>
      <c r="BG113" s="134"/>
      <c r="BH113" s="134"/>
      <c r="BI113" s="134"/>
      <c r="BJ113" s="134"/>
      <c r="BK113" s="134"/>
      <c r="BL113" s="134"/>
      <c r="BM113" s="134"/>
      <c r="BN113" s="134"/>
      <c r="BO113" s="134"/>
      <c r="BP113" s="114"/>
    </row>
    <row r="114" spans="1:69" ht="15.6" x14ac:dyDescent="0.3">
      <c r="A114" s="354"/>
      <c r="B114" s="354"/>
      <c r="C114" s="354"/>
      <c r="D114" s="359"/>
      <c r="E114" s="109"/>
      <c r="F114" s="110" t="s">
        <v>528</v>
      </c>
      <c r="G114" s="111"/>
      <c r="H114" s="111"/>
      <c r="I114" s="111"/>
      <c r="J114" s="111"/>
      <c r="K114" s="111"/>
      <c r="L114" s="112"/>
      <c r="M114" s="113"/>
      <c r="N114" s="113"/>
      <c r="O114" s="113"/>
      <c r="P114" s="113"/>
      <c r="Q114" s="113"/>
      <c r="R114" s="113"/>
      <c r="S114" s="113"/>
      <c r="T114" s="113"/>
      <c r="U114" s="113"/>
      <c r="V114" s="113"/>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c r="BG114" s="113"/>
      <c r="BH114" s="113"/>
      <c r="BI114" s="113"/>
      <c r="BJ114" s="113"/>
      <c r="BK114" s="113"/>
      <c r="BL114" s="113"/>
      <c r="BM114" s="113"/>
      <c r="BN114" s="113"/>
      <c r="BO114" s="113"/>
      <c r="BP114" s="114"/>
    </row>
    <row r="115" spans="1:69" ht="15.6" x14ac:dyDescent="0.3">
      <c r="A115" s="354"/>
      <c r="B115" s="354" t="s">
        <v>529</v>
      </c>
      <c r="C115" s="354" t="s">
        <v>530</v>
      </c>
      <c r="D115" s="359"/>
      <c r="E115" s="115"/>
      <c r="F115" s="116" t="s">
        <v>531</v>
      </c>
      <c r="G115" s="111"/>
      <c r="H115" s="111"/>
      <c r="I115" s="111"/>
      <c r="J115" s="111"/>
      <c r="K115" s="111"/>
      <c r="L115" s="112"/>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c r="AS115" s="113"/>
      <c r="AT115" s="113"/>
      <c r="AU115" s="113"/>
      <c r="AV115" s="113"/>
      <c r="AW115" s="113"/>
      <c r="AX115" s="113"/>
      <c r="AY115" s="113"/>
      <c r="AZ115" s="113"/>
      <c r="BA115" s="113"/>
      <c r="BB115" s="113"/>
      <c r="BC115" s="113"/>
      <c r="BD115" s="113"/>
      <c r="BE115" s="113"/>
      <c r="BF115" s="113"/>
      <c r="BG115" s="113"/>
      <c r="BH115" s="113"/>
      <c r="BI115" s="113"/>
      <c r="BJ115" s="113"/>
      <c r="BK115" s="113"/>
      <c r="BL115" s="113"/>
      <c r="BM115" s="113"/>
      <c r="BN115" s="113"/>
      <c r="BO115" s="113"/>
      <c r="BP115" s="114"/>
    </row>
    <row r="116" spans="1:69" x14ac:dyDescent="0.3">
      <c r="A116" s="395" t="s">
        <v>532</v>
      </c>
      <c r="B116" s="144">
        <v>0</v>
      </c>
      <c r="C116" s="145">
        <f>B116/100</f>
        <v>0</v>
      </c>
      <c r="D116" s="359"/>
      <c r="E116" s="115"/>
      <c r="F116" s="117" t="s">
        <v>375</v>
      </c>
      <c r="G116" s="122">
        <f t="shared" ref="G116:S116" si="116">G98/G58</f>
        <v>36.777975116741715</v>
      </c>
      <c r="H116" s="122">
        <f t="shared" si="116"/>
        <v>38.691774364103281</v>
      </c>
      <c r="I116" s="122">
        <f t="shared" si="116"/>
        <v>33.250087721793889</v>
      </c>
      <c r="J116" s="122">
        <f t="shared" si="116"/>
        <v>31.779871513532424</v>
      </c>
      <c r="K116" s="122">
        <f t="shared" si="116"/>
        <v>37.091561283393744</v>
      </c>
      <c r="L116" s="123">
        <f t="shared" si="116"/>
        <v>38.786294605070921</v>
      </c>
      <c r="M116" s="123">
        <f t="shared" si="116"/>
        <v>36.208188003571095</v>
      </c>
      <c r="N116" s="123">
        <f t="shared" si="116"/>
        <v>39.745819546113111</v>
      </c>
      <c r="O116" s="123">
        <f t="shared" si="116"/>
        <v>40.26187779655038</v>
      </c>
      <c r="P116" s="123">
        <f t="shared" si="116"/>
        <v>35.907197827071073</v>
      </c>
      <c r="Q116" s="123">
        <f t="shared" si="116"/>
        <v>40.743049243603316</v>
      </c>
      <c r="R116" s="123">
        <f t="shared" si="116"/>
        <v>40.740567388853336</v>
      </c>
      <c r="S116" s="123">
        <f t="shared" si="116"/>
        <v>36.281746884400519</v>
      </c>
      <c r="T116" s="143">
        <f>'Rendimientos Tendencial'!R2</f>
        <v>39.694399999999973</v>
      </c>
      <c r="U116" s="143">
        <f>T116</f>
        <v>39.694399999999973</v>
      </c>
      <c r="V116" s="143">
        <f t="shared" ref="V116:BO116" si="117">U116</f>
        <v>39.694399999999973</v>
      </c>
      <c r="W116" s="143">
        <f t="shared" si="117"/>
        <v>39.694399999999973</v>
      </c>
      <c r="X116" s="143">
        <f t="shared" si="117"/>
        <v>39.694399999999973</v>
      </c>
      <c r="Y116" s="143">
        <f t="shared" si="117"/>
        <v>39.694399999999973</v>
      </c>
      <c r="Z116" s="143">
        <f t="shared" si="117"/>
        <v>39.694399999999973</v>
      </c>
      <c r="AA116" s="143">
        <f t="shared" si="117"/>
        <v>39.694399999999973</v>
      </c>
      <c r="AB116" s="143">
        <f t="shared" si="117"/>
        <v>39.694399999999973</v>
      </c>
      <c r="AC116" s="143">
        <f t="shared" si="117"/>
        <v>39.694399999999973</v>
      </c>
      <c r="AD116" s="143">
        <f t="shared" si="117"/>
        <v>39.694399999999973</v>
      </c>
      <c r="AE116" s="143">
        <f t="shared" si="117"/>
        <v>39.694399999999973</v>
      </c>
      <c r="AF116" s="143">
        <f t="shared" si="117"/>
        <v>39.694399999999973</v>
      </c>
      <c r="AG116" s="143">
        <f t="shared" si="117"/>
        <v>39.694399999999973</v>
      </c>
      <c r="AH116" s="143">
        <f t="shared" si="117"/>
        <v>39.694399999999973</v>
      </c>
      <c r="AI116" s="143">
        <f t="shared" si="117"/>
        <v>39.694399999999973</v>
      </c>
      <c r="AJ116" s="143">
        <f t="shared" si="117"/>
        <v>39.694399999999973</v>
      </c>
      <c r="AK116" s="143">
        <f t="shared" si="117"/>
        <v>39.694399999999973</v>
      </c>
      <c r="AL116" s="143">
        <f t="shared" si="117"/>
        <v>39.694399999999973</v>
      </c>
      <c r="AM116" s="143">
        <f t="shared" si="117"/>
        <v>39.694399999999973</v>
      </c>
      <c r="AN116" s="143">
        <f t="shared" si="117"/>
        <v>39.694399999999973</v>
      </c>
      <c r="AO116" s="143">
        <f t="shared" si="117"/>
        <v>39.694399999999973</v>
      </c>
      <c r="AP116" s="143">
        <f t="shared" si="117"/>
        <v>39.694399999999973</v>
      </c>
      <c r="AQ116" s="143">
        <f t="shared" si="117"/>
        <v>39.694399999999973</v>
      </c>
      <c r="AR116" s="143">
        <f t="shared" si="117"/>
        <v>39.694399999999973</v>
      </c>
      <c r="AS116" s="143">
        <f t="shared" si="117"/>
        <v>39.694399999999973</v>
      </c>
      <c r="AT116" s="143">
        <f t="shared" si="117"/>
        <v>39.694399999999973</v>
      </c>
      <c r="AU116" s="143">
        <f t="shared" si="117"/>
        <v>39.694399999999973</v>
      </c>
      <c r="AV116" s="143">
        <f t="shared" si="117"/>
        <v>39.694399999999973</v>
      </c>
      <c r="AW116" s="143">
        <f t="shared" si="117"/>
        <v>39.694399999999973</v>
      </c>
      <c r="AX116" s="143">
        <f t="shared" si="117"/>
        <v>39.694399999999973</v>
      </c>
      <c r="AY116" s="143">
        <f t="shared" si="117"/>
        <v>39.694399999999973</v>
      </c>
      <c r="AZ116" s="143">
        <f t="shared" si="117"/>
        <v>39.694399999999973</v>
      </c>
      <c r="BA116" s="143">
        <f t="shared" si="117"/>
        <v>39.694399999999973</v>
      </c>
      <c r="BB116" s="143">
        <f t="shared" si="117"/>
        <v>39.694399999999973</v>
      </c>
      <c r="BC116" s="143">
        <f t="shared" si="117"/>
        <v>39.694399999999973</v>
      </c>
      <c r="BD116" s="143">
        <f t="shared" si="117"/>
        <v>39.694399999999973</v>
      </c>
      <c r="BE116" s="143">
        <f t="shared" si="117"/>
        <v>39.694399999999973</v>
      </c>
      <c r="BF116" s="143">
        <f t="shared" si="117"/>
        <v>39.694399999999973</v>
      </c>
      <c r="BG116" s="143">
        <f t="shared" si="117"/>
        <v>39.694399999999973</v>
      </c>
      <c r="BH116" s="143">
        <f t="shared" si="117"/>
        <v>39.694399999999973</v>
      </c>
      <c r="BI116" s="143">
        <f t="shared" si="117"/>
        <v>39.694399999999973</v>
      </c>
      <c r="BJ116" s="143">
        <f t="shared" si="117"/>
        <v>39.694399999999973</v>
      </c>
      <c r="BK116" s="143">
        <f t="shared" si="117"/>
        <v>39.694399999999973</v>
      </c>
      <c r="BL116" s="143">
        <f t="shared" si="117"/>
        <v>39.694399999999973</v>
      </c>
      <c r="BM116" s="143">
        <f t="shared" si="117"/>
        <v>39.694399999999973</v>
      </c>
      <c r="BN116" s="143">
        <f t="shared" si="117"/>
        <v>39.694399999999973</v>
      </c>
      <c r="BO116" s="143">
        <f t="shared" si="117"/>
        <v>39.694399999999973</v>
      </c>
      <c r="BP116" s="114"/>
      <c r="BQ116" s="103"/>
    </row>
    <row r="117" spans="1:69" x14ac:dyDescent="0.3">
      <c r="A117" s="388"/>
      <c r="B117" s="146">
        <v>10</v>
      </c>
      <c r="C117" s="84">
        <f>B117/(2070-2022)/100</f>
        <v>2.0833333333333333E-3</v>
      </c>
      <c r="D117" s="359"/>
      <c r="E117" s="115"/>
      <c r="F117" s="117" t="s">
        <v>376</v>
      </c>
      <c r="G117" s="122">
        <f t="shared" ref="G117:S117" si="118">G99/G59</f>
        <v>0.36691896396083606</v>
      </c>
      <c r="H117" s="122">
        <f t="shared" si="118"/>
        <v>0.5611552393564424</v>
      </c>
      <c r="I117" s="122">
        <f t="shared" si="118"/>
        <v>0.34169964323792335</v>
      </c>
      <c r="J117" s="122">
        <f t="shared" si="118"/>
        <v>0.31917283330931284</v>
      </c>
      <c r="K117" s="122">
        <f t="shared" si="118"/>
        <v>0.41921763002600387</v>
      </c>
      <c r="L117" s="123">
        <f t="shared" si="118"/>
        <v>0.4170203705675154</v>
      </c>
      <c r="M117" s="123">
        <f t="shared" si="118"/>
        <v>0.3908602399082457</v>
      </c>
      <c r="N117" s="123">
        <f t="shared" si="118"/>
        <v>0.44070854027265705</v>
      </c>
      <c r="O117" s="123">
        <f t="shared" si="118"/>
        <v>0.46853670684331106</v>
      </c>
      <c r="P117" s="123">
        <f t="shared" si="118"/>
        <v>0.53989551514459444</v>
      </c>
      <c r="Q117" s="123">
        <f t="shared" si="118"/>
        <v>0.62179741233002173</v>
      </c>
      <c r="R117" s="123">
        <f t="shared" si="118"/>
        <v>0.55578266460858028</v>
      </c>
      <c r="S117" s="123">
        <f t="shared" si="118"/>
        <v>0.66214372409628941</v>
      </c>
      <c r="T117" s="143">
        <f>'Rendimientos Tendencial'!R3</f>
        <v>0.70830000000000126</v>
      </c>
      <c r="U117" s="143">
        <f>T117*(1+$C$117)</f>
        <v>0.70977562500000135</v>
      </c>
      <c r="V117" s="143">
        <f t="shared" ref="V117:BO117" si="119">U117*(1+$C$117)</f>
        <v>0.71125432421875145</v>
      </c>
      <c r="W117" s="143">
        <f t="shared" si="119"/>
        <v>0.71273610406087395</v>
      </c>
      <c r="X117" s="143">
        <f t="shared" si="119"/>
        <v>0.71422097094433423</v>
      </c>
      <c r="Y117" s="143">
        <f t="shared" si="119"/>
        <v>0.71570893130046831</v>
      </c>
      <c r="Z117" s="143">
        <f t="shared" si="119"/>
        <v>0.71719999157401104</v>
      </c>
      <c r="AA117" s="143">
        <f t="shared" si="119"/>
        <v>0.71869415822312366</v>
      </c>
      <c r="AB117" s="143">
        <f t="shared" si="119"/>
        <v>0.72019143771942196</v>
      </c>
      <c r="AC117" s="143">
        <f t="shared" si="119"/>
        <v>0.72169183654800417</v>
      </c>
      <c r="AD117" s="143">
        <f t="shared" si="119"/>
        <v>0.72319536120747929</v>
      </c>
      <c r="AE117" s="143">
        <f t="shared" si="119"/>
        <v>0.72470201820999491</v>
      </c>
      <c r="AF117" s="143">
        <f t="shared" si="119"/>
        <v>0.72621181408126578</v>
      </c>
      <c r="AG117" s="143">
        <f t="shared" si="119"/>
        <v>0.72772475536060188</v>
      </c>
      <c r="AH117" s="143">
        <f t="shared" si="119"/>
        <v>0.72924084860093652</v>
      </c>
      <c r="AI117" s="143">
        <f t="shared" si="119"/>
        <v>0.73076010036885519</v>
      </c>
      <c r="AJ117" s="143">
        <f t="shared" si="119"/>
        <v>0.73228251724462368</v>
      </c>
      <c r="AK117" s="143">
        <f t="shared" si="119"/>
        <v>0.73380810582221667</v>
      </c>
      <c r="AL117" s="143">
        <f t="shared" si="119"/>
        <v>0.73533687270934633</v>
      </c>
      <c r="AM117" s="143">
        <f t="shared" si="119"/>
        <v>0.73686882452749092</v>
      </c>
      <c r="AN117" s="143">
        <f t="shared" si="119"/>
        <v>0.73840396791192331</v>
      </c>
      <c r="AO117" s="143">
        <f t="shared" si="119"/>
        <v>0.73994230951173989</v>
      </c>
      <c r="AP117" s="143">
        <f t="shared" si="119"/>
        <v>0.74148385598988942</v>
      </c>
      <c r="AQ117" s="143">
        <f t="shared" si="119"/>
        <v>0.74302861402320175</v>
      </c>
      <c r="AR117" s="143">
        <f t="shared" si="119"/>
        <v>0.74457659030241685</v>
      </c>
      <c r="AS117" s="143">
        <f t="shared" si="119"/>
        <v>0.74612779153221365</v>
      </c>
      <c r="AT117" s="143">
        <f t="shared" si="119"/>
        <v>0.74768222443123922</v>
      </c>
      <c r="AU117" s="143">
        <f t="shared" si="119"/>
        <v>0.74923989573213767</v>
      </c>
      <c r="AV117" s="143">
        <f t="shared" si="119"/>
        <v>0.75080081218157968</v>
      </c>
      <c r="AW117" s="143">
        <f t="shared" si="119"/>
        <v>0.75236498054029133</v>
      </c>
      <c r="AX117" s="143">
        <f t="shared" si="119"/>
        <v>0.75393240758308366</v>
      </c>
      <c r="AY117" s="143">
        <f t="shared" si="119"/>
        <v>0.75550310009888189</v>
      </c>
      <c r="AZ117" s="143">
        <f t="shared" si="119"/>
        <v>0.75707706489075466</v>
      </c>
      <c r="BA117" s="143">
        <f t="shared" si="119"/>
        <v>0.75865430877594386</v>
      </c>
      <c r="BB117" s="143">
        <f t="shared" si="119"/>
        <v>0.7602348385858938</v>
      </c>
      <c r="BC117" s="143">
        <f t="shared" si="119"/>
        <v>0.76181866116628116</v>
      </c>
      <c r="BD117" s="143">
        <f t="shared" si="119"/>
        <v>0.76340578337704434</v>
      </c>
      <c r="BE117" s="143">
        <f t="shared" si="119"/>
        <v>0.76499621209241331</v>
      </c>
      <c r="BF117" s="143">
        <f t="shared" si="119"/>
        <v>0.76658995420093923</v>
      </c>
      <c r="BG117" s="143">
        <f t="shared" si="119"/>
        <v>0.76818701660552458</v>
      </c>
      <c r="BH117" s="143">
        <f t="shared" si="119"/>
        <v>0.76978740622345287</v>
      </c>
      <c r="BI117" s="143">
        <f t="shared" si="119"/>
        <v>0.77139112998641846</v>
      </c>
      <c r="BJ117" s="143">
        <f t="shared" si="119"/>
        <v>0.77299819484055687</v>
      </c>
      <c r="BK117" s="143">
        <f t="shared" si="119"/>
        <v>0.77460860774647478</v>
      </c>
      <c r="BL117" s="143">
        <f t="shared" si="119"/>
        <v>0.77622237567927999</v>
      </c>
      <c r="BM117" s="143">
        <f t="shared" si="119"/>
        <v>0.77783950562861193</v>
      </c>
      <c r="BN117" s="143">
        <f t="shared" si="119"/>
        <v>0.7794600045986716</v>
      </c>
      <c r="BO117" s="143">
        <f t="shared" si="119"/>
        <v>0.78108387960825221</v>
      </c>
      <c r="BP117" s="114"/>
      <c r="BQ117" s="103"/>
    </row>
    <row r="118" spans="1:69" x14ac:dyDescent="0.3">
      <c r="A118" s="388"/>
      <c r="B118" s="146">
        <v>10</v>
      </c>
      <c r="C118" s="84">
        <f t="shared" ref="C118:C129" si="120">B118/(2070-2022)/100</f>
        <v>2.0833333333333333E-3</v>
      </c>
      <c r="D118" s="359"/>
      <c r="E118" s="115"/>
      <c r="F118" s="117" t="s">
        <v>377</v>
      </c>
      <c r="G118" s="122">
        <f t="shared" ref="G118:S118" si="121">G100/G60</f>
        <v>0.21628913068977651</v>
      </c>
      <c r="H118" s="122">
        <f t="shared" si="121"/>
        <v>0.24229513864174809</v>
      </c>
      <c r="I118" s="122">
        <f t="shared" si="121"/>
        <v>9.3253716173294365E-2</v>
      </c>
      <c r="J118" s="122">
        <f t="shared" si="121"/>
        <v>0.12590260762328201</v>
      </c>
      <c r="K118" s="122">
        <f t="shared" si="121"/>
        <v>0.11907110447256432</v>
      </c>
      <c r="L118" s="123">
        <f t="shared" si="121"/>
        <v>0.12031253548958594</v>
      </c>
      <c r="M118" s="123">
        <f t="shared" si="121"/>
        <v>0.13072442420996253</v>
      </c>
      <c r="N118" s="123">
        <f t="shared" si="121"/>
        <v>0.20300590445517983</v>
      </c>
      <c r="O118" s="123">
        <f t="shared" si="121"/>
        <v>0.15865806289938603</v>
      </c>
      <c r="P118" s="123">
        <f t="shared" si="121"/>
        <v>0.22584403695175742</v>
      </c>
      <c r="Q118" s="123">
        <f t="shared" si="121"/>
        <v>0.19621687911107807</v>
      </c>
      <c r="R118" s="123">
        <f t="shared" si="121"/>
        <v>0.16678538719853467</v>
      </c>
      <c r="S118" s="123">
        <f t="shared" si="121"/>
        <v>0.26640852754761069</v>
      </c>
      <c r="T118" s="143">
        <f>'Rendimientos Tendencial'!R4</f>
        <v>0.25030000000000108</v>
      </c>
      <c r="U118" s="143">
        <f t="shared" ref="U118:BO118" si="122">T118*(1+$C$118)</f>
        <v>0.25082145833333441</v>
      </c>
      <c r="V118" s="143">
        <f t="shared" si="122"/>
        <v>0.25134400303819554</v>
      </c>
      <c r="W118" s="143">
        <f t="shared" si="122"/>
        <v>0.25186763637785847</v>
      </c>
      <c r="X118" s="143">
        <f t="shared" si="122"/>
        <v>0.25239236062031239</v>
      </c>
      <c r="Y118" s="143">
        <f t="shared" si="122"/>
        <v>0.25291817803827138</v>
      </c>
      <c r="Z118" s="143">
        <f t="shared" si="122"/>
        <v>0.25344509090918449</v>
      </c>
      <c r="AA118" s="143">
        <f t="shared" si="122"/>
        <v>0.25397310151524533</v>
      </c>
      <c r="AB118" s="143">
        <f t="shared" si="122"/>
        <v>0.25450221214340213</v>
      </c>
      <c r="AC118" s="143">
        <f t="shared" si="122"/>
        <v>0.25503242508536755</v>
      </c>
      <c r="AD118" s="143">
        <f t="shared" si="122"/>
        <v>0.25556374263762877</v>
      </c>
      <c r="AE118" s="143">
        <f t="shared" si="122"/>
        <v>0.25609616710145716</v>
      </c>
      <c r="AF118" s="143">
        <f t="shared" si="122"/>
        <v>0.25662970078291858</v>
      </c>
      <c r="AG118" s="143">
        <f t="shared" si="122"/>
        <v>0.25716434599288301</v>
      </c>
      <c r="AH118" s="143">
        <f t="shared" si="122"/>
        <v>0.25770010504703489</v>
      </c>
      <c r="AI118" s="143">
        <f t="shared" si="122"/>
        <v>0.25823698026588293</v>
      </c>
      <c r="AJ118" s="143">
        <f t="shared" si="122"/>
        <v>0.25877497397477023</v>
      </c>
      <c r="AK118" s="143">
        <f t="shared" si="122"/>
        <v>0.25931408850388438</v>
      </c>
      <c r="AL118" s="143">
        <f t="shared" si="122"/>
        <v>0.25985432618826748</v>
      </c>
      <c r="AM118" s="143">
        <f t="shared" si="122"/>
        <v>0.26039568936782642</v>
      </c>
      <c r="AN118" s="143">
        <f t="shared" si="122"/>
        <v>0.26093818038734273</v>
      </c>
      <c r="AO118" s="143">
        <f t="shared" si="122"/>
        <v>0.26148180159648304</v>
      </c>
      <c r="AP118" s="143">
        <f t="shared" si="122"/>
        <v>0.26202655534980906</v>
      </c>
      <c r="AQ118" s="143">
        <f t="shared" si="122"/>
        <v>0.26257244400678786</v>
      </c>
      <c r="AR118" s="143">
        <f t="shared" si="122"/>
        <v>0.26311946993180202</v>
      </c>
      <c r="AS118" s="143">
        <f t="shared" si="122"/>
        <v>0.26366763549415995</v>
      </c>
      <c r="AT118" s="143">
        <f t="shared" si="122"/>
        <v>0.26421694306810611</v>
      </c>
      <c r="AU118" s="143">
        <f t="shared" si="122"/>
        <v>0.26476739503283137</v>
      </c>
      <c r="AV118" s="143">
        <f t="shared" si="122"/>
        <v>0.26531899377248314</v>
      </c>
      <c r="AW118" s="143">
        <f t="shared" si="122"/>
        <v>0.26587174167617583</v>
      </c>
      <c r="AX118" s="143">
        <f t="shared" si="122"/>
        <v>0.26642564113800121</v>
      </c>
      <c r="AY118" s="143">
        <f t="shared" si="122"/>
        <v>0.26698069455703877</v>
      </c>
      <c r="AZ118" s="143">
        <f t="shared" si="122"/>
        <v>0.26753690433736593</v>
      </c>
      <c r="BA118" s="143">
        <f t="shared" si="122"/>
        <v>0.26809427288806881</v>
      </c>
      <c r="BB118" s="143">
        <f t="shared" si="122"/>
        <v>0.26865280262325231</v>
      </c>
      <c r="BC118" s="143">
        <f t="shared" si="122"/>
        <v>0.26921249596205077</v>
      </c>
      <c r="BD118" s="143">
        <f t="shared" si="122"/>
        <v>0.26977335532863839</v>
      </c>
      <c r="BE118" s="143">
        <f t="shared" si="122"/>
        <v>0.27033538315223976</v>
      </c>
      <c r="BF118" s="143">
        <f t="shared" si="122"/>
        <v>0.27089858186714028</v>
      </c>
      <c r="BG118" s="143">
        <f t="shared" si="122"/>
        <v>0.27146295391269687</v>
      </c>
      <c r="BH118" s="143">
        <f t="shared" si="122"/>
        <v>0.27202850173334836</v>
      </c>
      <c r="BI118" s="143">
        <f t="shared" si="122"/>
        <v>0.27259522777862621</v>
      </c>
      <c r="BJ118" s="143">
        <f t="shared" si="122"/>
        <v>0.27316313450316504</v>
      </c>
      <c r="BK118" s="143">
        <f t="shared" si="122"/>
        <v>0.27373222436671335</v>
      </c>
      <c r="BL118" s="143">
        <f t="shared" si="122"/>
        <v>0.27430249983414401</v>
      </c>
      <c r="BM118" s="143">
        <f t="shared" si="122"/>
        <v>0.27487396337546516</v>
      </c>
      <c r="BN118" s="143">
        <f t="shared" si="122"/>
        <v>0.27544661746583071</v>
      </c>
      <c r="BO118" s="143">
        <f t="shared" si="122"/>
        <v>0.27602046458555124</v>
      </c>
      <c r="BP118" s="114"/>
      <c r="BQ118" s="103"/>
    </row>
    <row r="119" spans="1:69" x14ac:dyDescent="0.3">
      <c r="A119" s="388"/>
      <c r="B119" s="146">
        <v>14.45</v>
      </c>
      <c r="C119" s="84">
        <f t="shared" si="120"/>
        <v>3.0104166666666664E-3</v>
      </c>
      <c r="D119" s="359"/>
      <c r="E119" s="115"/>
      <c r="F119" s="117" t="s">
        <v>378</v>
      </c>
      <c r="G119" s="122">
        <f t="shared" ref="G119:S119" si="123">G101/G61</f>
        <v>78.063575490049388</v>
      </c>
      <c r="H119" s="122">
        <f t="shared" si="123"/>
        <v>94.0584003238679</v>
      </c>
      <c r="I119" s="122">
        <f t="shared" si="123"/>
        <v>77.477944959522887</v>
      </c>
      <c r="J119" s="122">
        <f t="shared" si="123"/>
        <v>70.827627490946512</v>
      </c>
      <c r="K119" s="122">
        <f t="shared" si="123"/>
        <v>85.159827436733678</v>
      </c>
      <c r="L119" s="123">
        <f t="shared" si="123"/>
        <v>98.484690496608707</v>
      </c>
      <c r="M119" s="123">
        <f t="shared" si="123"/>
        <v>82.758706681571937</v>
      </c>
      <c r="N119" s="123">
        <f t="shared" si="123"/>
        <v>73.53564262163502</v>
      </c>
      <c r="O119" s="123">
        <f t="shared" si="123"/>
        <v>67.989654963102979</v>
      </c>
      <c r="P119" s="123">
        <f t="shared" si="123"/>
        <v>73.460684302118153</v>
      </c>
      <c r="Q119" s="123">
        <f t="shared" si="123"/>
        <v>74.345460716546896</v>
      </c>
      <c r="R119" s="123">
        <f t="shared" si="123"/>
        <v>77.713414431150085</v>
      </c>
      <c r="S119" s="123">
        <f t="shared" si="123"/>
        <v>59.810931153196861</v>
      </c>
      <c r="T119" s="143">
        <f>'Rendimientos Tendencial'!R5</f>
        <v>68.154000000000451</v>
      </c>
      <c r="U119" s="143">
        <f>T119*(1+$C$119)</f>
        <v>68.359171937500449</v>
      </c>
      <c r="V119" s="143">
        <f t="shared" ref="V119:BO119" si="124">U119*(1+$C$119)</f>
        <v>68.564961528020632</v>
      </c>
      <c r="W119" s="143">
        <f t="shared" si="124"/>
        <v>68.771370630953939</v>
      </c>
      <c r="X119" s="143">
        <f t="shared" si="124"/>
        <v>68.978401111290879</v>
      </c>
      <c r="Y119" s="143">
        <f t="shared" si="124"/>
        <v>69.186054839636327</v>
      </c>
      <c r="Z119" s="143">
        <f t="shared" si="124"/>
        <v>69.394333692226482</v>
      </c>
      <c r="AA119" s="143">
        <f t="shared" si="124"/>
        <v>69.603239550945787</v>
      </c>
      <c r="AB119" s="143">
        <f t="shared" si="124"/>
        <v>69.812774303343943</v>
      </c>
      <c r="AC119" s="143">
        <f t="shared" si="124"/>
        <v>70.022939842652974</v>
      </c>
      <c r="AD119" s="143">
        <f t="shared" si="124"/>
        <v>70.233738067804296</v>
      </c>
      <c r="AE119" s="143">
        <f t="shared" si="124"/>
        <v>70.445170883445911</v>
      </c>
      <c r="AF119" s="143">
        <f t="shared" si="124"/>
        <v>70.657240199959617</v>
      </c>
      <c r="AG119" s="143">
        <f t="shared" si="124"/>
        <v>70.869947933478244</v>
      </c>
      <c r="AH119" s="143">
        <f t="shared" si="124"/>
        <v>71.08329600590298</v>
      </c>
      <c r="AI119" s="143">
        <f t="shared" si="124"/>
        <v>71.297286344920749</v>
      </c>
      <c r="AJ119" s="143">
        <f t="shared" si="124"/>
        <v>71.511920884021606</v>
      </c>
      <c r="AK119" s="143">
        <f t="shared" si="124"/>
        <v>71.727201562516214</v>
      </c>
      <c r="AL119" s="143">
        <f t="shared" si="124"/>
        <v>71.943130325553369</v>
      </c>
      <c r="AM119" s="143">
        <f t="shared" si="124"/>
        <v>72.159709124137592</v>
      </c>
      <c r="AN119" s="143">
        <f t="shared" si="124"/>
        <v>72.376939915146721</v>
      </c>
      <c r="AO119" s="143">
        <f t="shared" si="124"/>
        <v>72.594824661349605</v>
      </c>
      <c r="AP119" s="143">
        <f t="shared" si="124"/>
        <v>72.813365331423881</v>
      </c>
      <c r="AQ119" s="143">
        <f t="shared" si="124"/>
        <v>73.032563899973695</v>
      </c>
      <c r="AR119" s="143">
        <f t="shared" si="124"/>
        <v>73.252422347547579</v>
      </c>
      <c r="AS119" s="143">
        <f t="shared" si="124"/>
        <v>73.472942660656344</v>
      </c>
      <c r="AT119" s="143">
        <f t="shared" si="124"/>
        <v>73.694126831791024</v>
      </c>
      <c r="AU119" s="143">
        <f t="shared" si="124"/>
        <v>73.915976859440903</v>
      </c>
      <c r="AV119" s="143">
        <f t="shared" si="124"/>
        <v>74.138494748111512</v>
      </c>
      <c r="AW119" s="143">
        <f t="shared" si="124"/>
        <v>74.36168250834281</v>
      </c>
      <c r="AX119" s="143">
        <f t="shared" si="124"/>
        <v>74.5855421567273</v>
      </c>
      <c r="AY119" s="143">
        <f t="shared" si="124"/>
        <v>74.810075715928278</v>
      </c>
      <c r="AZ119" s="143">
        <f t="shared" si="124"/>
        <v>75.035285214698106</v>
      </c>
      <c r="BA119" s="143">
        <f t="shared" si="124"/>
        <v>75.261172687896519</v>
      </c>
      <c r="BB119" s="143">
        <f t="shared" si="124"/>
        <v>75.487740176509035</v>
      </c>
      <c r="BC119" s="143">
        <f t="shared" si="124"/>
        <v>75.714989727665397</v>
      </c>
      <c r="BD119" s="143">
        <f t="shared" si="124"/>
        <v>75.942923394658052</v>
      </c>
      <c r="BE119" s="143">
        <f t="shared" si="124"/>
        <v>76.171543236960716</v>
      </c>
      <c r="BF119" s="143">
        <f t="shared" si="124"/>
        <v>76.400851320246986</v>
      </c>
      <c r="BG119" s="143">
        <f t="shared" si="124"/>
        <v>76.630849716408974</v>
      </c>
      <c r="BH119" s="143">
        <f t="shared" si="124"/>
        <v>76.86154050357608</v>
      </c>
      <c r="BI119" s="143">
        <f t="shared" si="124"/>
        <v>77.092925766133718</v>
      </c>
      <c r="BJ119" s="143">
        <f t="shared" si="124"/>
        <v>77.325007594742189</v>
      </c>
      <c r="BK119" s="143">
        <f t="shared" si="124"/>
        <v>77.557788086355529</v>
      </c>
      <c r="BL119" s="143">
        <f t="shared" si="124"/>
        <v>77.79126934424049</v>
      </c>
      <c r="BM119" s="143">
        <f t="shared" si="124"/>
        <v>78.025453477995555</v>
      </c>
      <c r="BN119" s="143">
        <f t="shared" si="124"/>
        <v>78.260342603569939</v>
      </c>
      <c r="BO119" s="143">
        <f t="shared" si="124"/>
        <v>78.495938843282772</v>
      </c>
      <c r="BP119" s="114"/>
      <c r="BQ119" s="103"/>
    </row>
    <row r="120" spans="1:69" x14ac:dyDescent="0.3">
      <c r="A120" s="388"/>
      <c r="B120" s="146">
        <v>22.7</v>
      </c>
      <c r="C120" s="84">
        <f t="shared" si="120"/>
        <v>4.7291666666666662E-3</v>
      </c>
      <c r="D120" s="359"/>
      <c r="E120" s="115"/>
      <c r="F120" s="117" t="s">
        <v>379</v>
      </c>
      <c r="G120" s="122">
        <f t="shared" ref="G120:S120" si="125">G102/G62</f>
        <v>2.234824433513646</v>
      </c>
      <c r="H120" s="122">
        <f t="shared" si="125"/>
        <v>1.6671662766708666</v>
      </c>
      <c r="I120" s="122">
        <f t="shared" si="125"/>
        <v>2.7324016605696904</v>
      </c>
      <c r="J120" s="122">
        <f t="shared" si="125"/>
        <v>2.3702330807084238</v>
      </c>
      <c r="K120" s="122">
        <f t="shared" si="125"/>
        <v>3.4336375016471208</v>
      </c>
      <c r="L120" s="123">
        <f t="shared" si="125"/>
        <v>3.7832567646121245</v>
      </c>
      <c r="M120" s="123">
        <f t="shared" si="125"/>
        <v>3.1693472715979225</v>
      </c>
      <c r="N120" s="123">
        <f t="shared" si="125"/>
        <v>3.5362070788060898</v>
      </c>
      <c r="O120" s="123">
        <f t="shared" si="125"/>
        <v>3.3286540144375976</v>
      </c>
      <c r="P120" s="123">
        <f t="shared" si="125"/>
        <v>4.1881683374567302</v>
      </c>
      <c r="Q120" s="123">
        <f t="shared" si="125"/>
        <v>3.5239779883680322</v>
      </c>
      <c r="R120" s="123">
        <f t="shared" si="125"/>
        <v>4.2089326354119247</v>
      </c>
      <c r="S120" s="123">
        <f t="shared" si="125"/>
        <v>4.1731183803542979</v>
      </c>
      <c r="T120" s="143">
        <f>'Rendimientos Tendencial'!R6</f>
        <v>4.547800000000052</v>
      </c>
      <c r="U120" s="143">
        <f t="shared" ref="U120:BO120" si="126">T120*(1+$C$120)</f>
        <v>4.5693073041667187</v>
      </c>
      <c r="V120" s="143">
        <f t="shared" si="126"/>
        <v>4.5909163199593408</v>
      </c>
      <c r="W120" s="143">
        <f t="shared" si="126"/>
        <v>4.6126275283891482</v>
      </c>
      <c r="X120" s="143">
        <f t="shared" si="126"/>
        <v>4.6344414127421549</v>
      </c>
      <c r="Y120" s="143">
        <f t="shared" si="126"/>
        <v>4.6563584585899145</v>
      </c>
      <c r="Z120" s="143">
        <f t="shared" si="126"/>
        <v>4.6783791538003294</v>
      </c>
      <c r="AA120" s="143">
        <f t="shared" si="126"/>
        <v>4.70050398854851</v>
      </c>
      <c r="AB120" s="143">
        <f t="shared" si="126"/>
        <v>4.7227334553276874</v>
      </c>
      <c r="AC120" s="143">
        <f t="shared" si="126"/>
        <v>4.7450680489601744</v>
      </c>
      <c r="AD120" s="143">
        <f t="shared" si="126"/>
        <v>4.7675082666083819</v>
      </c>
      <c r="AE120" s="143">
        <f t="shared" si="126"/>
        <v>4.7900546077858843</v>
      </c>
      <c r="AF120" s="143">
        <f t="shared" si="126"/>
        <v>4.8127075743685381</v>
      </c>
      <c r="AG120" s="143">
        <f t="shared" si="126"/>
        <v>4.8354676706056559</v>
      </c>
      <c r="AH120" s="143">
        <f t="shared" si="126"/>
        <v>4.8583354031312282</v>
      </c>
      <c r="AI120" s="143">
        <f t="shared" si="126"/>
        <v>4.8813112809752033</v>
      </c>
      <c r="AJ120" s="143">
        <f t="shared" si="126"/>
        <v>4.9043958155748149</v>
      </c>
      <c r="AK120" s="143">
        <f t="shared" si="126"/>
        <v>4.927589520785971</v>
      </c>
      <c r="AL120" s="143">
        <f t="shared" si="126"/>
        <v>4.9508929128946884</v>
      </c>
      <c r="AM120" s="143">
        <f t="shared" si="126"/>
        <v>4.974306510628586</v>
      </c>
      <c r="AN120" s="143">
        <f t="shared" si="126"/>
        <v>4.9978308351684335</v>
      </c>
      <c r="AO120" s="143">
        <f t="shared" si="126"/>
        <v>5.0214664101597508</v>
      </c>
      <c r="AP120" s="143">
        <f t="shared" si="126"/>
        <v>5.0452137617244643</v>
      </c>
      <c r="AQ120" s="143">
        <f t="shared" si="126"/>
        <v>5.0690734184726196</v>
      </c>
      <c r="AR120" s="143">
        <f>AQ120*(1+$C$120)</f>
        <v>5.093045911514146</v>
      </c>
      <c r="AS120" s="143">
        <f t="shared" si="126"/>
        <v>5.1171317744706819</v>
      </c>
      <c r="AT120" s="143">
        <f t="shared" si="126"/>
        <v>5.1413315434874498</v>
      </c>
      <c r="AU120" s="143">
        <f t="shared" si="126"/>
        <v>5.1656457572451924</v>
      </c>
      <c r="AV120" s="143">
        <f t="shared" si="126"/>
        <v>5.1900749569721647</v>
      </c>
      <c r="AW120" s="143">
        <f t="shared" si="126"/>
        <v>5.2146196864561789</v>
      </c>
      <c r="AX120" s="143">
        <f t="shared" si="126"/>
        <v>5.2392804920567109</v>
      </c>
      <c r="AY120" s="143">
        <f t="shared" si="126"/>
        <v>5.2640579227170621</v>
      </c>
      <c r="AZ120" s="143">
        <f t="shared" si="126"/>
        <v>5.2889525299765783</v>
      </c>
      <c r="BA120" s="143">
        <f t="shared" si="126"/>
        <v>5.3139648679829259</v>
      </c>
      <c r="BB120" s="143">
        <f t="shared" si="126"/>
        <v>5.3390954935044288</v>
      </c>
      <c r="BC120" s="143">
        <f t="shared" si="126"/>
        <v>5.3643449659424602</v>
      </c>
      <c r="BD120" s="143">
        <f t="shared" si="126"/>
        <v>5.3897138473438968</v>
      </c>
      <c r="BE120" s="143">
        <f t="shared" si="126"/>
        <v>5.4152027024136276</v>
      </c>
      <c r="BF120" s="143">
        <f t="shared" si="126"/>
        <v>5.4408120985271253</v>
      </c>
      <c r="BG120" s="143">
        <f t="shared" si="126"/>
        <v>5.4665426057430766</v>
      </c>
      <c r="BH120" s="143">
        <f t="shared" si="126"/>
        <v>5.49239479681607</v>
      </c>
      <c r="BI120" s="143">
        <f t="shared" si="126"/>
        <v>5.5183692472093462</v>
      </c>
      <c r="BJ120" s="143">
        <f t="shared" si="126"/>
        <v>5.544466535107607</v>
      </c>
      <c r="BK120" s="143">
        <f t="shared" si="126"/>
        <v>5.5706872414298871</v>
      </c>
      <c r="BL120" s="143">
        <f t="shared" si="126"/>
        <v>5.5970319498424823</v>
      </c>
      <c r="BM120" s="143">
        <f t="shared" si="126"/>
        <v>5.6235012467719461</v>
      </c>
      <c r="BN120" s="143">
        <f t="shared" si="126"/>
        <v>5.6500957214181389</v>
      </c>
      <c r="BO120" s="143">
        <f t="shared" si="126"/>
        <v>5.6768159657673456</v>
      </c>
      <c r="BP120" s="114"/>
      <c r="BQ120" s="103"/>
    </row>
    <row r="121" spans="1:69" x14ac:dyDescent="0.3">
      <c r="A121" s="388"/>
      <c r="B121" s="146">
        <v>13.5</v>
      </c>
      <c r="C121" s="84">
        <f t="shared" si="120"/>
        <v>2.8124999999999999E-3</v>
      </c>
      <c r="D121" s="359"/>
      <c r="E121" s="115"/>
      <c r="F121" s="117" t="s">
        <v>380</v>
      </c>
      <c r="G121" s="122">
        <f t="shared" ref="G121:S121" si="127">G103/G63</f>
        <v>14.73093301361226</v>
      </c>
      <c r="H121" s="122">
        <f t="shared" si="127"/>
        <v>10.349596103646171</v>
      </c>
      <c r="I121" s="122">
        <f t="shared" si="127"/>
        <v>13.340103133277603</v>
      </c>
      <c r="J121" s="122">
        <f t="shared" si="127"/>
        <v>10.587242326340178</v>
      </c>
      <c r="K121" s="122">
        <f t="shared" si="127"/>
        <v>12.7513593200275</v>
      </c>
      <c r="L121" s="123">
        <f t="shared" si="127"/>
        <v>14.381813923531821</v>
      </c>
      <c r="M121" s="123">
        <f t="shared" si="127"/>
        <v>11.84081580054503</v>
      </c>
      <c r="N121" s="123">
        <f t="shared" si="127"/>
        <v>12.585838212469072</v>
      </c>
      <c r="O121" s="123">
        <f t="shared" si="127"/>
        <v>12.438520820496334</v>
      </c>
      <c r="P121" s="123">
        <f t="shared" si="127"/>
        <v>11.328309474983575</v>
      </c>
      <c r="Q121" s="123">
        <f t="shared" si="127"/>
        <v>12.979917121648652</v>
      </c>
      <c r="R121" s="123">
        <f t="shared" si="127"/>
        <v>15.85832858013886</v>
      </c>
      <c r="S121" s="123">
        <f t="shared" si="127"/>
        <v>16.242640757806406</v>
      </c>
      <c r="T121" s="143">
        <f>'Rendimientos Tendencial'!R7</f>
        <v>14.440600000000018</v>
      </c>
      <c r="U121" s="143">
        <f t="shared" ref="U121:BO121" si="128">T121*(1+$C$121)</f>
        <v>14.481214187500019</v>
      </c>
      <c r="V121" s="143">
        <f t="shared" si="128"/>
        <v>14.521942602402364</v>
      </c>
      <c r="W121" s="143">
        <f t="shared" si="128"/>
        <v>14.562785565971621</v>
      </c>
      <c r="X121" s="143">
        <f t="shared" si="128"/>
        <v>14.603743400375919</v>
      </c>
      <c r="Y121" s="143">
        <f t="shared" si="128"/>
        <v>14.644816428689477</v>
      </c>
      <c r="Z121" s="143">
        <f t="shared" si="128"/>
        <v>14.686004974895168</v>
      </c>
      <c r="AA121" s="143">
        <f t="shared" si="128"/>
        <v>14.727309363887063</v>
      </c>
      <c r="AB121" s="143">
        <f t="shared" si="128"/>
        <v>14.768729921472996</v>
      </c>
      <c r="AC121" s="143">
        <f t="shared" si="128"/>
        <v>14.810266974377141</v>
      </c>
      <c r="AD121" s="143">
        <f t="shared" si="128"/>
        <v>14.851920850242578</v>
      </c>
      <c r="AE121" s="143">
        <f t="shared" si="128"/>
        <v>14.893691877633888</v>
      </c>
      <c r="AF121" s="143">
        <f t="shared" si="128"/>
        <v>14.935580386039735</v>
      </c>
      <c r="AG121" s="143">
        <f t="shared" si="128"/>
        <v>14.977586705875474</v>
      </c>
      <c r="AH121" s="143">
        <f t="shared" si="128"/>
        <v>15.019711168485751</v>
      </c>
      <c r="AI121" s="143">
        <f t="shared" si="128"/>
        <v>15.061954106147118</v>
      </c>
      <c r="AJ121" s="143">
        <f t="shared" si="128"/>
        <v>15.104315852070659</v>
      </c>
      <c r="AK121" s="143">
        <f t="shared" si="128"/>
        <v>15.146796740404609</v>
      </c>
      <c r="AL121" s="143">
        <f t="shared" si="128"/>
        <v>15.189397106236999</v>
      </c>
      <c r="AM121" s="143">
        <f t="shared" si="128"/>
        <v>15.232117285598292</v>
      </c>
      <c r="AN121" s="143">
        <f t="shared" si="128"/>
        <v>15.274957615464039</v>
      </c>
      <c r="AO121" s="143">
        <f t="shared" si="128"/>
        <v>15.317918433757534</v>
      </c>
      <c r="AP121" s="143">
        <f t="shared" si="128"/>
        <v>15.361000079352479</v>
      </c>
      <c r="AQ121" s="143">
        <f t="shared" si="128"/>
        <v>15.404202892075659</v>
      </c>
      <c r="AR121" s="143">
        <f t="shared" si="128"/>
        <v>15.447527212709623</v>
      </c>
      <c r="AS121" s="143">
        <f t="shared" si="128"/>
        <v>15.490973382995371</v>
      </c>
      <c r="AT121" s="143">
        <f t="shared" si="128"/>
        <v>15.534541745635048</v>
      </c>
      <c r="AU121" s="143">
        <f t="shared" si="128"/>
        <v>15.578232644294648</v>
      </c>
      <c r="AV121" s="143">
        <f t="shared" si="128"/>
        <v>15.622046423606728</v>
      </c>
      <c r="AW121" s="143">
        <f t="shared" si="128"/>
        <v>15.665983429173123</v>
      </c>
      <c r="AX121" s="143">
        <f t="shared" si="128"/>
        <v>15.710044007567674</v>
      </c>
      <c r="AY121" s="143">
        <f t="shared" si="128"/>
        <v>15.75422850633896</v>
      </c>
      <c r="AZ121" s="143">
        <f t="shared" si="128"/>
        <v>15.798537274013039</v>
      </c>
      <c r="BA121" s="143">
        <f t="shared" si="128"/>
        <v>15.842970660096203</v>
      </c>
      <c r="BB121" s="143">
        <f t="shared" si="128"/>
        <v>15.887529015077725</v>
      </c>
      <c r="BC121" s="143">
        <f t="shared" si="128"/>
        <v>15.932212690432632</v>
      </c>
      <c r="BD121" s="143">
        <f t="shared" si="128"/>
        <v>15.977022038624476</v>
      </c>
      <c r="BE121" s="143">
        <f t="shared" si="128"/>
        <v>16.021957413108108</v>
      </c>
      <c r="BF121" s="143">
        <f t="shared" si="128"/>
        <v>16.067019168332475</v>
      </c>
      <c r="BG121" s="143">
        <f t="shared" si="128"/>
        <v>16.112207659743412</v>
      </c>
      <c r="BH121" s="143">
        <f t="shared" si="128"/>
        <v>16.157523243786443</v>
      </c>
      <c r="BI121" s="143">
        <f t="shared" si="128"/>
        <v>16.202966277909592</v>
      </c>
      <c r="BJ121" s="143">
        <f t="shared" si="128"/>
        <v>16.248537120566215</v>
      </c>
      <c r="BK121" s="143">
        <f t="shared" si="128"/>
        <v>16.294236131217811</v>
      </c>
      <c r="BL121" s="143">
        <f t="shared" si="128"/>
        <v>16.340063670336864</v>
      </c>
      <c r="BM121" s="143">
        <f t="shared" si="128"/>
        <v>16.386020099409688</v>
      </c>
      <c r="BN121" s="143">
        <f t="shared" si="128"/>
        <v>16.432105780939278</v>
      </c>
      <c r="BO121" s="143">
        <f t="shared" si="128"/>
        <v>16.478321078448172</v>
      </c>
      <c r="BP121" s="114"/>
      <c r="BQ121" s="103"/>
    </row>
    <row r="122" spans="1:69" x14ac:dyDescent="0.3">
      <c r="A122" s="388"/>
      <c r="B122" s="146">
        <v>-5</v>
      </c>
      <c r="C122" s="84">
        <f t="shared" si="120"/>
        <v>-1.0416666666666667E-3</v>
      </c>
      <c r="D122" s="359" t="s">
        <v>494</v>
      </c>
      <c r="E122" s="115"/>
      <c r="F122" s="117" t="s">
        <v>381</v>
      </c>
      <c r="G122" s="127">
        <v>0</v>
      </c>
      <c r="H122" s="127">
        <v>0</v>
      </c>
      <c r="I122" s="127">
        <v>0</v>
      </c>
      <c r="J122" s="127">
        <v>0</v>
      </c>
      <c r="K122" s="122">
        <f t="shared" ref="K122:S122" si="129">K104/K64</f>
        <v>1.2324546517328507</v>
      </c>
      <c r="L122" s="123">
        <f t="shared" si="129"/>
        <v>1.4536522473658471</v>
      </c>
      <c r="M122" s="123">
        <f t="shared" si="129"/>
        <v>1.5901065449010654</v>
      </c>
      <c r="N122" s="123">
        <f t="shared" si="129"/>
        <v>1.249277327718497</v>
      </c>
      <c r="O122" s="123">
        <f t="shared" si="129"/>
        <v>1.1024466153713151</v>
      </c>
      <c r="P122" s="123">
        <f t="shared" si="129"/>
        <v>1.4624352331606219</v>
      </c>
      <c r="Q122" s="123">
        <f t="shared" si="129"/>
        <v>1.3839040747891473</v>
      </c>
      <c r="R122" s="123">
        <f t="shared" si="129"/>
        <v>1.0675280480672091</v>
      </c>
      <c r="S122" s="123">
        <f t="shared" si="129"/>
        <v>1.3319627503096654</v>
      </c>
      <c r="T122" s="143">
        <f>'Rendimientos Tendencial'!R8</f>
        <v>1.2250000000000014</v>
      </c>
      <c r="U122" s="143">
        <f t="shared" ref="U122:BO122" si="130">T122*(1+$C$122)</f>
        <v>1.2237239583333346</v>
      </c>
      <c r="V122" s="143">
        <f t="shared" si="130"/>
        <v>1.2224492458767373</v>
      </c>
      <c r="W122" s="143">
        <f t="shared" si="130"/>
        <v>1.2211758612456156</v>
      </c>
      <c r="X122" s="143">
        <f t="shared" si="130"/>
        <v>1.2199038030568181</v>
      </c>
      <c r="Y122" s="143">
        <f t="shared" si="130"/>
        <v>1.2186330699286338</v>
      </c>
      <c r="Z122" s="143">
        <f t="shared" si="130"/>
        <v>1.2173636604807914</v>
      </c>
      <c r="AA122" s="143">
        <f t="shared" si="130"/>
        <v>1.2160955733344572</v>
      </c>
      <c r="AB122" s="143">
        <f t="shared" si="130"/>
        <v>1.2148288071122337</v>
      </c>
      <c r="AC122" s="143">
        <f t="shared" si="130"/>
        <v>1.2135633604381584</v>
      </c>
      <c r="AD122" s="143">
        <f t="shared" si="130"/>
        <v>1.2122992319377019</v>
      </c>
      <c r="AE122" s="143">
        <f t="shared" si="130"/>
        <v>1.2110364202377668</v>
      </c>
      <c r="AF122" s="143">
        <f t="shared" si="130"/>
        <v>1.2097749239666857</v>
      </c>
      <c r="AG122" s="143">
        <f t="shared" si="130"/>
        <v>1.2085147417542204</v>
      </c>
      <c r="AH122" s="143">
        <f t="shared" si="130"/>
        <v>1.2072558722315596</v>
      </c>
      <c r="AI122" s="143">
        <f t="shared" si="130"/>
        <v>1.2059983140313184</v>
      </c>
      <c r="AJ122" s="143">
        <f t="shared" si="130"/>
        <v>1.2047420657875356</v>
      </c>
      <c r="AK122" s="143">
        <f t="shared" si="130"/>
        <v>1.2034871261356734</v>
      </c>
      <c r="AL122" s="143">
        <f t="shared" si="130"/>
        <v>1.2022334937126153</v>
      </c>
      <c r="AM122" s="143">
        <f t="shared" si="130"/>
        <v>1.2009811671566646</v>
      </c>
      <c r="AN122" s="143">
        <f t="shared" si="130"/>
        <v>1.1997301451075431</v>
      </c>
      <c r="AO122" s="143">
        <f t="shared" si="130"/>
        <v>1.1984804262063893</v>
      </c>
      <c r="AP122" s="143">
        <f t="shared" si="130"/>
        <v>1.1972320090957576</v>
      </c>
      <c r="AQ122" s="143">
        <f t="shared" si="130"/>
        <v>1.1959848924196161</v>
      </c>
      <c r="AR122" s="143">
        <f t="shared" si="130"/>
        <v>1.1947390748233457</v>
      </c>
      <c r="AS122" s="143">
        <f t="shared" si="130"/>
        <v>1.1934945549537381</v>
      </c>
      <c r="AT122" s="143">
        <f t="shared" si="130"/>
        <v>1.1922513314589946</v>
      </c>
      <c r="AU122" s="143">
        <f t="shared" si="130"/>
        <v>1.1910094029887248</v>
      </c>
      <c r="AV122" s="143">
        <f t="shared" si="130"/>
        <v>1.1897687681939448</v>
      </c>
      <c r="AW122" s="143">
        <f t="shared" si="130"/>
        <v>1.188529425727076</v>
      </c>
      <c r="AX122" s="143">
        <f t="shared" si="130"/>
        <v>1.1872913742419435</v>
      </c>
      <c r="AY122" s="143">
        <f t="shared" si="130"/>
        <v>1.1860546123937747</v>
      </c>
      <c r="AZ122" s="143">
        <f t="shared" si="130"/>
        <v>1.1848191388391978</v>
      </c>
      <c r="BA122" s="143">
        <f t="shared" si="130"/>
        <v>1.1835849522362403</v>
      </c>
      <c r="BB122" s="143">
        <f t="shared" si="130"/>
        <v>1.1823520512443275</v>
      </c>
      <c r="BC122" s="143">
        <f t="shared" si="130"/>
        <v>1.1811204345242814</v>
      </c>
      <c r="BD122" s="143">
        <f t="shared" si="130"/>
        <v>1.1798901007383185</v>
      </c>
      <c r="BE122" s="143">
        <f t="shared" si="130"/>
        <v>1.1786610485500493</v>
      </c>
      <c r="BF122" s="143">
        <f t="shared" si="130"/>
        <v>1.1774332766244762</v>
      </c>
      <c r="BG122" s="143">
        <f t="shared" si="130"/>
        <v>1.1762067836279924</v>
      </c>
      <c r="BH122" s="143">
        <f t="shared" si="130"/>
        <v>1.1749815682283797</v>
      </c>
      <c r="BI122" s="143">
        <f t="shared" si="130"/>
        <v>1.1737576290948084</v>
      </c>
      <c r="BJ122" s="143">
        <f t="shared" si="130"/>
        <v>1.1725349648978345</v>
      </c>
      <c r="BK122" s="143">
        <f t="shared" si="130"/>
        <v>1.1713135743093992</v>
      </c>
      <c r="BL122" s="143">
        <f t="shared" si="130"/>
        <v>1.1700934560028269</v>
      </c>
      <c r="BM122" s="143">
        <f t="shared" si="130"/>
        <v>1.1688746086528239</v>
      </c>
      <c r="BN122" s="143">
        <f t="shared" si="130"/>
        <v>1.1676570309354772</v>
      </c>
      <c r="BO122" s="143">
        <f t="shared" si="130"/>
        <v>1.1664407215282526</v>
      </c>
      <c r="BP122" s="114"/>
      <c r="BQ122" s="103"/>
    </row>
    <row r="123" spans="1:69" x14ac:dyDescent="0.3">
      <c r="A123" s="388"/>
      <c r="B123" s="146">
        <v>-5</v>
      </c>
      <c r="C123" s="84">
        <f t="shared" si="120"/>
        <v>-1.0416666666666667E-3</v>
      </c>
      <c r="D123" s="359" t="s">
        <v>494</v>
      </c>
      <c r="E123" s="115"/>
      <c r="F123" s="117" t="s">
        <v>382</v>
      </c>
      <c r="G123" s="127">
        <v>0</v>
      </c>
      <c r="H123" s="127">
        <v>0</v>
      </c>
      <c r="I123" s="127">
        <v>0</v>
      </c>
      <c r="J123" s="127">
        <v>0</v>
      </c>
      <c r="K123" s="127">
        <v>0</v>
      </c>
      <c r="L123" s="123">
        <f t="shared" ref="L123:S129" si="131">L105/L65</f>
        <v>6.047940658034979</v>
      </c>
      <c r="M123" s="123">
        <f t="shared" si="131"/>
        <v>6.093985677686832</v>
      </c>
      <c r="N123" s="123">
        <f t="shared" si="131"/>
        <v>8.9120786323933672</v>
      </c>
      <c r="O123" s="123">
        <f t="shared" si="131"/>
        <v>7.2669508271541199</v>
      </c>
      <c r="P123" s="123">
        <f t="shared" si="131"/>
        <v>6.6780970695565829</v>
      </c>
      <c r="Q123" s="123">
        <f t="shared" si="131"/>
        <v>6.8088875134981564</v>
      </c>
      <c r="R123" s="123">
        <f t="shared" si="131"/>
        <v>6.5500556145042585</v>
      </c>
      <c r="S123" s="123">
        <f t="shared" si="131"/>
        <v>6.0555524976594723</v>
      </c>
      <c r="T123" s="143">
        <f>'Rendimientos Tendencial'!R9</f>
        <v>6.6410999999999945</v>
      </c>
      <c r="U123" s="143">
        <f t="shared" ref="U123:BO123" si="132">T123*(1+$C$123)</f>
        <v>6.6341821874999942</v>
      </c>
      <c r="V123" s="143">
        <f t="shared" si="132"/>
        <v>6.6272715810546812</v>
      </c>
      <c r="W123" s="143">
        <f t="shared" si="132"/>
        <v>6.6203681731577486</v>
      </c>
      <c r="X123" s="143">
        <f t="shared" si="132"/>
        <v>6.6134719563107094</v>
      </c>
      <c r="Y123" s="143">
        <f t="shared" si="132"/>
        <v>6.6065829230228852</v>
      </c>
      <c r="Z123" s="143">
        <f t="shared" si="132"/>
        <v>6.599701065811403</v>
      </c>
      <c r="AA123" s="143">
        <f t="shared" si="132"/>
        <v>6.5928263772011828</v>
      </c>
      <c r="AB123" s="143">
        <f t="shared" si="132"/>
        <v>6.5859588497249311</v>
      </c>
      <c r="AC123" s="143">
        <f t="shared" si="132"/>
        <v>6.5790984759231339</v>
      </c>
      <c r="AD123" s="143">
        <f t="shared" si="132"/>
        <v>6.5722452483440472</v>
      </c>
      <c r="AE123" s="143">
        <f t="shared" si="132"/>
        <v>6.5653991595436887</v>
      </c>
      <c r="AF123" s="143">
        <f t="shared" si="132"/>
        <v>6.5585602020858307</v>
      </c>
      <c r="AG123" s="143">
        <f t="shared" si="132"/>
        <v>6.5517283685419914</v>
      </c>
      <c r="AH123" s="143">
        <f t="shared" si="132"/>
        <v>6.5449036514914267</v>
      </c>
      <c r="AI123" s="143">
        <f t="shared" si="132"/>
        <v>6.5380860435211225</v>
      </c>
      <c r="AJ123" s="143">
        <f t="shared" si="132"/>
        <v>6.5312755372257874</v>
      </c>
      <c r="AK123" s="143">
        <f t="shared" si="132"/>
        <v>6.5244721252078435</v>
      </c>
      <c r="AL123" s="143">
        <f t="shared" si="132"/>
        <v>6.5176758000774182</v>
      </c>
      <c r="AM123" s="143">
        <f t="shared" si="132"/>
        <v>6.5108865544523375</v>
      </c>
      <c r="AN123" s="143">
        <f t="shared" si="132"/>
        <v>6.5041043809581156</v>
      </c>
      <c r="AO123" s="143">
        <f t="shared" si="132"/>
        <v>6.497329272227951</v>
      </c>
      <c r="AP123" s="143">
        <f t="shared" si="132"/>
        <v>6.4905612209027135</v>
      </c>
      <c r="AQ123" s="143">
        <f t="shared" si="132"/>
        <v>6.4838002196309397</v>
      </c>
      <c r="AR123" s="143">
        <f t="shared" si="132"/>
        <v>6.477046261068824</v>
      </c>
      <c r="AS123" s="143">
        <f t="shared" si="132"/>
        <v>6.4702993378802107</v>
      </c>
      <c r="AT123" s="143">
        <f t="shared" si="132"/>
        <v>6.4635594427365852</v>
      </c>
      <c r="AU123" s="143">
        <f t="shared" si="132"/>
        <v>6.4568265683170676</v>
      </c>
      <c r="AV123" s="143">
        <f t="shared" si="132"/>
        <v>6.4501007073084038</v>
      </c>
      <c r="AW123" s="143">
        <f t="shared" si="132"/>
        <v>6.4433818524049569</v>
      </c>
      <c r="AX123" s="143">
        <f t="shared" si="132"/>
        <v>6.4366699963087015</v>
      </c>
      <c r="AY123" s="143">
        <f t="shared" si="132"/>
        <v>6.4299651317292126</v>
      </c>
      <c r="AZ123" s="143">
        <f t="shared" si="132"/>
        <v>6.4232672513836606</v>
      </c>
      <c r="BA123" s="143">
        <f t="shared" si="132"/>
        <v>6.4165763479968021</v>
      </c>
      <c r="BB123" s="143">
        <f t="shared" si="132"/>
        <v>6.4098924143009715</v>
      </c>
      <c r="BC123" s="143">
        <f t="shared" si="132"/>
        <v>6.4032154430360739</v>
      </c>
      <c r="BD123" s="143">
        <f t="shared" si="132"/>
        <v>6.3965454269495776</v>
      </c>
      <c r="BE123" s="143">
        <f t="shared" si="132"/>
        <v>6.3898823587965046</v>
      </c>
      <c r="BF123" s="143">
        <f t="shared" si="132"/>
        <v>6.3832262313394246</v>
      </c>
      <c r="BG123" s="143">
        <f t="shared" si="132"/>
        <v>6.3765770373484454</v>
      </c>
      <c r="BH123" s="143">
        <f t="shared" si="132"/>
        <v>6.3699347696012074</v>
      </c>
      <c r="BI123" s="143">
        <f t="shared" si="132"/>
        <v>6.3632994208828721</v>
      </c>
      <c r="BJ123" s="143">
        <f t="shared" si="132"/>
        <v>6.3566709839861186</v>
      </c>
      <c r="BK123" s="143">
        <f t="shared" si="132"/>
        <v>6.3500494517111328</v>
      </c>
      <c r="BL123" s="143">
        <f t="shared" si="132"/>
        <v>6.3434348168656003</v>
      </c>
      <c r="BM123" s="143">
        <f t="shared" si="132"/>
        <v>6.3368270722646987</v>
      </c>
      <c r="BN123" s="143">
        <f t="shared" si="132"/>
        <v>6.3302262107310892</v>
      </c>
      <c r="BO123" s="143">
        <f t="shared" si="132"/>
        <v>6.3236322250949106</v>
      </c>
      <c r="BP123" s="114"/>
      <c r="BQ123" s="103"/>
    </row>
    <row r="124" spans="1:69" x14ac:dyDescent="0.3">
      <c r="A124" s="388"/>
      <c r="B124" s="144">
        <v>5</v>
      </c>
      <c r="C124" s="84">
        <f t="shared" si="120"/>
        <v>1.0416666666666667E-3</v>
      </c>
      <c r="D124" s="359"/>
      <c r="E124" s="115"/>
      <c r="F124" s="117" t="s">
        <v>383</v>
      </c>
      <c r="G124" s="122">
        <f t="shared" ref="G124:K128" si="133">G106/G66</f>
        <v>0.56324422784393136</v>
      </c>
      <c r="H124" s="122">
        <f t="shared" si="133"/>
        <v>0.47573853669445859</v>
      </c>
      <c r="I124" s="122">
        <f t="shared" si="133"/>
        <v>0.44091837615444374</v>
      </c>
      <c r="J124" s="122">
        <f t="shared" si="133"/>
        <v>0.47152204764954853</v>
      </c>
      <c r="K124" s="122">
        <f t="shared" si="133"/>
        <v>1.0091035634743875</v>
      </c>
      <c r="L124" s="123">
        <f t="shared" si="131"/>
        <v>0.92935231023102294</v>
      </c>
      <c r="M124" s="123">
        <f t="shared" si="131"/>
        <v>1.2240164464413019</v>
      </c>
      <c r="N124" s="123">
        <f t="shared" si="131"/>
        <v>0.89776575095986288</v>
      </c>
      <c r="O124" s="123">
        <f t="shared" si="131"/>
        <v>1.5238912143461654</v>
      </c>
      <c r="P124" s="123">
        <f t="shared" si="131"/>
        <v>1.3219387271175187</v>
      </c>
      <c r="Q124" s="123">
        <f t="shared" si="131"/>
        <v>1.7401309130170726</v>
      </c>
      <c r="R124" s="123">
        <f t="shared" si="131"/>
        <v>1.4155396702730552</v>
      </c>
      <c r="S124" s="123">
        <f t="shared" si="131"/>
        <v>1.5271258192396591</v>
      </c>
      <c r="T124" s="143">
        <f>'Rendimientos Tendencial'!R10</f>
        <v>1.8811000000000035</v>
      </c>
      <c r="U124" s="143">
        <f t="shared" ref="U124:BO124" si="134">T124*(1+$C$124)</f>
        <v>1.8830594791666702</v>
      </c>
      <c r="V124" s="143">
        <f t="shared" si="134"/>
        <v>1.8850209994574687</v>
      </c>
      <c r="W124" s="143">
        <f t="shared" si="134"/>
        <v>1.8869845629985702</v>
      </c>
      <c r="X124" s="143">
        <f t="shared" si="134"/>
        <v>1.8889501719183603</v>
      </c>
      <c r="Y124" s="143">
        <f t="shared" si="134"/>
        <v>1.8909178283474419</v>
      </c>
      <c r="Z124" s="143">
        <f t="shared" si="134"/>
        <v>1.8928875344186371</v>
      </c>
      <c r="AA124" s="143">
        <f t="shared" si="134"/>
        <v>1.8948592922669898</v>
      </c>
      <c r="AB124" s="143">
        <f t="shared" si="134"/>
        <v>1.8968331040297679</v>
      </c>
      <c r="AC124" s="143">
        <f t="shared" si="134"/>
        <v>1.8988089718464654</v>
      </c>
      <c r="AD124" s="143">
        <f t="shared" si="134"/>
        <v>1.9007868978588054</v>
      </c>
      <c r="AE124" s="143">
        <f t="shared" si="134"/>
        <v>1.9027668842107415</v>
      </c>
      <c r="AF124" s="143">
        <f t="shared" si="134"/>
        <v>1.9047489330484608</v>
      </c>
      <c r="AG124" s="143">
        <f t="shared" si="134"/>
        <v>1.9067330465203862</v>
      </c>
      <c r="AH124" s="143">
        <f t="shared" si="134"/>
        <v>1.9087192267771782</v>
      </c>
      <c r="AI124" s="143">
        <f t="shared" si="134"/>
        <v>1.9107074759717377</v>
      </c>
      <c r="AJ124" s="143">
        <f t="shared" si="134"/>
        <v>1.9126977962592082</v>
      </c>
      <c r="AK124" s="143">
        <f t="shared" si="134"/>
        <v>1.9146901897969781</v>
      </c>
      <c r="AL124" s="143">
        <f t="shared" si="134"/>
        <v>1.9166846587446833</v>
      </c>
      <c r="AM124" s="143">
        <f t="shared" si="134"/>
        <v>1.9186812052642088</v>
      </c>
      <c r="AN124" s="143">
        <f t="shared" si="134"/>
        <v>1.9206798315196922</v>
      </c>
      <c r="AO124" s="143">
        <f t="shared" si="134"/>
        <v>1.9226805396775251</v>
      </c>
      <c r="AP124" s="143">
        <f t="shared" si="134"/>
        <v>1.9246833319063557</v>
      </c>
      <c r="AQ124" s="143">
        <f t="shared" si="134"/>
        <v>1.9266882103770913</v>
      </c>
      <c r="AR124" s="143">
        <f t="shared" si="134"/>
        <v>1.9286951772629006</v>
      </c>
      <c r="AS124" s="143">
        <f t="shared" si="134"/>
        <v>1.930704234739216</v>
      </c>
      <c r="AT124" s="143">
        <f t="shared" si="134"/>
        <v>1.932715384983736</v>
      </c>
      <c r="AU124" s="143">
        <f t="shared" si="134"/>
        <v>1.9347286301764273</v>
      </c>
      <c r="AV124" s="143">
        <f t="shared" si="134"/>
        <v>1.9367439724995277</v>
      </c>
      <c r="AW124" s="143">
        <f t="shared" si="134"/>
        <v>1.938761414137548</v>
      </c>
      <c r="AX124" s="143">
        <f t="shared" si="134"/>
        <v>1.9407809572772745</v>
      </c>
      <c r="AY124" s="143">
        <f t="shared" si="134"/>
        <v>1.9428026041077715</v>
      </c>
      <c r="AZ124" s="143">
        <f t="shared" si="134"/>
        <v>1.9448263568203836</v>
      </c>
      <c r="BA124" s="143">
        <f t="shared" si="134"/>
        <v>1.9468522176087382</v>
      </c>
      <c r="BB124" s="143">
        <f t="shared" si="134"/>
        <v>1.9488801886687472</v>
      </c>
      <c r="BC124" s="143">
        <f t="shared" si="134"/>
        <v>1.9509102721986105</v>
      </c>
      <c r="BD124" s="143">
        <f t="shared" si="134"/>
        <v>1.9529424703988172</v>
      </c>
      <c r="BE124" s="143">
        <f t="shared" si="134"/>
        <v>1.9549767854721491</v>
      </c>
      <c r="BF124" s="143">
        <f t="shared" si="134"/>
        <v>1.9570132196236825</v>
      </c>
      <c r="BG124" s="143">
        <f t="shared" si="134"/>
        <v>1.9590517750607903</v>
      </c>
      <c r="BH124" s="143">
        <f t="shared" si="134"/>
        <v>1.9610924539931451</v>
      </c>
      <c r="BI124" s="143">
        <f t="shared" si="134"/>
        <v>1.9631352586327213</v>
      </c>
      <c r="BJ124" s="143">
        <f t="shared" si="134"/>
        <v>1.9651801911937969</v>
      </c>
      <c r="BK124" s="143">
        <f t="shared" si="134"/>
        <v>1.9672272538929569</v>
      </c>
      <c r="BL124" s="143">
        <f t="shared" si="134"/>
        <v>1.9692764489490953</v>
      </c>
      <c r="BM124" s="143">
        <f t="shared" si="134"/>
        <v>1.9713277785834171</v>
      </c>
      <c r="BN124" s="143">
        <f t="shared" si="134"/>
        <v>1.9733812450194415</v>
      </c>
      <c r="BO124" s="143">
        <f t="shared" si="134"/>
        <v>1.9754368504830033</v>
      </c>
      <c r="BP124" s="114"/>
      <c r="BQ124" s="103"/>
    </row>
    <row r="125" spans="1:69" x14ac:dyDescent="0.3">
      <c r="A125" s="388"/>
      <c r="B125" s="144">
        <v>5</v>
      </c>
      <c r="C125" s="84">
        <f t="shared" si="120"/>
        <v>1.0416666666666667E-3</v>
      </c>
      <c r="D125" s="359"/>
      <c r="E125" s="115"/>
      <c r="F125" s="117" t="s">
        <v>384</v>
      </c>
      <c r="G125" s="122">
        <f t="shared" si="133"/>
        <v>0.75451915088664168</v>
      </c>
      <c r="H125" s="122">
        <f t="shared" si="133"/>
        <v>0.86984045875205818</v>
      </c>
      <c r="I125" s="122">
        <f t="shared" si="133"/>
        <v>0.62762476138532863</v>
      </c>
      <c r="J125" s="122">
        <f t="shared" si="133"/>
        <v>0.78062719387311064</v>
      </c>
      <c r="K125" s="122">
        <f t="shared" si="133"/>
        <v>0.97859439595774</v>
      </c>
      <c r="L125" s="123">
        <f t="shared" si="131"/>
        <v>1.1661005267562643</v>
      </c>
      <c r="M125" s="123">
        <f t="shared" si="131"/>
        <v>1.505259203606311</v>
      </c>
      <c r="N125" s="123">
        <f t="shared" si="131"/>
        <v>1.2425064833242869</v>
      </c>
      <c r="O125" s="123">
        <f t="shared" si="131"/>
        <v>1.4456936494957755</v>
      </c>
      <c r="P125" s="123">
        <f t="shared" si="131"/>
        <v>1.5515429187441045</v>
      </c>
      <c r="Q125" s="123">
        <f t="shared" si="131"/>
        <v>1.4557525951557093</v>
      </c>
      <c r="R125" s="123">
        <f t="shared" si="131"/>
        <v>1.4921974083264409</v>
      </c>
      <c r="S125" s="123">
        <f t="shared" si="131"/>
        <v>1.5130165472497585</v>
      </c>
      <c r="T125" s="143">
        <f>'Rendimientos Tendencial'!R11</f>
        <v>1.8078000000000145</v>
      </c>
      <c r="U125" s="143">
        <f t="shared" ref="U125:BO125" si="135">T125*(1+$C$125)</f>
        <v>1.8096831250000145</v>
      </c>
      <c r="V125" s="143">
        <f t="shared" si="135"/>
        <v>1.8115682115885561</v>
      </c>
      <c r="W125" s="143">
        <f t="shared" si="135"/>
        <v>1.8134552618089608</v>
      </c>
      <c r="X125" s="143">
        <f t="shared" si="135"/>
        <v>1.8153442777066784</v>
      </c>
      <c r="Y125" s="143">
        <f t="shared" si="135"/>
        <v>1.8172352613292895</v>
      </c>
      <c r="Z125" s="143">
        <f t="shared" si="135"/>
        <v>1.8191282147265073</v>
      </c>
      <c r="AA125" s="143">
        <f t="shared" si="135"/>
        <v>1.8210231399501806</v>
      </c>
      <c r="AB125" s="143">
        <f t="shared" si="135"/>
        <v>1.8229200390542952</v>
      </c>
      <c r="AC125" s="143">
        <f t="shared" si="135"/>
        <v>1.8248189140949767</v>
      </c>
      <c r="AD125" s="143">
        <f t="shared" si="135"/>
        <v>1.8267197671304922</v>
      </c>
      <c r="AE125" s="143">
        <f t="shared" si="135"/>
        <v>1.8286226002212531</v>
      </c>
      <c r="AF125" s="143">
        <f t="shared" si="135"/>
        <v>1.8305274154298168</v>
      </c>
      <c r="AG125" s="143">
        <f t="shared" si="135"/>
        <v>1.8324342148208894</v>
      </c>
      <c r="AH125" s="143">
        <f t="shared" si="135"/>
        <v>1.8343430004613277</v>
      </c>
      <c r="AI125" s="143">
        <f t="shared" si="135"/>
        <v>1.8362537744201415</v>
      </c>
      <c r="AJ125" s="143">
        <f t="shared" si="135"/>
        <v>1.8381665387684958</v>
      </c>
      <c r="AK125" s="143">
        <f t="shared" si="135"/>
        <v>1.8400812955797128</v>
      </c>
      <c r="AL125" s="143">
        <f t="shared" si="135"/>
        <v>1.8419980469292749</v>
      </c>
      <c r="AM125" s="143">
        <f t="shared" si="135"/>
        <v>1.8439167948948261</v>
      </c>
      <c r="AN125" s="143">
        <f t="shared" si="135"/>
        <v>1.8458375415561747</v>
      </c>
      <c r="AO125" s="143">
        <f t="shared" si="135"/>
        <v>1.8477602889952955</v>
      </c>
      <c r="AP125" s="143">
        <f t="shared" si="135"/>
        <v>1.8496850392963322</v>
      </c>
      <c r="AQ125" s="143">
        <f t="shared" si="135"/>
        <v>1.8516117945455992</v>
      </c>
      <c r="AR125" s="143">
        <f t="shared" si="135"/>
        <v>1.8535405568315841</v>
      </c>
      <c r="AS125" s="143">
        <f t="shared" si="135"/>
        <v>1.8554713282449502</v>
      </c>
      <c r="AT125" s="143">
        <f t="shared" si="135"/>
        <v>1.8574041108785386</v>
      </c>
      <c r="AU125" s="143">
        <f t="shared" si="135"/>
        <v>1.8593389068273702</v>
      </c>
      <c r="AV125" s="143">
        <f t="shared" si="135"/>
        <v>1.8612757181886486</v>
      </c>
      <c r="AW125" s="143">
        <f t="shared" si="135"/>
        <v>1.8632145470617616</v>
      </c>
      <c r="AX125" s="143">
        <f t="shared" si="135"/>
        <v>1.8651553955482842</v>
      </c>
      <c r="AY125" s="143">
        <f t="shared" si="135"/>
        <v>1.8670982657519803</v>
      </c>
      <c r="AZ125" s="143">
        <f t="shared" si="135"/>
        <v>1.8690431597788053</v>
      </c>
      <c r="BA125" s="143">
        <f t="shared" si="135"/>
        <v>1.8709900797369081</v>
      </c>
      <c r="BB125" s="143">
        <f t="shared" si="135"/>
        <v>1.872939027736634</v>
      </c>
      <c r="BC125" s="143">
        <f t="shared" si="135"/>
        <v>1.8748900058905262</v>
      </c>
      <c r="BD125" s="143">
        <f t="shared" si="135"/>
        <v>1.8768430163133287</v>
      </c>
      <c r="BE125" s="143">
        <f t="shared" si="135"/>
        <v>1.8787980611219883</v>
      </c>
      <c r="BF125" s="143">
        <f t="shared" si="135"/>
        <v>1.880755142435657</v>
      </c>
      <c r="BG125" s="143">
        <f t="shared" si="135"/>
        <v>1.8827142623756941</v>
      </c>
      <c r="BH125" s="143">
        <f t="shared" si="135"/>
        <v>1.8846754230656686</v>
      </c>
      <c r="BI125" s="143">
        <f t="shared" si="135"/>
        <v>1.8866386266313619</v>
      </c>
      <c r="BJ125" s="143">
        <f t="shared" si="135"/>
        <v>1.8886038752007694</v>
      </c>
      <c r="BK125" s="143">
        <f t="shared" si="135"/>
        <v>1.8905711709041035</v>
      </c>
      <c r="BL125" s="143">
        <f t="shared" si="135"/>
        <v>1.8925405158737951</v>
      </c>
      <c r="BM125" s="143">
        <f t="shared" si="135"/>
        <v>1.8945119122444969</v>
      </c>
      <c r="BN125" s="143">
        <f t="shared" si="135"/>
        <v>1.8964853621530848</v>
      </c>
      <c r="BO125" s="143">
        <f t="shared" si="135"/>
        <v>1.8984608677386607</v>
      </c>
      <c r="BP125" s="114"/>
      <c r="BQ125" s="103"/>
    </row>
    <row r="126" spans="1:69" x14ac:dyDescent="0.3">
      <c r="A126" s="388"/>
      <c r="B126" s="144">
        <v>5</v>
      </c>
      <c r="C126" s="84">
        <f t="shared" si="120"/>
        <v>1.0416666666666667E-3</v>
      </c>
      <c r="D126" s="359"/>
      <c r="E126" s="115"/>
      <c r="F126" s="117" t="s">
        <v>385</v>
      </c>
      <c r="G126" s="122">
        <f t="shared" si="133"/>
        <v>7.2170067804382718</v>
      </c>
      <c r="H126" s="122">
        <f t="shared" si="133"/>
        <v>6.3185309765997699</v>
      </c>
      <c r="I126" s="122">
        <f t="shared" si="133"/>
        <v>7.1299036786350793</v>
      </c>
      <c r="J126" s="122">
        <f t="shared" si="133"/>
        <v>5.9774600170919303</v>
      </c>
      <c r="K126" s="122">
        <f t="shared" si="133"/>
        <v>10.241910038862596</v>
      </c>
      <c r="L126" s="123">
        <f t="shared" si="131"/>
        <v>9.9296321969458283</v>
      </c>
      <c r="M126" s="123">
        <f t="shared" si="131"/>
        <v>10.765855704697987</v>
      </c>
      <c r="N126" s="123">
        <f t="shared" si="131"/>
        <v>10.293925805136567</v>
      </c>
      <c r="O126" s="123">
        <f t="shared" si="131"/>
        <v>9.9292230892816153</v>
      </c>
      <c r="P126" s="123">
        <f t="shared" si="131"/>
        <v>10.374113475177305</v>
      </c>
      <c r="Q126" s="123">
        <f t="shared" si="131"/>
        <v>11.860907539403675</v>
      </c>
      <c r="R126" s="123">
        <f t="shared" si="131"/>
        <v>9.3249917952084029</v>
      </c>
      <c r="S126" s="123">
        <f t="shared" si="131"/>
        <v>11.165104791856413</v>
      </c>
      <c r="T126" s="143">
        <f>'Rendimientos Tendencial'!R12</f>
        <v>12.049399999999878</v>
      </c>
      <c r="U126" s="143">
        <f t="shared" ref="U126:BO126" si="136">T126*(1+$C$126)</f>
        <v>12.06195145833321</v>
      </c>
      <c r="V126" s="143">
        <f t="shared" si="136"/>
        <v>12.074515991102306</v>
      </c>
      <c r="W126" s="143">
        <f t="shared" si="136"/>
        <v>12.08709361192637</v>
      </c>
      <c r="X126" s="143">
        <f t="shared" si="136"/>
        <v>12.099684334438793</v>
      </c>
      <c r="Y126" s="143">
        <f t="shared" si="136"/>
        <v>12.112288172287165</v>
      </c>
      <c r="Z126" s="143">
        <f t="shared" si="136"/>
        <v>12.124905139133297</v>
      </c>
      <c r="AA126" s="143">
        <f t="shared" si="136"/>
        <v>12.137535248653228</v>
      </c>
      <c r="AB126" s="143">
        <f t="shared" si="136"/>
        <v>12.15017851453724</v>
      </c>
      <c r="AC126" s="143">
        <f t="shared" si="136"/>
        <v>12.162834950489883</v>
      </c>
      <c r="AD126" s="143">
        <f t="shared" si="136"/>
        <v>12.175504570229975</v>
      </c>
      <c r="AE126" s="143">
        <f t="shared" si="136"/>
        <v>12.188187387490631</v>
      </c>
      <c r="AF126" s="143">
        <f t="shared" si="136"/>
        <v>12.200883416019266</v>
      </c>
      <c r="AG126" s="143">
        <f t="shared" si="136"/>
        <v>12.213592669577618</v>
      </c>
      <c r="AH126" s="143">
        <f t="shared" si="136"/>
        <v>12.226315161941761</v>
      </c>
      <c r="AI126" s="143">
        <f t="shared" si="136"/>
        <v>12.239050906902117</v>
      </c>
      <c r="AJ126" s="143">
        <f t="shared" si="136"/>
        <v>12.251799918263472</v>
      </c>
      <c r="AK126" s="143">
        <f t="shared" si="136"/>
        <v>12.264562209844996</v>
      </c>
      <c r="AL126" s="143">
        <f t="shared" si="136"/>
        <v>12.27733779548025</v>
      </c>
      <c r="AM126" s="143">
        <f t="shared" si="136"/>
        <v>12.290126689017209</v>
      </c>
      <c r="AN126" s="143">
        <f t="shared" si="136"/>
        <v>12.302928904318268</v>
      </c>
      <c r="AO126" s="143">
        <f t="shared" si="136"/>
        <v>12.315744455260266</v>
      </c>
      <c r="AP126" s="143">
        <f t="shared" si="136"/>
        <v>12.328573355734495</v>
      </c>
      <c r="AQ126" s="143">
        <f t="shared" si="136"/>
        <v>12.341415619646718</v>
      </c>
      <c r="AR126" s="143">
        <f t="shared" si="136"/>
        <v>12.354271260917182</v>
      </c>
      <c r="AS126" s="143">
        <f t="shared" si="136"/>
        <v>12.367140293480636</v>
      </c>
      <c r="AT126" s="143">
        <f t="shared" si="136"/>
        <v>12.380022731286344</v>
      </c>
      <c r="AU126" s="143">
        <f t="shared" si="136"/>
        <v>12.3929185882981</v>
      </c>
      <c r="AV126" s="143">
        <f t="shared" si="136"/>
        <v>12.405827878494243</v>
      </c>
      <c r="AW126" s="143">
        <f t="shared" si="136"/>
        <v>12.418750615867674</v>
      </c>
      <c r="AX126" s="143">
        <f t="shared" si="136"/>
        <v>12.43168681442587</v>
      </c>
      <c r="AY126" s="143">
        <f t="shared" si="136"/>
        <v>12.444636488190897</v>
      </c>
      <c r="AZ126" s="143">
        <f t="shared" si="136"/>
        <v>12.457599651199429</v>
      </c>
      <c r="BA126" s="143">
        <f t="shared" si="136"/>
        <v>12.470576317502761</v>
      </c>
      <c r="BB126" s="143">
        <f t="shared" si="136"/>
        <v>12.483566501166825</v>
      </c>
      <c r="BC126" s="143">
        <f t="shared" si="136"/>
        <v>12.496570216272206</v>
      </c>
      <c r="BD126" s="143">
        <f t="shared" si="136"/>
        <v>12.509587476914156</v>
      </c>
      <c r="BE126" s="143">
        <f t="shared" si="136"/>
        <v>12.522618297202607</v>
      </c>
      <c r="BF126" s="143">
        <f t="shared" si="136"/>
        <v>12.535662691262193</v>
      </c>
      <c r="BG126" s="143">
        <f t="shared" si="136"/>
        <v>12.548720673232257</v>
      </c>
      <c r="BH126" s="143">
        <f t="shared" si="136"/>
        <v>12.561792257266873</v>
      </c>
      <c r="BI126" s="143">
        <f t="shared" si="136"/>
        <v>12.574877457534859</v>
      </c>
      <c r="BJ126" s="143">
        <f t="shared" si="136"/>
        <v>12.587976288219791</v>
      </c>
      <c r="BK126" s="143">
        <f t="shared" si="136"/>
        <v>12.601088763520019</v>
      </c>
      <c r="BL126" s="143">
        <f t="shared" si="136"/>
        <v>12.614214897648685</v>
      </c>
      <c r="BM126" s="143">
        <f t="shared" si="136"/>
        <v>12.627354704833735</v>
      </c>
      <c r="BN126" s="143">
        <f t="shared" si="136"/>
        <v>12.640508199317935</v>
      </c>
      <c r="BO126" s="143">
        <f t="shared" si="136"/>
        <v>12.65367539535889</v>
      </c>
      <c r="BP126" s="114"/>
      <c r="BQ126" s="103"/>
    </row>
    <row r="127" spans="1:69" x14ac:dyDescent="0.3">
      <c r="A127" s="388"/>
      <c r="B127" s="144">
        <v>15</v>
      </c>
      <c r="C127" s="84">
        <f t="shared" si="120"/>
        <v>3.1250000000000002E-3</v>
      </c>
      <c r="D127" s="359"/>
      <c r="E127" s="115"/>
      <c r="F127" s="117" t="s">
        <v>386</v>
      </c>
      <c r="G127" s="122">
        <f t="shared" si="133"/>
        <v>4.7410408126434112</v>
      </c>
      <c r="H127" s="122">
        <f t="shared" si="133"/>
        <v>4.8532368074667938</v>
      </c>
      <c r="I127" s="122">
        <f t="shared" si="133"/>
        <v>5.8565152380632375</v>
      </c>
      <c r="J127" s="122">
        <f t="shared" si="133"/>
        <v>4.6757077331285606</v>
      </c>
      <c r="K127" s="122">
        <f t="shared" si="133"/>
        <v>6.4872116979046277</v>
      </c>
      <c r="L127" s="123">
        <f t="shared" si="131"/>
        <v>7.34537978395816</v>
      </c>
      <c r="M127" s="123">
        <f t="shared" si="131"/>
        <v>5.8173798949099709</v>
      </c>
      <c r="N127" s="123">
        <f t="shared" si="131"/>
        <v>7.1572330766544541</v>
      </c>
      <c r="O127" s="123">
        <f t="shared" si="131"/>
        <v>5.8907862560616735</v>
      </c>
      <c r="P127" s="123">
        <f t="shared" si="131"/>
        <v>5.0618074550282515</v>
      </c>
      <c r="Q127" s="123">
        <f t="shared" si="131"/>
        <v>5.5734874726479289</v>
      </c>
      <c r="R127" s="123">
        <f t="shared" si="131"/>
        <v>6.6674589016658894</v>
      </c>
      <c r="S127" s="123">
        <f t="shared" si="131"/>
        <v>9.8120761579853699</v>
      </c>
      <c r="T127" s="143">
        <f>'Rendimientos Tendencial'!R13</f>
        <v>7.6707999999999856</v>
      </c>
      <c r="U127" s="143">
        <f t="shared" ref="U127:BO127" si="137">T127*(1+$C$127)</f>
        <v>7.6947712499999863</v>
      </c>
      <c r="V127" s="143">
        <f t="shared" si="137"/>
        <v>7.7188174101562366</v>
      </c>
      <c r="W127" s="143">
        <f t="shared" si="137"/>
        <v>7.7429387145629756</v>
      </c>
      <c r="X127" s="143">
        <f t="shared" si="137"/>
        <v>7.7671353980459852</v>
      </c>
      <c r="Y127" s="143">
        <f t="shared" si="137"/>
        <v>7.791407696164879</v>
      </c>
      <c r="Z127" s="143">
        <f t="shared" si="137"/>
        <v>7.8157558452153948</v>
      </c>
      <c r="AA127" s="143">
        <f t="shared" si="137"/>
        <v>7.8401800822316936</v>
      </c>
      <c r="AB127" s="143">
        <f t="shared" si="137"/>
        <v>7.8646806449886677</v>
      </c>
      <c r="AC127" s="143">
        <f t="shared" si="137"/>
        <v>7.8892577720042576</v>
      </c>
      <c r="AD127" s="143">
        <f t="shared" si="137"/>
        <v>7.9139117025417711</v>
      </c>
      <c r="AE127" s="143">
        <f t="shared" si="137"/>
        <v>7.9386426766122149</v>
      </c>
      <c r="AF127" s="143">
        <f t="shared" si="137"/>
        <v>7.9634509349766285</v>
      </c>
      <c r="AG127" s="143">
        <f t="shared" si="137"/>
        <v>7.9883367191484309</v>
      </c>
      <c r="AH127" s="143">
        <f t="shared" si="137"/>
        <v>8.0133002713957708</v>
      </c>
      <c r="AI127" s="143">
        <f t="shared" si="137"/>
        <v>8.0383418347438838</v>
      </c>
      <c r="AJ127" s="143">
        <f t="shared" si="137"/>
        <v>8.063461652977459</v>
      </c>
      <c r="AK127" s="143">
        <f t="shared" si="137"/>
        <v>8.0886599706430147</v>
      </c>
      <c r="AL127" s="143">
        <f t="shared" si="137"/>
        <v>8.1139370330512737</v>
      </c>
      <c r="AM127" s="143">
        <f t="shared" si="137"/>
        <v>8.1392930862795598</v>
      </c>
      <c r="AN127" s="143">
        <f t="shared" si="137"/>
        <v>8.1647283771741836</v>
      </c>
      <c r="AO127" s="143">
        <f t="shared" si="137"/>
        <v>8.1902431533528528</v>
      </c>
      <c r="AP127" s="143">
        <f t="shared" si="137"/>
        <v>8.2158376632070809</v>
      </c>
      <c r="AQ127" s="143">
        <f t="shared" si="137"/>
        <v>8.2415121559046032</v>
      </c>
      <c r="AR127" s="143">
        <f t="shared" si="137"/>
        <v>8.2672668813918051</v>
      </c>
      <c r="AS127" s="143">
        <f t="shared" si="137"/>
        <v>8.2931020903961556</v>
      </c>
      <c r="AT127" s="143">
        <f t="shared" si="137"/>
        <v>8.3190180344286446</v>
      </c>
      <c r="AU127" s="143">
        <f t="shared" si="137"/>
        <v>8.345014965786234</v>
      </c>
      <c r="AV127" s="143">
        <f t="shared" si="137"/>
        <v>8.3710931375543165</v>
      </c>
      <c r="AW127" s="143">
        <f t="shared" si="137"/>
        <v>8.3972528036091738</v>
      </c>
      <c r="AX127" s="143">
        <f t="shared" si="137"/>
        <v>8.4234942186204531</v>
      </c>
      <c r="AY127" s="143">
        <f t="shared" si="137"/>
        <v>8.4498176380536432</v>
      </c>
      <c r="AZ127" s="143">
        <f t="shared" si="137"/>
        <v>8.4762233181725612</v>
      </c>
      <c r="BA127" s="143">
        <f t="shared" si="137"/>
        <v>8.5027115160418507</v>
      </c>
      <c r="BB127" s="143">
        <f t="shared" si="137"/>
        <v>8.5292824895294821</v>
      </c>
      <c r="BC127" s="143">
        <f t="shared" si="137"/>
        <v>8.5559364973092613</v>
      </c>
      <c r="BD127" s="143">
        <f t="shared" si="137"/>
        <v>8.5826737988633539</v>
      </c>
      <c r="BE127" s="143">
        <f t="shared" si="137"/>
        <v>8.6094946544848021</v>
      </c>
      <c r="BF127" s="143">
        <f t="shared" si="137"/>
        <v>8.6363993252800668</v>
      </c>
      <c r="BG127" s="143">
        <f t="shared" si="137"/>
        <v>8.6633880731715678</v>
      </c>
      <c r="BH127" s="143">
        <f t="shared" si="137"/>
        <v>8.6904611609002291</v>
      </c>
      <c r="BI127" s="143">
        <f t="shared" si="137"/>
        <v>8.7176188520280427</v>
      </c>
      <c r="BJ127" s="143">
        <f t="shared" si="137"/>
        <v>8.7448614109406311</v>
      </c>
      <c r="BK127" s="143">
        <f t="shared" si="137"/>
        <v>8.7721891028498202</v>
      </c>
      <c r="BL127" s="143">
        <f t="shared" si="137"/>
        <v>8.7996021937962254</v>
      </c>
      <c r="BM127" s="143">
        <f t="shared" si="137"/>
        <v>8.8271009506518396</v>
      </c>
      <c r="BN127" s="143">
        <f t="shared" si="137"/>
        <v>8.8546856411226269</v>
      </c>
      <c r="BO127" s="143">
        <f t="shared" si="137"/>
        <v>8.8823565337511354</v>
      </c>
      <c r="BP127" s="114"/>
      <c r="BQ127" s="103"/>
    </row>
    <row r="128" spans="1:69" x14ac:dyDescent="0.3">
      <c r="A128" s="388"/>
      <c r="B128" s="144">
        <v>20</v>
      </c>
      <c r="C128" s="84">
        <f t="shared" si="120"/>
        <v>4.1666666666666666E-3</v>
      </c>
      <c r="D128" s="359" t="s">
        <v>494</v>
      </c>
      <c r="E128" s="115"/>
      <c r="F128" s="117" t="s">
        <v>387</v>
      </c>
      <c r="G128" s="122">
        <f t="shared" si="133"/>
        <v>20.08933933933934</v>
      </c>
      <c r="H128" s="122">
        <f t="shared" si="133"/>
        <v>22.881238155401139</v>
      </c>
      <c r="I128" s="122">
        <f t="shared" si="133"/>
        <v>20.460188495287618</v>
      </c>
      <c r="J128" s="122">
        <f t="shared" si="133"/>
        <v>9.9026415094339626</v>
      </c>
      <c r="K128" s="122">
        <f t="shared" si="133"/>
        <v>19.127611168562563</v>
      </c>
      <c r="L128" s="123">
        <f t="shared" si="131"/>
        <v>17.659816024746032</v>
      </c>
      <c r="M128" s="123">
        <f t="shared" si="131"/>
        <v>9.779784178307743</v>
      </c>
      <c r="N128" s="123">
        <f t="shared" si="131"/>
        <v>11.232907118992863</v>
      </c>
      <c r="O128" s="123">
        <f t="shared" si="131"/>
        <v>11.381865046571704</v>
      </c>
      <c r="P128" s="123">
        <f t="shared" si="131"/>
        <v>12.922222196437646</v>
      </c>
      <c r="Q128" s="123">
        <f t="shared" si="131"/>
        <v>14.344512787640847</v>
      </c>
      <c r="R128" s="123">
        <f t="shared" si="131"/>
        <v>14.623969180071411</v>
      </c>
      <c r="S128" s="123">
        <f t="shared" si="131"/>
        <v>13.371425940489321</v>
      </c>
      <c r="T128" s="143">
        <f>'Rendimientos Tendencial'!R14</f>
        <v>10.571800000000167</v>
      </c>
      <c r="U128" s="143">
        <f t="shared" ref="U128:BO128" si="138">T128*(1+$C$128)</f>
        <v>10.615849166666834</v>
      </c>
      <c r="V128" s="143">
        <f t="shared" si="138"/>
        <v>10.660081871527945</v>
      </c>
      <c r="W128" s="143">
        <f t="shared" si="138"/>
        <v>10.704498879325978</v>
      </c>
      <c r="X128" s="143">
        <f t="shared" si="138"/>
        <v>10.749100957989837</v>
      </c>
      <c r="Y128" s="143">
        <f t="shared" si="138"/>
        <v>10.793888878648128</v>
      </c>
      <c r="Z128" s="143">
        <f t="shared" si="138"/>
        <v>10.838863415642495</v>
      </c>
      <c r="AA128" s="143">
        <f t="shared" si="138"/>
        <v>10.884025346541005</v>
      </c>
      <c r="AB128" s="143">
        <f t="shared" si="138"/>
        <v>10.929375452151593</v>
      </c>
      <c r="AC128" s="143">
        <f t="shared" si="138"/>
        <v>10.974914516535557</v>
      </c>
      <c r="AD128" s="143">
        <f t="shared" si="138"/>
        <v>11.020643327021123</v>
      </c>
      <c r="AE128" s="143">
        <f t="shared" si="138"/>
        <v>11.066562674217044</v>
      </c>
      <c r="AF128" s="143">
        <f t="shared" si="138"/>
        <v>11.112673352026281</v>
      </c>
      <c r="AG128" s="143">
        <f t="shared" si="138"/>
        <v>11.158976157659724</v>
      </c>
      <c r="AH128" s="143">
        <f t="shared" si="138"/>
        <v>11.205471891649973</v>
      </c>
      <c r="AI128" s="143">
        <f t="shared" si="138"/>
        <v>11.25216135786518</v>
      </c>
      <c r="AJ128" s="143">
        <f t="shared" si="138"/>
        <v>11.299045363522952</v>
      </c>
      <c r="AK128" s="143">
        <f t="shared" si="138"/>
        <v>11.346124719204298</v>
      </c>
      <c r="AL128" s="143">
        <f t="shared" si="138"/>
        <v>11.393400238867649</v>
      </c>
      <c r="AM128" s="143">
        <f t="shared" si="138"/>
        <v>11.440872739862931</v>
      </c>
      <c r="AN128" s="143">
        <f t="shared" si="138"/>
        <v>11.488543042945693</v>
      </c>
      <c r="AO128" s="143">
        <f t="shared" si="138"/>
        <v>11.536411972291299</v>
      </c>
      <c r="AP128" s="143">
        <f t="shared" si="138"/>
        <v>11.584480355509179</v>
      </c>
      <c r="AQ128" s="143">
        <f t="shared" si="138"/>
        <v>11.632749023657134</v>
      </c>
      <c r="AR128" s="143">
        <f t="shared" si="138"/>
        <v>11.681218811255706</v>
      </c>
      <c r="AS128" s="143">
        <f t="shared" si="138"/>
        <v>11.729890556302605</v>
      </c>
      <c r="AT128" s="143">
        <f t="shared" si="138"/>
        <v>11.778765100287199</v>
      </c>
      <c r="AU128" s="143">
        <f t="shared" si="138"/>
        <v>11.827843288205061</v>
      </c>
      <c r="AV128" s="143">
        <f t="shared" si="138"/>
        <v>11.877125968572582</v>
      </c>
      <c r="AW128" s="143">
        <f t="shared" si="138"/>
        <v>11.926613993441634</v>
      </c>
      <c r="AX128" s="143">
        <f t="shared" si="138"/>
        <v>11.976308218414308</v>
      </c>
      <c r="AY128" s="143">
        <f t="shared" si="138"/>
        <v>12.026209502657702</v>
      </c>
      <c r="AZ128" s="143">
        <f t="shared" si="138"/>
        <v>12.076318708918775</v>
      </c>
      <c r="BA128" s="143">
        <f t="shared" si="138"/>
        <v>12.126636703539269</v>
      </c>
      <c r="BB128" s="143">
        <f t="shared" si="138"/>
        <v>12.177164356470682</v>
      </c>
      <c r="BC128" s="143">
        <f t="shared" si="138"/>
        <v>12.227902541289309</v>
      </c>
      <c r="BD128" s="143">
        <f t="shared" si="138"/>
        <v>12.278852135211347</v>
      </c>
      <c r="BE128" s="143">
        <f t="shared" si="138"/>
        <v>12.330014019108061</v>
      </c>
      <c r="BF128" s="143">
        <f t="shared" si="138"/>
        <v>12.38138907752101</v>
      </c>
      <c r="BG128" s="143">
        <f t="shared" si="138"/>
        <v>12.432978198677349</v>
      </c>
      <c r="BH128" s="143">
        <f t="shared" si="138"/>
        <v>12.484782274505172</v>
      </c>
      <c r="BI128" s="143">
        <f t="shared" si="138"/>
        <v>12.536802200648943</v>
      </c>
      <c r="BJ128" s="143">
        <f t="shared" si="138"/>
        <v>12.589038876484979</v>
      </c>
      <c r="BK128" s="143">
        <f t="shared" si="138"/>
        <v>12.641493205136999</v>
      </c>
      <c r="BL128" s="143">
        <f t="shared" si="138"/>
        <v>12.694166093491736</v>
      </c>
      <c r="BM128" s="143">
        <f t="shared" si="138"/>
        <v>12.747058452214619</v>
      </c>
      <c r="BN128" s="143">
        <f t="shared" si="138"/>
        <v>12.800171195765513</v>
      </c>
      <c r="BO128" s="143">
        <f t="shared" si="138"/>
        <v>12.853505242414535</v>
      </c>
      <c r="BP128" s="114"/>
      <c r="BQ128" s="103"/>
    </row>
    <row r="129" spans="1:69" x14ac:dyDescent="0.3">
      <c r="A129" s="388"/>
      <c r="B129" s="144">
        <v>24.5</v>
      </c>
      <c r="C129" s="84">
        <f t="shared" si="120"/>
        <v>5.1041666666666666E-3</v>
      </c>
      <c r="D129" s="38"/>
      <c r="E129" s="115"/>
      <c r="F129" s="117" t="s">
        <v>388</v>
      </c>
      <c r="G129" s="127">
        <v>0</v>
      </c>
      <c r="H129" s="127">
        <v>0</v>
      </c>
      <c r="I129" s="127">
        <v>0</v>
      </c>
      <c r="J129" s="127">
        <v>0</v>
      </c>
      <c r="K129" s="122">
        <f>K111/K71</f>
        <v>71.313941598573763</v>
      </c>
      <c r="L129" s="123">
        <f t="shared" si="131"/>
        <v>77.600192829050854</v>
      </c>
      <c r="M129" s="123">
        <f t="shared" si="131"/>
        <v>63.930904968869726</v>
      </c>
      <c r="N129" s="123">
        <f t="shared" si="131"/>
        <v>68.002762025316457</v>
      </c>
      <c r="O129" s="123">
        <f t="shared" si="131"/>
        <v>72.656153620689651</v>
      </c>
      <c r="P129" s="123">
        <f t="shared" si="131"/>
        <v>60.822164783012298</v>
      </c>
      <c r="Q129" s="123">
        <f t="shared" si="131"/>
        <v>79.535751217038523</v>
      </c>
      <c r="R129" s="123">
        <f t="shared" si="131"/>
        <v>63.011435803532962</v>
      </c>
      <c r="S129" s="123">
        <f t="shared" si="131"/>
        <v>47.752700636522462</v>
      </c>
      <c r="T129" s="143">
        <f>'Rendimientos Tendencial'!R15</f>
        <v>57.706900000000132</v>
      </c>
      <c r="U129" s="143">
        <f t="shared" ref="U129:BO129" si="139">T129*(1+$C$129)</f>
        <v>58.0014456354168</v>
      </c>
      <c r="V129" s="143">
        <f t="shared" si="139"/>
        <v>58.297494680847578</v>
      </c>
      <c r="W129" s="143">
        <f t="shared" si="139"/>
        <v>58.59505480994774</v>
      </c>
      <c r="X129" s="143">
        <f t="shared" si="139"/>
        <v>58.89413373554018</v>
      </c>
      <c r="Y129" s="143">
        <f t="shared" si="139"/>
        <v>59.194739209815332</v>
      </c>
      <c r="Z129" s="143">
        <f t="shared" si="139"/>
        <v>59.496879024532099</v>
      </c>
      <c r="AA129" s="143">
        <f t="shared" si="139"/>
        <v>59.800561011219813</v>
      </c>
      <c r="AB129" s="143">
        <f t="shared" si="139"/>
        <v>60.105793041381247</v>
      </c>
      <c r="AC129" s="143">
        <f t="shared" si="139"/>
        <v>60.41258302669663</v>
      </c>
      <c r="AD129" s="143">
        <f t="shared" si="139"/>
        <v>60.720938919228729</v>
      </c>
      <c r="AE129" s="143">
        <f t="shared" si="139"/>
        <v>61.030868711628962</v>
      </c>
      <c r="AF129" s="143">
        <f t="shared" si="139"/>
        <v>61.342380437344566</v>
      </c>
      <c r="AG129" s="143">
        <f t="shared" si="139"/>
        <v>61.655482170826851</v>
      </c>
      <c r="AH129" s="143">
        <f t="shared" si="139"/>
        <v>61.970182027740449</v>
      </c>
      <c r="AI129" s="143">
        <f t="shared" si="139"/>
        <v>62.286488165173708</v>
      </c>
      <c r="AJ129" s="143">
        <f t="shared" si="139"/>
        <v>62.604408781850118</v>
      </c>
      <c r="AK129" s="143">
        <f t="shared" si="139"/>
        <v>62.923952118340814</v>
      </c>
      <c r="AL129" s="143">
        <f t="shared" si="139"/>
        <v>63.245126457278182</v>
      </c>
      <c r="AM129" s="143">
        <f t="shared" si="139"/>
        <v>63.567940123570544</v>
      </c>
      <c r="AN129" s="143">
        <f t="shared" si="139"/>
        <v>63.892401484617935</v>
      </c>
      <c r="AO129" s="143">
        <f t="shared" si="139"/>
        <v>64.218518950529003</v>
      </c>
      <c r="AP129" s="143">
        <f t="shared" si="139"/>
        <v>64.54630097433899</v>
      </c>
      <c r="AQ129" s="143">
        <f t="shared" si="139"/>
        <v>64.875756052228851</v>
      </c>
      <c r="AR129" s="143">
        <f t="shared" si="139"/>
        <v>65.20689272374544</v>
      </c>
      <c r="AS129" s="143">
        <f t="shared" si="139"/>
        <v>65.539719572022889</v>
      </c>
      <c r="AT129" s="143">
        <f t="shared" si="139"/>
        <v>65.874245224005094</v>
      </c>
      <c r="AU129" s="143">
        <f t="shared" si="139"/>
        <v>66.210478350669291</v>
      </c>
      <c r="AV129" s="143">
        <f t="shared" si="139"/>
        <v>66.548427667250834</v>
      </c>
      <c r="AW129" s="143">
        <f t="shared" si="139"/>
        <v>66.888101933469102</v>
      </c>
      <c r="AX129" s="143">
        <f t="shared" si="139"/>
        <v>67.229509953754516</v>
      </c>
      <c r="AY129" s="143">
        <f t="shared" si="139"/>
        <v>67.57266057747681</v>
      </c>
      <c r="AZ129" s="143">
        <f t="shared" si="139"/>
        <v>67.917562699174354</v>
      </c>
      <c r="BA129" s="143">
        <f t="shared" si="139"/>
        <v>68.26422525878472</v>
      </c>
      <c r="BB129" s="143">
        <f t="shared" si="139"/>
        <v>68.612657241876434</v>
      </c>
      <c r="BC129" s="143">
        <f t="shared" si="139"/>
        <v>68.962867679881853</v>
      </c>
      <c r="BD129" s="143">
        <f t="shared" si="139"/>
        <v>69.314865650331257</v>
      </c>
      <c r="BE129" s="143">
        <f t="shared" si="139"/>
        <v>69.668660277088151</v>
      </c>
      <c r="BF129" s="143">
        <f t="shared" si="139"/>
        <v>70.024260730585794</v>
      </c>
      <c r="BG129" s="143">
        <f t="shared" si="139"/>
        <v>70.381676228064833</v>
      </c>
      <c r="BH129" s="143">
        <f t="shared" si="139"/>
        <v>70.740916033812255</v>
      </c>
      <c r="BI129" s="143">
        <f t="shared" si="139"/>
        <v>71.101989459401508</v>
      </c>
      <c r="BJ129" s="143">
        <f t="shared" si="139"/>
        <v>71.464905863933865</v>
      </c>
      <c r="BK129" s="143">
        <f t="shared" si="139"/>
        <v>71.829674654281035</v>
      </c>
      <c r="BL129" s="143">
        <f t="shared" si="139"/>
        <v>72.196305285328933</v>
      </c>
      <c r="BM129" s="143">
        <f t="shared" si="139"/>
        <v>72.564807260222807</v>
      </c>
      <c r="BN129" s="143">
        <f t="shared" si="139"/>
        <v>72.935190130613535</v>
      </c>
      <c r="BO129" s="143">
        <f t="shared" si="139"/>
        <v>73.307463496905214</v>
      </c>
      <c r="BP129" s="114"/>
      <c r="BQ129" s="103"/>
    </row>
    <row r="130" spans="1:69" ht="15" thickBot="1" x14ac:dyDescent="0.35">
      <c r="A130" s="354"/>
      <c r="B130" s="354"/>
      <c r="C130" s="354"/>
      <c r="D130" s="359"/>
      <c r="E130" s="135"/>
      <c r="F130" s="136"/>
      <c r="G130" s="136"/>
      <c r="H130" s="136"/>
      <c r="I130" s="136"/>
      <c r="J130" s="136"/>
      <c r="K130" s="136"/>
      <c r="L130" s="137"/>
      <c r="M130" s="137"/>
      <c r="N130" s="137"/>
      <c r="O130" s="137"/>
      <c r="P130" s="137"/>
      <c r="Q130" s="137"/>
      <c r="R130" s="137"/>
      <c r="S130" s="137"/>
      <c r="T130" s="137"/>
      <c r="U130" s="137"/>
      <c r="V130" s="137"/>
      <c r="W130" s="137"/>
      <c r="X130" s="137"/>
      <c r="Y130" s="137"/>
      <c r="Z130" s="137"/>
      <c r="AA130" s="137"/>
      <c r="AB130" s="137"/>
      <c r="AC130" s="137"/>
      <c r="AD130" s="137"/>
      <c r="AE130" s="137"/>
      <c r="AF130" s="137"/>
      <c r="AG130" s="137"/>
      <c r="AH130" s="137"/>
      <c r="AI130" s="137"/>
      <c r="AJ130" s="137"/>
      <c r="AK130" s="137"/>
      <c r="AL130" s="137"/>
      <c r="AM130" s="137"/>
      <c r="AN130" s="137"/>
      <c r="AO130" s="137"/>
      <c r="AP130" s="137"/>
      <c r="AQ130" s="137"/>
      <c r="AR130" s="137"/>
      <c r="AS130" s="137"/>
      <c r="AT130" s="137"/>
      <c r="AU130" s="137"/>
      <c r="AV130" s="137"/>
      <c r="AW130" s="137"/>
      <c r="AX130" s="137"/>
      <c r="AY130" s="137"/>
      <c r="AZ130" s="137"/>
      <c r="BA130" s="137"/>
      <c r="BB130" s="137"/>
      <c r="BC130" s="137"/>
      <c r="BD130" s="137"/>
      <c r="BE130" s="137"/>
      <c r="BF130" s="137"/>
      <c r="BG130" s="137"/>
      <c r="BH130" s="137"/>
      <c r="BI130" s="137"/>
      <c r="BJ130" s="137"/>
      <c r="BK130" s="137"/>
      <c r="BL130" s="137"/>
      <c r="BM130" s="137"/>
      <c r="BN130" s="137"/>
      <c r="BO130" s="137"/>
      <c r="BP130" s="138"/>
    </row>
    <row r="131" spans="1:69" x14ac:dyDescent="0.3">
      <c r="A131" s="354"/>
      <c r="B131" s="354"/>
      <c r="C131" s="354"/>
      <c r="D131" s="359"/>
      <c r="E131" s="359"/>
      <c r="F131" s="103"/>
      <c r="G131" s="103"/>
      <c r="H131" s="103"/>
      <c r="I131" s="103"/>
      <c r="J131" s="103"/>
      <c r="K131" s="103"/>
      <c r="L131" s="359"/>
      <c r="M131" s="359"/>
      <c r="N131" s="359"/>
      <c r="O131" s="359"/>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103"/>
    </row>
    <row r="132" spans="1:69" x14ac:dyDescent="0.3">
      <c r="A132" s="354"/>
      <c r="B132" s="354"/>
      <c r="C132" s="354"/>
      <c r="D132" s="359"/>
      <c r="E132" s="359" t="s">
        <v>494</v>
      </c>
      <c r="F132" s="103" t="s">
        <v>507</v>
      </c>
      <c r="G132" s="103"/>
      <c r="H132" s="103"/>
      <c r="I132" s="103"/>
      <c r="J132" s="103"/>
      <c r="K132" s="103"/>
      <c r="L132" s="359"/>
      <c r="M132" s="359"/>
      <c r="N132" s="359"/>
      <c r="O132" s="359"/>
      <c r="P132" s="359"/>
      <c r="Q132" s="359"/>
      <c r="R132" s="147"/>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103"/>
    </row>
    <row r="133" spans="1:69" x14ac:dyDescent="0.3">
      <c r="A133" s="354"/>
      <c r="B133" s="354"/>
      <c r="C133" s="354"/>
      <c r="D133" s="359"/>
      <c r="E133" s="359" t="s">
        <v>525</v>
      </c>
      <c r="F133" s="103" t="s">
        <v>533</v>
      </c>
      <c r="G133" s="103"/>
      <c r="H133" s="103"/>
      <c r="I133" s="103"/>
      <c r="J133" s="103"/>
      <c r="K133" s="103"/>
      <c r="L133" s="359"/>
      <c r="M133" s="359"/>
      <c r="N133" s="359"/>
      <c r="O133" s="359"/>
      <c r="P133" s="359"/>
      <c r="Q133" s="359"/>
      <c r="R133" s="147"/>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103"/>
    </row>
    <row r="134" spans="1:69" x14ac:dyDescent="0.3">
      <c r="A134" s="354"/>
      <c r="B134" s="354"/>
      <c r="C134" s="354"/>
      <c r="D134" s="359"/>
      <c r="E134" s="359"/>
      <c r="F134" s="103"/>
      <c r="G134" s="103"/>
      <c r="H134" s="103"/>
      <c r="I134" s="103"/>
      <c r="J134" s="103"/>
      <c r="K134" s="103"/>
      <c r="L134" s="359"/>
      <c r="M134" s="359"/>
      <c r="N134" s="359"/>
      <c r="O134" s="359"/>
      <c r="P134" s="359"/>
      <c r="Q134" s="359"/>
      <c r="R134" s="147"/>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103"/>
    </row>
    <row r="135" spans="1:69" ht="25.8" x14ac:dyDescent="0.3">
      <c r="A135" s="354"/>
      <c r="B135" s="354"/>
      <c r="C135" s="354"/>
      <c r="D135" s="359"/>
      <c r="E135" s="104"/>
      <c r="F135" s="104" t="s">
        <v>534</v>
      </c>
      <c r="G135" s="104"/>
      <c r="H135" s="103"/>
      <c r="I135" s="103">
        <v>1</v>
      </c>
      <c r="J135" s="103" t="s">
        <v>311</v>
      </c>
      <c r="K135" s="103" t="s">
        <v>535</v>
      </c>
      <c r="L135" s="359"/>
      <c r="M135" s="359"/>
      <c r="N135" s="359"/>
      <c r="O135" s="359"/>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103"/>
    </row>
    <row r="136" spans="1:69" ht="26.4" thickBot="1" x14ac:dyDescent="0.35">
      <c r="A136" s="354"/>
      <c r="B136" s="354"/>
      <c r="C136" s="354"/>
      <c r="D136" s="359"/>
      <c r="E136" s="104"/>
      <c r="F136" s="104"/>
      <c r="G136" s="104"/>
      <c r="H136" s="103"/>
      <c r="I136" s="103"/>
      <c r="J136" s="103"/>
      <c r="K136" s="103"/>
      <c r="L136" s="359"/>
      <c r="M136" s="359"/>
      <c r="N136" s="359"/>
      <c r="O136" s="359"/>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103"/>
    </row>
    <row r="137" spans="1:69" x14ac:dyDescent="0.3">
      <c r="A137" s="354"/>
      <c r="B137" s="354"/>
      <c r="C137" s="354"/>
      <c r="D137" s="359"/>
      <c r="E137" s="105"/>
      <c r="F137" s="106"/>
      <c r="G137" s="106"/>
      <c r="H137" s="106"/>
      <c r="I137" s="106"/>
      <c r="J137" s="106"/>
      <c r="K137" s="106"/>
      <c r="L137" s="107"/>
      <c r="M137" s="107"/>
      <c r="N137" s="107"/>
      <c r="O137" s="107"/>
      <c r="P137" s="107"/>
      <c r="Q137" s="107"/>
      <c r="R137" s="107"/>
      <c r="S137" s="107"/>
      <c r="T137" s="107"/>
      <c r="U137" s="107"/>
      <c r="V137" s="107"/>
      <c r="W137" s="107"/>
      <c r="X137" s="107"/>
      <c r="Y137" s="107"/>
      <c r="Z137" s="107"/>
      <c r="AA137" s="107"/>
      <c r="AB137" s="107"/>
      <c r="AC137" s="107"/>
      <c r="AD137" s="107"/>
      <c r="AE137" s="107"/>
      <c r="AF137" s="107"/>
      <c r="AG137" s="107"/>
      <c r="AH137" s="107"/>
      <c r="AI137" s="107"/>
      <c r="AJ137" s="107"/>
      <c r="AK137" s="107"/>
      <c r="AL137" s="107"/>
      <c r="AM137" s="107"/>
      <c r="AN137" s="107"/>
      <c r="AO137" s="107"/>
      <c r="AP137" s="107"/>
      <c r="AQ137" s="107"/>
      <c r="AR137" s="107"/>
      <c r="AS137" s="107"/>
      <c r="AT137" s="107"/>
      <c r="AU137" s="107"/>
      <c r="AV137" s="107"/>
      <c r="AW137" s="107"/>
      <c r="AX137" s="107"/>
      <c r="AY137" s="107"/>
      <c r="AZ137" s="107"/>
      <c r="BA137" s="107"/>
      <c r="BB137" s="107"/>
      <c r="BC137" s="107"/>
      <c r="BD137" s="107"/>
      <c r="BE137" s="107"/>
      <c r="BF137" s="107"/>
      <c r="BG137" s="107"/>
      <c r="BH137" s="107"/>
      <c r="BI137" s="107"/>
      <c r="BJ137" s="107"/>
      <c r="BK137" s="107"/>
      <c r="BL137" s="107"/>
      <c r="BM137" s="107"/>
      <c r="BN137" s="107"/>
      <c r="BO137" s="107"/>
      <c r="BP137" s="108"/>
    </row>
    <row r="138" spans="1:69" ht="15.6" x14ac:dyDescent="0.3">
      <c r="A138" s="354"/>
      <c r="B138" s="354"/>
      <c r="C138" s="354"/>
      <c r="D138" s="359"/>
      <c r="E138" s="109"/>
      <c r="F138" s="110" t="s">
        <v>536</v>
      </c>
      <c r="G138" s="111"/>
      <c r="H138" s="111"/>
      <c r="I138" s="111"/>
      <c r="J138" s="111"/>
      <c r="K138" s="111"/>
      <c r="L138" s="112"/>
      <c r="M138" s="113"/>
      <c r="N138" s="113"/>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c r="AU138" s="113"/>
      <c r="AV138" s="113"/>
      <c r="AW138" s="113"/>
      <c r="AX138" s="113"/>
      <c r="AY138" s="113"/>
      <c r="AZ138" s="113"/>
      <c r="BA138" s="113"/>
      <c r="BB138" s="113"/>
      <c r="BC138" s="113"/>
      <c r="BD138" s="113"/>
      <c r="BE138" s="113"/>
      <c r="BF138" s="113"/>
      <c r="BG138" s="113"/>
      <c r="BH138" s="113"/>
      <c r="BI138" s="113"/>
      <c r="BJ138" s="113"/>
      <c r="BK138" s="113"/>
      <c r="BL138" s="113"/>
      <c r="BM138" s="113"/>
      <c r="BN138" s="113"/>
      <c r="BO138" s="113"/>
      <c r="BP138" s="114"/>
    </row>
    <row r="139" spans="1:69" ht="15.6" x14ac:dyDescent="0.3">
      <c r="A139" s="354"/>
      <c r="B139" s="354"/>
      <c r="C139" s="354"/>
      <c r="D139" s="359"/>
      <c r="E139" s="115"/>
      <c r="F139" s="116" t="s">
        <v>537</v>
      </c>
      <c r="G139" s="111"/>
      <c r="H139" s="111"/>
      <c r="I139" s="111"/>
      <c r="J139" s="111"/>
      <c r="K139" s="111"/>
      <c r="L139" s="112"/>
      <c r="M139" s="113"/>
      <c r="N139" s="113"/>
      <c r="O139" s="113"/>
      <c r="P139" s="113"/>
      <c r="Q139" s="113"/>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c r="AU139" s="113"/>
      <c r="AV139" s="113"/>
      <c r="AW139" s="113"/>
      <c r="AX139" s="113"/>
      <c r="AY139" s="113"/>
      <c r="AZ139" s="113"/>
      <c r="BA139" s="113"/>
      <c r="BB139" s="113"/>
      <c r="BC139" s="113"/>
      <c r="BD139" s="113"/>
      <c r="BE139" s="113"/>
      <c r="BF139" s="113"/>
      <c r="BG139" s="113"/>
      <c r="BH139" s="113"/>
      <c r="BI139" s="113"/>
      <c r="BJ139" s="113"/>
      <c r="BK139" s="113"/>
      <c r="BL139" s="113"/>
      <c r="BM139" s="113"/>
      <c r="BN139" s="113"/>
      <c r="BO139" s="113"/>
      <c r="BP139" s="114"/>
    </row>
    <row r="140" spans="1:69" x14ac:dyDescent="0.3">
      <c r="A140" s="364" t="s">
        <v>538</v>
      </c>
      <c r="B140" s="352"/>
      <c r="C140" s="352"/>
      <c r="D140" s="359"/>
      <c r="E140" s="115"/>
      <c r="F140" s="117" t="s">
        <v>539</v>
      </c>
      <c r="G140" s="118">
        <v>4944967.803000005</v>
      </c>
      <c r="H140" s="118">
        <v>5391885.433000003</v>
      </c>
      <c r="I140" s="118">
        <v>4981161.6400000006</v>
      </c>
      <c r="J140" s="118">
        <v>5195403.6700000037</v>
      </c>
      <c r="K140" s="118">
        <v>5715769.4640000006</v>
      </c>
      <c r="L140" s="119">
        <v>6039628.5180000011</v>
      </c>
      <c r="M140" s="119">
        <v>5931393.3769999985</v>
      </c>
      <c r="N140" s="119">
        <v>6095243.5125759998</v>
      </c>
      <c r="O140" s="119">
        <v>6506357.9271820001</v>
      </c>
      <c r="P140" s="119">
        <v>6487306.9648249997</v>
      </c>
      <c r="Q140" s="119">
        <v>6564319.3855370004</v>
      </c>
      <c r="R140" s="119">
        <v>6625031.8037660001</v>
      </c>
      <c r="S140" s="142">
        <v>6018001.1100000003</v>
      </c>
      <c r="T140" s="142"/>
      <c r="U140" s="142"/>
      <c r="V140" s="142"/>
      <c r="W140" s="142"/>
      <c r="X140" s="142"/>
      <c r="Y140" s="142"/>
      <c r="Z140" s="142"/>
      <c r="AA140" s="142"/>
      <c r="AB140" s="142"/>
      <c r="AC140" s="142"/>
      <c r="AD140" s="142"/>
      <c r="AE140" s="142"/>
      <c r="AF140" s="142"/>
      <c r="AG140" s="142"/>
      <c r="AH140" s="142"/>
      <c r="AI140" s="142"/>
      <c r="AJ140" s="142"/>
      <c r="AK140" s="142"/>
      <c r="AL140" s="142"/>
      <c r="AM140" s="142"/>
      <c r="AN140" s="142"/>
      <c r="AO140" s="142"/>
      <c r="AP140" s="142"/>
      <c r="AQ140" s="142"/>
      <c r="AR140" s="142"/>
      <c r="AS140" s="142"/>
      <c r="AT140" s="142"/>
      <c r="AU140" s="142"/>
      <c r="AV140" s="142"/>
      <c r="AW140" s="142"/>
      <c r="AX140" s="142"/>
      <c r="AY140" s="142"/>
      <c r="AZ140" s="142"/>
      <c r="BA140" s="142"/>
      <c r="BB140" s="142"/>
      <c r="BC140" s="142"/>
      <c r="BD140" s="142"/>
      <c r="BE140" s="142"/>
      <c r="BF140" s="142"/>
      <c r="BG140" s="142"/>
      <c r="BH140" s="142"/>
      <c r="BI140" s="142"/>
      <c r="BJ140" s="142"/>
      <c r="BK140" s="142"/>
      <c r="BL140" s="142"/>
      <c r="BM140" s="142"/>
      <c r="BN140" s="142"/>
      <c r="BO140" s="142"/>
      <c r="BP140" s="114"/>
    </row>
    <row r="141" spans="1:69" x14ac:dyDescent="0.3">
      <c r="A141" s="388"/>
      <c r="D141" s="359"/>
      <c r="E141" s="115"/>
      <c r="F141" s="117" t="s">
        <v>512</v>
      </c>
      <c r="G141" s="118">
        <v>116317.68700000001</v>
      </c>
      <c r="H141" s="118">
        <v>158483.45099999988</v>
      </c>
      <c r="I141" s="118">
        <v>146894.47299999997</v>
      </c>
      <c r="J141" s="118">
        <v>176582.35000000003</v>
      </c>
      <c r="K141" s="118">
        <v>198878.73399999997</v>
      </c>
      <c r="L141" s="119">
        <v>236066.27899999995</v>
      </c>
      <c r="M141" s="119">
        <v>227213.22799999997</v>
      </c>
      <c r="N141" s="119">
        <v>285228.87132899999</v>
      </c>
      <c r="O141" s="119">
        <v>296776.23031100002</v>
      </c>
      <c r="P141" s="119">
        <v>270939.550369</v>
      </c>
      <c r="Q141" s="119">
        <v>323398.62394899997</v>
      </c>
      <c r="R141" s="119">
        <v>329783.60051299998</v>
      </c>
      <c r="S141" s="142"/>
      <c r="T141" s="142"/>
      <c r="U141" s="142"/>
      <c r="V141" s="142"/>
      <c r="W141" s="142"/>
      <c r="X141" s="142"/>
      <c r="Y141" s="142"/>
      <c r="Z141" s="142"/>
      <c r="AA141" s="142"/>
      <c r="AB141" s="142"/>
      <c r="AC141" s="142"/>
      <c r="AD141" s="142"/>
      <c r="AE141" s="142"/>
      <c r="AF141" s="142"/>
      <c r="AG141" s="142"/>
      <c r="AH141" s="142"/>
      <c r="AI141" s="142"/>
      <c r="AJ141" s="142"/>
      <c r="AK141" s="142"/>
      <c r="AL141" s="142"/>
      <c r="AM141" s="142"/>
      <c r="AN141" s="142"/>
      <c r="AO141" s="142"/>
      <c r="AP141" s="142"/>
      <c r="AQ141" s="142"/>
      <c r="AR141" s="142"/>
      <c r="AS141" s="142"/>
      <c r="AT141" s="142"/>
      <c r="AU141" s="142"/>
      <c r="AV141" s="142"/>
      <c r="AW141" s="142"/>
      <c r="AX141" s="142"/>
      <c r="AY141" s="142"/>
      <c r="AZ141" s="142"/>
      <c r="BA141" s="142"/>
      <c r="BB141" s="142"/>
      <c r="BC141" s="142"/>
      <c r="BD141" s="142"/>
      <c r="BE141" s="142"/>
      <c r="BF141" s="142"/>
      <c r="BG141" s="142"/>
      <c r="BH141" s="142"/>
      <c r="BI141" s="142"/>
      <c r="BJ141" s="142"/>
      <c r="BK141" s="142"/>
      <c r="BL141" s="142"/>
      <c r="BM141" s="142"/>
      <c r="BN141" s="142"/>
      <c r="BO141" s="142"/>
      <c r="BP141" s="114"/>
    </row>
    <row r="142" spans="1:69" x14ac:dyDescent="0.3">
      <c r="A142" s="388"/>
      <c r="D142" s="359"/>
      <c r="E142" s="115"/>
      <c r="F142" s="117" t="s">
        <v>513</v>
      </c>
      <c r="G142" s="118">
        <v>21352.46200000001</v>
      </c>
      <c r="H142" s="118">
        <v>35455.031000000017</v>
      </c>
      <c r="I142" s="118">
        <v>28160.931000000004</v>
      </c>
      <c r="J142" s="118">
        <v>12165.705999999998</v>
      </c>
      <c r="K142" s="118">
        <v>9027.7760000000071</v>
      </c>
      <c r="L142" s="119">
        <v>6467.6449999999968</v>
      </c>
      <c r="M142" s="119">
        <v>5283.8949999999977</v>
      </c>
      <c r="N142" s="119">
        <v>5131.5689730000004</v>
      </c>
      <c r="O142" s="119">
        <v>4624.467525</v>
      </c>
      <c r="P142" s="119">
        <v>1857.587888</v>
      </c>
      <c r="Q142" s="119">
        <v>1954.9315570000001</v>
      </c>
      <c r="R142" s="119">
        <v>4063.316671</v>
      </c>
      <c r="S142" s="142"/>
      <c r="T142" s="142"/>
      <c r="U142" s="142"/>
      <c r="V142" s="142"/>
      <c r="W142" s="142"/>
      <c r="X142" s="142"/>
      <c r="Y142" s="142"/>
      <c r="Z142" s="142"/>
      <c r="AA142" s="142"/>
      <c r="AB142" s="142"/>
      <c r="AC142" s="142"/>
      <c r="AD142" s="142"/>
      <c r="AE142" s="142"/>
      <c r="AF142" s="142"/>
      <c r="AG142" s="142"/>
      <c r="AH142" s="142"/>
      <c r="AI142" s="142"/>
      <c r="AJ142" s="142"/>
      <c r="AK142" s="142"/>
      <c r="AL142" s="142"/>
      <c r="AM142" s="142"/>
      <c r="AN142" s="142"/>
      <c r="AO142" s="142"/>
      <c r="AP142" s="142"/>
      <c r="AQ142" s="142"/>
      <c r="AR142" s="142"/>
      <c r="AS142" s="142"/>
      <c r="AT142" s="142"/>
      <c r="AU142" s="142"/>
      <c r="AV142" s="142"/>
      <c r="AW142" s="142"/>
      <c r="AX142" s="142"/>
      <c r="AY142" s="142"/>
      <c r="AZ142" s="142"/>
      <c r="BA142" s="142"/>
      <c r="BB142" s="142"/>
      <c r="BC142" s="142"/>
      <c r="BD142" s="142"/>
      <c r="BE142" s="142"/>
      <c r="BF142" s="142"/>
      <c r="BG142" s="142"/>
      <c r="BH142" s="142"/>
      <c r="BI142" s="142"/>
      <c r="BJ142" s="142"/>
      <c r="BK142" s="142"/>
      <c r="BL142" s="142"/>
      <c r="BM142" s="142"/>
      <c r="BN142" s="142"/>
      <c r="BO142" s="142"/>
      <c r="BP142" s="114"/>
    </row>
    <row r="143" spans="1:69" x14ac:dyDescent="0.3">
      <c r="A143" s="388"/>
      <c r="D143" s="359"/>
      <c r="E143" s="115"/>
      <c r="F143" s="117" t="s">
        <v>514</v>
      </c>
      <c r="G143" s="118">
        <v>18924.874999999989</v>
      </c>
      <c r="H143" s="118">
        <v>18835.76100000001</v>
      </c>
      <c r="I143" s="118">
        <v>13054.540000000005</v>
      </c>
      <c r="J143" s="118">
        <v>12073.392</v>
      </c>
      <c r="K143" s="118">
        <v>9190.0689999999977</v>
      </c>
      <c r="L143" s="119">
        <v>8284.9270000000033</v>
      </c>
      <c r="M143" s="119">
        <v>107585.09600000001</v>
      </c>
      <c r="N143" s="119">
        <v>64568.612557</v>
      </c>
      <c r="O143" s="119">
        <v>3935.9470919999999</v>
      </c>
      <c r="P143" s="119">
        <v>60333.694902000003</v>
      </c>
      <c r="Q143" s="119">
        <v>34715.71905</v>
      </c>
      <c r="R143" s="119">
        <v>21880.071449999999</v>
      </c>
      <c r="S143" s="142"/>
      <c r="T143" s="142"/>
      <c r="U143" s="142"/>
      <c r="V143" s="142"/>
      <c r="W143" s="142"/>
      <c r="X143" s="142"/>
      <c r="Y143" s="142"/>
      <c r="Z143" s="142"/>
      <c r="AA143" s="142"/>
      <c r="AB143" s="142"/>
      <c r="AC143" s="142"/>
      <c r="AD143" s="142"/>
      <c r="AE143" s="142"/>
      <c r="AF143" s="142"/>
      <c r="AG143" s="142"/>
      <c r="AH143" s="142"/>
      <c r="AI143" s="142"/>
      <c r="AJ143" s="142"/>
      <c r="AK143" s="142"/>
      <c r="AL143" s="142"/>
      <c r="AM143" s="142"/>
      <c r="AN143" s="142"/>
      <c r="AO143" s="142"/>
      <c r="AP143" s="142"/>
      <c r="AQ143" s="142"/>
      <c r="AR143" s="142"/>
      <c r="AS143" s="142"/>
      <c r="AT143" s="142"/>
      <c r="AU143" s="142"/>
      <c r="AV143" s="142"/>
      <c r="AW143" s="142"/>
      <c r="AX143" s="142"/>
      <c r="AY143" s="142"/>
      <c r="AZ143" s="142"/>
      <c r="BA143" s="142"/>
      <c r="BB143" s="142"/>
      <c r="BC143" s="142"/>
      <c r="BD143" s="142"/>
      <c r="BE143" s="142"/>
      <c r="BF143" s="142"/>
      <c r="BG143" s="142"/>
      <c r="BH143" s="142"/>
      <c r="BI143" s="142"/>
      <c r="BJ143" s="142"/>
      <c r="BK143" s="142"/>
      <c r="BL143" s="142"/>
      <c r="BM143" s="142"/>
      <c r="BN143" s="142"/>
      <c r="BO143" s="142"/>
      <c r="BP143" s="114"/>
    </row>
    <row r="144" spans="1:69" x14ac:dyDescent="0.3">
      <c r="A144" s="388"/>
      <c r="D144" s="359"/>
      <c r="E144" s="115"/>
      <c r="F144" s="117" t="s">
        <v>515</v>
      </c>
      <c r="G144" s="118">
        <v>3819</v>
      </c>
      <c r="H144" s="118">
        <v>4042</v>
      </c>
      <c r="I144" s="118">
        <v>2773</v>
      </c>
      <c r="J144" s="118">
        <v>781</v>
      </c>
      <c r="K144" s="118">
        <v>1379</v>
      </c>
      <c r="L144" s="119">
        <v>120</v>
      </c>
      <c r="M144" s="119">
        <v>54</v>
      </c>
      <c r="N144" s="119">
        <v>55</v>
      </c>
      <c r="O144" s="119">
        <v>45</v>
      </c>
      <c r="P144" s="119">
        <v>5244</v>
      </c>
      <c r="Q144" s="119">
        <v>10</v>
      </c>
      <c r="R144" s="119">
        <v>4653</v>
      </c>
      <c r="S144" s="142"/>
      <c r="T144" s="142"/>
      <c r="U144" s="142"/>
      <c r="V144" s="142"/>
      <c r="W144" s="142"/>
      <c r="X144" s="142"/>
      <c r="Y144" s="142"/>
      <c r="Z144" s="142"/>
      <c r="AA144" s="142"/>
      <c r="AB144" s="142"/>
      <c r="AC144" s="142"/>
      <c r="AD144" s="142"/>
      <c r="AE144" s="142"/>
      <c r="AF144" s="142"/>
      <c r="AG144" s="142"/>
      <c r="AH144" s="142"/>
      <c r="AI144" s="142"/>
      <c r="AJ144" s="142"/>
      <c r="AK144" s="142"/>
      <c r="AL144" s="142"/>
      <c r="AM144" s="142"/>
      <c r="AN144" s="142"/>
      <c r="AO144" s="142"/>
      <c r="AP144" s="142"/>
      <c r="AQ144" s="142"/>
      <c r="AR144" s="142"/>
      <c r="AS144" s="142"/>
      <c r="AT144" s="142"/>
      <c r="AU144" s="142"/>
      <c r="AV144" s="142"/>
      <c r="AW144" s="142"/>
      <c r="AX144" s="142"/>
      <c r="AY144" s="142"/>
      <c r="AZ144" s="142"/>
      <c r="BA144" s="142"/>
      <c r="BB144" s="142"/>
      <c r="BC144" s="142"/>
      <c r="BD144" s="142"/>
      <c r="BE144" s="142"/>
      <c r="BF144" s="142"/>
      <c r="BG144" s="142"/>
      <c r="BH144" s="142"/>
      <c r="BI144" s="142"/>
      <c r="BJ144" s="142"/>
      <c r="BK144" s="142"/>
      <c r="BL144" s="142"/>
      <c r="BM144" s="142"/>
      <c r="BN144" s="142"/>
      <c r="BO144" s="142"/>
      <c r="BP144" s="114"/>
    </row>
    <row r="145" spans="1:68" x14ac:dyDescent="0.3">
      <c r="A145" s="388"/>
      <c r="D145" s="359" t="s">
        <v>525</v>
      </c>
      <c r="E145" s="115"/>
      <c r="F145" s="117" t="s">
        <v>516</v>
      </c>
      <c r="G145" s="120">
        <v>145781.23499999999</v>
      </c>
      <c r="H145" s="120">
        <v>249883.5609999999</v>
      </c>
      <c r="I145" s="120">
        <v>276091.58200000005</v>
      </c>
      <c r="J145" s="120">
        <v>201793.09799999991</v>
      </c>
      <c r="K145" s="120">
        <v>219898.57100000005</v>
      </c>
      <c r="L145" s="148">
        <v>275119.49599999998</v>
      </c>
      <c r="M145" s="148">
        <v>312803.0780000001</v>
      </c>
      <c r="N145" s="148">
        <v>281621.354208</v>
      </c>
      <c r="O145" s="148">
        <v>283069.39843200002</v>
      </c>
      <c r="P145" s="148">
        <v>187494.43719500001</v>
      </c>
      <c r="Q145" s="148">
        <v>162655.06445999999</v>
      </c>
      <c r="R145" s="148">
        <v>113121.93489999999</v>
      </c>
      <c r="S145" s="142"/>
      <c r="T145" s="142"/>
      <c r="U145" s="142"/>
      <c r="V145" s="142"/>
      <c r="W145" s="142"/>
      <c r="X145" s="142"/>
      <c r="Y145" s="142"/>
      <c r="Z145" s="142"/>
      <c r="AA145" s="142"/>
      <c r="AB145" s="142"/>
      <c r="AC145" s="142"/>
      <c r="AD145" s="142"/>
      <c r="AE145" s="142"/>
      <c r="AF145" s="142"/>
      <c r="AG145" s="142"/>
      <c r="AH145" s="142"/>
      <c r="AI145" s="142"/>
      <c r="AJ145" s="142"/>
      <c r="AK145" s="142"/>
      <c r="AL145" s="142"/>
      <c r="AM145" s="142"/>
      <c r="AN145" s="142"/>
      <c r="AO145" s="142"/>
      <c r="AP145" s="142"/>
      <c r="AQ145" s="142"/>
      <c r="AR145" s="142"/>
      <c r="AS145" s="142"/>
      <c r="AT145" s="142"/>
      <c r="AU145" s="142"/>
      <c r="AV145" s="142"/>
      <c r="AW145" s="142"/>
      <c r="AX145" s="142"/>
      <c r="AY145" s="142"/>
      <c r="AZ145" s="142"/>
      <c r="BA145" s="142"/>
      <c r="BB145" s="142"/>
      <c r="BC145" s="142"/>
      <c r="BD145" s="142"/>
      <c r="BE145" s="142"/>
      <c r="BF145" s="142"/>
      <c r="BG145" s="142"/>
      <c r="BH145" s="142"/>
      <c r="BI145" s="142"/>
      <c r="BJ145" s="142"/>
      <c r="BK145" s="142"/>
      <c r="BL145" s="142"/>
      <c r="BM145" s="142"/>
      <c r="BN145" s="142"/>
      <c r="BO145" s="142"/>
      <c r="BP145" s="114"/>
    </row>
    <row r="146" spans="1:68" x14ac:dyDescent="0.3">
      <c r="A146" s="388"/>
      <c r="D146" s="359"/>
      <c r="E146" s="115"/>
      <c r="F146" s="117" t="s">
        <v>517</v>
      </c>
      <c r="G146" s="118">
        <v>0.32700000000000001</v>
      </c>
      <c r="H146" s="118">
        <v>95</v>
      </c>
      <c r="I146" s="118">
        <v>102.08</v>
      </c>
      <c r="J146" s="118">
        <v>1.4770000000000001</v>
      </c>
      <c r="K146" s="118">
        <v>3.899</v>
      </c>
      <c r="L146" s="119">
        <v>1.177</v>
      </c>
      <c r="M146" s="119">
        <v>0</v>
      </c>
      <c r="N146" s="119">
        <v>0</v>
      </c>
      <c r="O146" s="119">
        <v>0.87678</v>
      </c>
      <c r="P146" s="119">
        <v>4.7019399999999996</v>
      </c>
      <c r="Q146" s="119">
        <v>0.5</v>
      </c>
      <c r="R146" s="119">
        <v>9.0071499999999993</v>
      </c>
      <c r="S146" s="142"/>
      <c r="T146" s="142"/>
      <c r="U146" s="142"/>
      <c r="V146" s="142"/>
      <c r="W146" s="142"/>
      <c r="X146" s="142"/>
      <c r="Y146" s="142"/>
      <c r="Z146" s="142"/>
      <c r="AA146" s="142"/>
      <c r="AB146" s="142"/>
      <c r="AC146" s="142"/>
      <c r="AD146" s="142"/>
      <c r="AE146" s="142"/>
      <c r="AF146" s="142"/>
      <c r="AG146" s="142"/>
      <c r="AH146" s="142"/>
      <c r="AI146" s="142"/>
      <c r="AJ146" s="142"/>
      <c r="AK146" s="142"/>
      <c r="AL146" s="142"/>
      <c r="AM146" s="142"/>
      <c r="AN146" s="142"/>
      <c r="AO146" s="142"/>
      <c r="AP146" s="142"/>
      <c r="AQ146" s="142"/>
      <c r="AR146" s="142"/>
      <c r="AS146" s="142"/>
      <c r="AT146" s="142"/>
      <c r="AU146" s="142"/>
      <c r="AV146" s="142"/>
      <c r="AW146" s="142"/>
      <c r="AX146" s="142"/>
      <c r="AY146" s="142"/>
      <c r="AZ146" s="142"/>
      <c r="BA146" s="142"/>
      <c r="BB146" s="142"/>
      <c r="BC146" s="142"/>
      <c r="BD146" s="142"/>
      <c r="BE146" s="142"/>
      <c r="BF146" s="142"/>
      <c r="BG146" s="142"/>
      <c r="BH146" s="142"/>
      <c r="BI146" s="142"/>
      <c r="BJ146" s="142"/>
      <c r="BK146" s="142"/>
      <c r="BL146" s="142"/>
      <c r="BM146" s="142"/>
      <c r="BN146" s="142"/>
      <c r="BO146" s="142"/>
      <c r="BP146" s="114"/>
    </row>
    <row r="147" spans="1:68" x14ac:dyDescent="0.3">
      <c r="A147" s="388"/>
      <c r="D147" s="359"/>
      <c r="E147" s="115"/>
      <c r="F147" s="117" t="s">
        <v>540</v>
      </c>
      <c r="G147" s="149">
        <v>27658.101000000017</v>
      </c>
      <c r="H147" s="149">
        <v>31761.237999999979</v>
      </c>
      <c r="I147" s="149">
        <v>30551.026999999987</v>
      </c>
      <c r="J147" s="149">
        <v>31163.52199999999</v>
      </c>
      <c r="K147" s="149">
        <v>35245.369999999995</v>
      </c>
      <c r="L147" s="139">
        <v>30767.182999999997</v>
      </c>
      <c r="M147" s="139">
        <v>32416.964999999993</v>
      </c>
      <c r="N147" s="139">
        <v>61362.83726</v>
      </c>
      <c r="O147" s="139">
        <v>30950.832095999998</v>
      </c>
      <c r="P147" s="139">
        <v>54689.659059999998</v>
      </c>
      <c r="Q147" s="139">
        <v>60920.557809999998</v>
      </c>
      <c r="R147" s="139">
        <v>65689.546759999997</v>
      </c>
      <c r="S147" s="142"/>
      <c r="T147" s="142"/>
      <c r="U147" s="142"/>
      <c r="V147" s="142"/>
      <c r="W147" s="142"/>
      <c r="X147" s="142"/>
      <c r="Y147" s="142"/>
      <c r="Z147" s="142"/>
      <c r="AA147" s="142"/>
      <c r="AB147" s="142"/>
      <c r="AC147" s="142"/>
      <c r="AD147" s="142"/>
      <c r="AE147" s="142"/>
      <c r="AF147" s="142"/>
      <c r="AG147" s="142"/>
      <c r="AH147" s="142"/>
      <c r="AI147" s="142"/>
      <c r="AJ147" s="142"/>
      <c r="AK147" s="142"/>
      <c r="AL147" s="142"/>
      <c r="AM147" s="142"/>
      <c r="AN147" s="142"/>
      <c r="AO147" s="142"/>
      <c r="AP147" s="142"/>
      <c r="AQ147" s="142"/>
      <c r="AR147" s="142"/>
      <c r="AS147" s="142"/>
      <c r="AT147" s="142"/>
      <c r="AU147" s="142"/>
      <c r="AV147" s="142"/>
      <c r="AW147" s="142"/>
      <c r="AX147" s="142"/>
      <c r="AY147" s="142"/>
      <c r="AZ147" s="142"/>
      <c r="BA147" s="142"/>
      <c r="BB147" s="142"/>
      <c r="BC147" s="142"/>
      <c r="BD147" s="142"/>
      <c r="BE147" s="142"/>
      <c r="BF147" s="142"/>
      <c r="BG147" s="142"/>
      <c r="BH147" s="142"/>
      <c r="BI147" s="142"/>
      <c r="BJ147" s="142"/>
      <c r="BK147" s="142"/>
      <c r="BL147" s="142"/>
      <c r="BM147" s="142"/>
      <c r="BN147" s="142"/>
      <c r="BO147" s="142"/>
      <c r="BP147" s="114"/>
    </row>
    <row r="148" spans="1:68" x14ac:dyDescent="0.3">
      <c r="A148" s="388"/>
      <c r="D148" s="359"/>
      <c r="E148" s="115"/>
      <c r="F148" s="117" t="s">
        <v>518</v>
      </c>
      <c r="G148" s="118">
        <v>20719</v>
      </c>
      <c r="H148" s="118">
        <v>23231</v>
      </c>
      <c r="I148" s="118">
        <v>22978</v>
      </c>
      <c r="J148" s="118">
        <v>24800</v>
      </c>
      <c r="K148" s="118">
        <v>20604</v>
      </c>
      <c r="L148" s="119">
        <v>11909</v>
      </c>
      <c r="M148" s="119">
        <v>8408</v>
      </c>
      <c r="N148" s="119">
        <v>12004</v>
      </c>
      <c r="O148" s="119">
        <v>9410</v>
      </c>
      <c r="P148" s="119">
        <v>2473</v>
      </c>
      <c r="Q148" s="119">
        <v>11074</v>
      </c>
      <c r="R148" s="119">
        <v>11222</v>
      </c>
      <c r="S148" s="142"/>
      <c r="T148" s="142"/>
      <c r="U148" s="142"/>
      <c r="V148" s="142"/>
      <c r="W148" s="142"/>
      <c r="X148" s="142"/>
      <c r="Y148" s="142"/>
      <c r="Z148" s="142"/>
      <c r="AA148" s="142"/>
      <c r="AB148" s="142"/>
      <c r="AC148" s="142"/>
      <c r="AD148" s="142"/>
      <c r="AE148" s="142"/>
      <c r="AF148" s="142"/>
      <c r="AG148" s="142"/>
      <c r="AH148" s="142"/>
      <c r="AI148" s="142"/>
      <c r="AJ148" s="142"/>
      <c r="AK148" s="142"/>
      <c r="AL148" s="142"/>
      <c r="AM148" s="142"/>
      <c r="AN148" s="142"/>
      <c r="AO148" s="142"/>
      <c r="AP148" s="142"/>
      <c r="AQ148" s="142"/>
      <c r="AR148" s="142"/>
      <c r="AS148" s="142"/>
      <c r="AT148" s="142"/>
      <c r="AU148" s="142"/>
      <c r="AV148" s="142"/>
      <c r="AW148" s="142"/>
      <c r="AX148" s="142"/>
      <c r="AY148" s="142"/>
      <c r="AZ148" s="142"/>
      <c r="BA148" s="142"/>
      <c r="BB148" s="142"/>
      <c r="BC148" s="142"/>
      <c r="BD148" s="142"/>
      <c r="BE148" s="142"/>
      <c r="BF148" s="142"/>
      <c r="BG148" s="142"/>
      <c r="BH148" s="142"/>
      <c r="BI148" s="142"/>
      <c r="BJ148" s="142"/>
      <c r="BK148" s="142"/>
      <c r="BL148" s="142"/>
      <c r="BM148" s="142"/>
      <c r="BN148" s="142"/>
      <c r="BO148" s="142"/>
      <c r="BP148" s="114"/>
    </row>
    <row r="149" spans="1:68" x14ac:dyDescent="0.3">
      <c r="A149" s="388"/>
      <c r="D149" s="359"/>
      <c r="E149" s="115"/>
      <c r="F149" s="117" t="s">
        <v>541</v>
      </c>
      <c r="G149" s="118">
        <v>37.871000000000002</v>
      </c>
      <c r="H149" s="118">
        <v>100.108</v>
      </c>
      <c r="I149" s="118">
        <v>459.59000000000003</v>
      </c>
      <c r="J149" s="118">
        <v>100.00799999999998</v>
      </c>
      <c r="K149" s="118">
        <v>727.63199999999995</v>
      </c>
      <c r="L149" s="119">
        <v>1437.7820000000004</v>
      </c>
      <c r="M149" s="119">
        <v>1770.865</v>
      </c>
      <c r="N149" s="119">
        <v>1938.4321</v>
      </c>
      <c r="O149" s="119">
        <v>1719.3513499999999</v>
      </c>
      <c r="P149" s="119">
        <v>2388.8966999999998</v>
      </c>
      <c r="Q149" s="119">
        <v>1798.4292499999999</v>
      </c>
      <c r="R149" s="119">
        <v>1439.2782999999999</v>
      </c>
      <c r="S149" s="142"/>
      <c r="T149" s="142"/>
      <c r="U149" s="142"/>
      <c r="V149" s="142"/>
      <c r="W149" s="142"/>
      <c r="X149" s="142"/>
      <c r="Y149" s="142"/>
      <c r="Z149" s="142"/>
      <c r="AA149" s="142"/>
      <c r="AB149" s="142"/>
      <c r="AC149" s="142"/>
      <c r="AD149" s="142"/>
      <c r="AE149" s="142"/>
      <c r="AF149" s="142"/>
      <c r="AG149" s="142"/>
      <c r="AH149" s="142"/>
      <c r="AI149" s="142"/>
      <c r="AJ149" s="142"/>
      <c r="AK149" s="142"/>
      <c r="AL149" s="142"/>
      <c r="AM149" s="142"/>
      <c r="AN149" s="142"/>
      <c r="AO149" s="142"/>
      <c r="AP149" s="142"/>
      <c r="AQ149" s="142"/>
      <c r="AR149" s="142"/>
      <c r="AS149" s="142"/>
      <c r="AT149" s="142"/>
      <c r="AU149" s="142"/>
      <c r="AV149" s="142"/>
      <c r="AW149" s="142"/>
      <c r="AX149" s="142"/>
      <c r="AY149" s="142"/>
      <c r="AZ149" s="142"/>
      <c r="BA149" s="142"/>
      <c r="BB149" s="142"/>
      <c r="BC149" s="142"/>
      <c r="BD149" s="142"/>
      <c r="BE149" s="142"/>
      <c r="BF149" s="142"/>
      <c r="BG149" s="142"/>
      <c r="BH149" s="142"/>
      <c r="BI149" s="142"/>
      <c r="BJ149" s="142"/>
      <c r="BK149" s="142"/>
      <c r="BL149" s="142"/>
      <c r="BM149" s="142"/>
      <c r="BN149" s="142"/>
      <c r="BO149" s="142"/>
      <c r="BP149" s="114"/>
    </row>
    <row r="150" spans="1:68" x14ac:dyDescent="0.3">
      <c r="A150" s="388"/>
      <c r="D150" s="359"/>
      <c r="E150" s="115"/>
      <c r="F150" s="117" t="s">
        <v>520</v>
      </c>
      <c r="G150" s="118">
        <v>4812</v>
      </c>
      <c r="H150" s="118">
        <v>17067</v>
      </c>
      <c r="I150" s="118">
        <v>7182</v>
      </c>
      <c r="J150" s="118">
        <v>426</v>
      </c>
      <c r="K150" s="118">
        <v>434</v>
      </c>
      <c r="L150" s="119">
        <v>366</v>
      </c>
      <c r="M150" s="119">
        <v>431</v>
      </c>
      <c r="N150" s="119">
        <v>461</v>
      </c>
      <c r="O150" s="119">
        <v>362</v>
      </c>
      <c r="P150" s="119">
        <v>214</v>
      </c>
      <c r="Q150" s="119">
        <v>1178</v>
      </c>
      <c r="R150" s="119">
        <v>539</v>
      </c>
      <c r="S150" s="142"/>
      <c r="T150" s="142"/>
      <c r="U150" s="142"/>
      <c r="V150" s="142"/>
      <c r="W150" s="142"/>
      <c r="X150" s="142"/>
      <c r="Y150" s="142"/>
      <c r="Z150" s="142"/>
      <c r="AA150" s="142"/>
      <c r="AB150" s="142"/>
      <c r="AC150" s="142"/>
      <c r="AD150" s="142"/>
      <c r="AE150" s="142"/>
      <c r="AF150" s="142"/>
      <c r="AG150" s="142"/>
      <c r="AH150" s="142"/>
      <c r="AI150" s="142"/>
      <c r="AJ150" s="142"/>
      <c r="AK150" s="142"/>
      <c r="AL150" s="142"/>
      <c r="AM150" s="142"/>
      <c r="AN150" s="142"/>
      <c r="AO150" s="142"/>
      <c r="AP150" s="142"/>
      <c r="AQ150" s="142"/>
      <c r="AR150" s="142"/>
      <c r="AS150" s="142"/>
      <c r="AT150" s="142"/>
      <c r="AU150" s="142"/>
      <c r="AV150" s="142"/>
      <c r="AW150" s="142"/>
      <c r="AX150" s="142"/>
      <c r="AY150" s="142"/>
      <c r="AZ150" s="142"/>
      <c r="BA150" s="142"/>
      <c r="BB150" s="142"/>
      <c r="BC150" s="142"/>
      <c r="BD150" s="142"/>
      <c r="BE150" s="142"/>
      <c r="BF150" s="142"/>
      <c r="BG150" s="142"/>
      <c r="BH150" s="142"/>
      <c r="BI150" s="142"/>
      <c r="BJ150" s="142"/>
      <c r="BK150" s="142"/>
      <c r="BL150" s="142"/>
      <c r="BM150" s="142"/>
      <c r="BN150" s="142"/>
      <c r="BO150" s="142"/>
      <c r="BP150" s="114"/>
    </row>
    <row r="151" spans="1:68" x14ac:dyDescent="0.3">
      <c r="A151" s="388"/>
      <c r="D151" s="359"/>
      <c r="E151" s="115"/>
      <c r="F151" s="117" t="s">
        <v>521</v>
      </c>
      <c r="G151" s="118">
        <f>226905.214+162050.931</f>
        <v>388956.14500000002</v>
      </c>
      <c r="H151" s="118">
        <f>217110.526+217909.052</f>
        <v>435019.57799999998</v>
      </c>
      <c r="I151" s="118">
        <f>154921.423+185501.618</f>
        <v>340423.04099999997</v>
      </c>
      <c r="J151" s="118">
        <f>155643.634+203032.909</f>
        <v>358676.54300000001</v>
      </c>
      <c r="K151" s="118">
        <f>161065.635+201828.913</f>
        <v>362894.54800000001</v>
      </c>
      <c r="L151" s="119">
        <f>177246.29+197688.026</f>
        <v>374934.31599999999</v>
      </c>
      <c r="M151" s="119">
        <f>199108.23+192922.305</f>
        <v>392030.53500000003</v>
      </c>
      <c r="N151" s="119">
        <f>498767.817827+158989.164348</f>
        <v>657756.98217500001</v>
      </c>
      <c r="O151" s="119">
        <f>311881.998622+214220.687848</f>
        <v>526102.68646999996</v>
      </c>
      <c r="P151" s="119">
        <f>355865.578971+211732.634679</f>
        <v>567598.21365000005</v>
      </c>
      <c r="Q151" s="119">
        <f>643288.959071+224030.970789</f>
        <v>867319.92986000003</v>
      </c>
      <c r="R151" s="119">
        <f>392181.56466+211950.09953</f>
        <v>604131.66418999992</v>
      </c>
      <c r="S151" s="142"/>
      <c r="T151" s="142"/>
      <c r="U151" s="142"/>
      <c r="V151" s="142"/>
      <c r="W151" s="142"/>
      <c r="X151" s="142"/>
      <c r="Y151" s="142"/>
      <c r="Z151" s="142"/>
      <c r="AA151" s="142"/>
      <c r="AB151" s="142"/>
      <c r="AC151" s="142"/>
      <c r="AD151" s="142"/>
      <c r="AE151" s="142"/>
      <c r="AF151" s="142"/>
      <c r="AG151" s="142"/>
      <c r="AH151" s="142"/>
      <c r="AI151" s="142"/>
      <c r="AJ151" s="142"/>
      <c r="AK151" s="142"/>
      <c r="AL151" s="142"/>
      <c r="AM151" s="142"/>
      <c r="AN151" s="142"/>
      <c r="AO151" s="142"/>
      <c r="AP151" s="142"/>
      <c r="AQ151" s="142"/>
      <c r="AR151" s="142"/>
      <c r="AS151" s="142"/>
      <c r="AT151" s="142"/>
      <c r="AU151" s="142"/>
      <c r="AV151" s="142"/>
      <c r="AW151" s="142"/>
      <c r="AX151" s="142"/>
      <c r="AY151" s="142"/>
      <c r="AZ151" s="142"/>
      <c r="BA151" s="142"/>
      <c r="BB151" s="142"/>
      <c r="BC151" s="142"/>
      <c r="BD151" s="142"/>
      <c r="BE151" s="142"/>
      <c r="BF151" s="142"/>
      <c r="BG151" s="142"/>
      <c r="BH151" s="142"/>
      <c r="BI151" s="142"/>
      <c r="BJ151" s="142"/>
      <c r="BK151" s="142"/>
      <c r="BL151" s="142"/>
      <c r="BM151" s="142"/>
      <c r="BN151" s="142"/>
      <c r="BO151" s="142"/>
      <c r="BP151" s="114"/>
    </row>
    <row r="152" spans="1:68" x14ac:dyDescent="0.3">
      <c r="A152" s="388"/>
      <c r="D152" s="359"/>
      <c r="E152" s="115"/>
      <c r="F152" s="117" t="s">
        <v>522</v>
      </c>
      <c r="G152" s="118">
        <v>76350.899000000005</v>
      </c>
      <c r="H152" s="118">
        <v>83205.762000000017</v>
      </c>
      <c r="I152" s="118">
        <v>76043.911000000007</v>
      </c>
      <c r="J152" s="118">
        <v>69153.828000000009</v>
      </c>
      <c r="K152" s="118">
        <v>70939.362000000008</v>
      </c>
      <c r="L152" s="119">
        <v>61315.491000000002</v>
      </c>
      <c r="M152" s="119">
        <v>62301.592000000004</v>
      </c>
      <c r="N152" s="119">
        <v>36158.52274</v>
      </c>
      <c r="O152" s="119">
        <v>74010.882603999999</v>
      </c>
      <c r="P152" s="119">
        <v>53489.69584</v>
      </c>
      <c r="Q152" s="119">
        <v>88071.677830999994</v>
      </c>
      <c r="R152" s="119">
        <v>53098.379740000004</v>
      </c>
      <c r="S152" s="142"/>
      <c r="T152" s="142"/>
      <c r="U152" s="142"/>
      <c r="V152" s="142"/>
      <c r="W152" s="142"/>
      <c r="X152" s="142"/>
      <c r="Y152" s="142"/>
      <c r="Z152" s="142"/>
      <c r="AA152" s="142"/>
      <c r="AB152" s="142"/>
      <c r="AC152" s="142"/>
      <c r="AD152" s="142"/>
      <c r="AE152" s="142"/>
      <c r="AF152" s="142"/>
      <c r="AG152" s="142"/>
      <c r="AH152" s="142"/>
      <c r="AI152" s="142"/>
      <c r="AJ152" s="142"/>
      <c r="AK152" s="142"/>
      <c r="AL152" s="142"/>
      <c r="AM152" s="142"/>
      <c r="AN152" s="142"/>
      <c r="AO152" s="142"/>
      <c r="AP152" s="142"/>
      <c r="AQ152" s="142"/>
      <c r="AR152" s="142"/>
      <c r="AS152" s="142"/>
      <c r="AT152" s="142"/>
      <c r="AU152" s="142"/>
      <c r="AV152" s="142"/>
      <c r="AW152" s="142"/>
      <c r="AX152" s="142"/>
      <c r="AY152" s="142"/>
      <c r="AZ152" s="142"/>
      <c r="BA152" s="142"/>
      <c r="BB152" s="142"/>
      <c r="BC152" s="142"/>
      <c r="BD152" s="142"/>
      <c r="BE152" s="142"/>
      <c r="BF152" s="142"/>
      <c r="BG152" s="142"/>
      <c r="BH152" s="142"/>
      <c r="BI152" s="142"/>
      <c r="BJ152" s="142"/>
      <c r="BK152" s="142"/>
      <c r="BL152" s="142"/>
      <c r="BM152" s="142"/>
      <c r="BN152" s="142"/>
      <c r="BO152" s="142"/>
      <c r="BP152" s="114"/>
    </row>
    <row r="153" spans="1:68" x14ac:dyDescent="0.3">
      <c r="A153" s="354"/>
      <c r="B153" s="354"/>
      <c r="C153" s="354"/>
      <c r="D153" s="359"/>
      <c r="E153" s="115"/>
      <c r="F153" s="117"/>
      <c r="G153" s="118"/>
      <c r="H153" s="118"/>
      <c r="I153" s="118"/>
      <c r="J153" s="118"/>
      <c r="K153" s="118"/>
      <c r="L153" s="119"/>
      <c r="M153" s="119"/>
      <c r="N153" s="119"/>
      <c r="O153" s="119"/>
      <c r="P153" s="119"/>
      <c r="Q153" s="119"/>
      <c r="R153" s="119"/>
      <c r="S153" s="142"/>
      <c r="T153" s="142"/>
      <c r="U153" s="142"/>
      <c r="V153" s="142"/>
      <c r="W153" s="142"/>
      <c r="X153" s="142"/>
      <c r="Y153" s="142"/>
      <c r="Z153" s="142"/>
      <c r="AA153" s="142"/>
      <c r="AB153" s="142"/>
      <c r="AC153" s="142"/>
      <c r="AD153" s="142"/>
      <c r="AE153" s="142"/>
      <c r="AF153" s="142"/>
      <c r="AG153" s="142"/>
      <c r="AH153" s="142"/>
      <c r="AI153" s="142"/>
      <c r="AJ153" s="142"/>
      <c r="AK153" s="142"/>
      <c r="AL153" s="142"/>
      <c r="AM153" s="142"/>
      <c r="AN153" s="142"/>
      <c r="AO153" s="142"/>
      <c r="AP153" s="142"/>
      <c r="AQ153" s="142"/>
      <c r="AR153" s="142"/>
      <c r="AS153" s="142"/>
      <c r="AT153" s="142"/>
      <c r="AU153" s="142"/>
      <c r="AV153" s="142"/>
      <c r="AW153" s="142"/>
      <c r="AX153" s="142"/>
      <c r="AY153" s="142"/>
      <c r="AZ153" s="142"/>
      <c r="BA153" s="142"/>
      <c r="BB153" s="142"/>
      <c r="BC153" s="142"/>
      <c r="BD153" s="142"/>
      <c r="BE153" s="142"/>
      <c r="BF153" s="142"/>
      <c r="BG153" s="142"/>
      <c r="BH153" s="142"/>
      <c r="BI153" s="142"/>
      <c r="BJ153" s="142"/>
      <c r="BK153" s="142"/>
      <c r="BL153" s="142"/>
      <c r="BM153" s="142"/>
      <c r="BN153" s="142"/>
      <c r="BO153" s="142"/>
      <c r="BP153" s="114"/>
    </row>
    <row r="154" spans="1:68" ht="15.6" x14ac:dyDescent="0.3">
      <c r="A154" s="354"/>
      <c r="B154" s="354"/>
      <c r="C154" s="354"/>
      <c r="D154" s="359"/>
      <c r="E154" s="115"/>
      <c r="F154" s="116" t="s">
        <v>542</v>
      </c>
      <c r="G154" s="111"/>
      <c r="H154" s="111"/>
      <c r="I154" s="111"/>
      <c r="J154" s="111"/>
      <c r="K154" s="111"/>
      <c r="L154" s="112"/>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c r="AS154" s="113"/>
      <c r="AT154" s="113"/>
      <c r="AU154" s="113"/>
      <c r="AV154" s="113"/>
      <c r="AW154" s="113"/>
      <c r="AX154" s="113"/>
      <c r="AY154" s="113"/>
      <c r="AZ154" s="113"/>
      <c r="BA154" s="113"/>
      <c r="BB154" s="113"/>
      <c r="BC154" s="113"/>
      <c r="BD154" s="113"/>
      <c r="BE154" s="113"/>
      <c r="BF154" s="113"/>
      <c r="BG154" s="113"/>
      <c r="BH154" s="113"/>
      <c r="BI154" s="113"/>
      <c r="BJ154" s="113"/>
      <c r="BK154" s="113"/>
      <c r="BL154" s="113"/>
      <c r="BM154" s="113"/>
      <c r="BN154" s="113"/>
      <c r="BO154" s="113"/>
      <c r="BP154" s="114"/>
    </row>
    <row r="155" spans="1:68" x14ac:dyDescent="0.3">
      <c r="A155" s="364" t="s">
        <v>538</v>
      </c>
      <c r="B155" s="352"/>
      <c r="C155" s="352"/>
      <c r="D155" s="359"/>
      <c r="E155" s="115"/>
      <c r="F155" s="117" t="s">
        <v>409</v>
      </c>
      <c r="G155" s="122">
        <f t="shared" ref="G155:S155" si="140">G140*(1-$I$135/100)/1000000</f>
        <v>4.895518124970005</v>
      </c>
      <c r="H155" s="122">
        <f t="shared" ref="H155:K155" si="141">H140*(1-$I$135/100)/1000000</f>
        <v>5.3379665786700023</v>
      </c>
      <c r="I155" s="122">
        <f t="shared" si="141"/>
        <v>4.9313500236000012</v>
      </c>
      <c r="J155" s="122">
        <f t="shared" si="141"/>
        <v>5.1434496333000039</v>
      </c>
      <c r="K155" s="122">
        <f t="shared" si="141"/>
        <v>5.6586117693600002</v>
      </c>
      <c r="L155" s="123">
        <f t="shared" si="140"/>
        <v>5.9792322328200012</v>
      </c>
      <c r="M155" s="123">
        <f t="shared" si="140"/>
        <v>5.8720794432299988</v>
      </c>
      <c r="N155" s="123">
        <f t="shared" si="140"/>
        <v>6.0342910774502396</v>
      </c>
      <c r="O155" s="123">
        <f t="shared" si="140"/>
        <v>6.4412943479101799</v>
      </c>
      <c r="P155" s="123">
        <f t="shared" si="140"/>
        <v>6.4224338951767495</v>
      </c>
      <c r="Q155" s="123">
        <f t="shared" si="140"/>
        <v>6.4986761916816302</v>
      </c>
      <c r="R155" s="123">
        <f t="shared" si="140"/>
        <v>6.55878148572834</v>
      </c>
      <c r="S155" s="123">
        <f t="shared" si="140"/>
        <v>5.9578210989000002</v>
      </c>
      <c r="T155" s="150">
        <f t="shared" ref="T155:V155" si="142">S155*1.01</f>
        <v>6.017399309889</v>
      </c>
      <c r="U155" s="150">
        <f t="shared" si="142"/>
        <v>6.07757330298789</v>
      </c>
      <c r="V155" s="150">
        <f t="shared" si="142"/>
        <v>6.138349036017769</v>
      </c>
      <c r="W155" s="151">
        <f>V155</f>
        <v>6.138349036017769</v>
      </c>
      <c r="X155" s="151">
        <f t="shared" ref="X155:BO155" si="143">W155</f>
        <v>6.138349036017769</v>
      </c>
      <c r="Y155" s="151">
        <f t="shared" si="143"/>
        <v>6.138349036017769</v>
      </c>
      <c r="Z155" s="151">
        <f t="shared" si="143"/>
        <v>6.138349036017769</v>
      </c>
      <c r="AA155" s="151">
        <f t="shared" si="143"/>
        <v>6.138349036017769</v>
      </c>
      <c r="AB155" s="151">
        <f t="shared" si="143"/>
        <v>6.138349036017769</v>
      </c>
      <c r="AC155" s="151">
        <f t="shared" si="143"/>
        <v>6.138349036017769</v>
      </c>
      <c r="AD155" s="151">
        <f t="shared" si="143"/>
        <v>6.138349036017769</v>
      </c>
      <c r="AE155" s="151">
        <f t="shared" si="143"/>
        <v>6.138349036017769</v>
      </c>
      <c r="AF155" s="151">
        <f t="shared" si="143"/>
        <v>6.138349036017769</v>
      </c>
      <c r="AG155" s="151">
        <f t="shared" si="143"/>
        <v>6.138349036017769</v>
      </c>
      <c r="AH155" s="151">
        <f t="shared" si="143"/>
        <v>6.138349036017769</v>
      </c>
      <c r="AI155" s="151">
        <f t="shared" si="143"/>
        <v>6.138349036017769</v>
      </c>
      <c r="AJ155" s="151">
        <f t="shared" si="143"/>
        <v>6.138349036017769</v>
      </c>
      <c r="AK155" s="151">
        <f t="shared" si="143"/>
        <v>6.138349036017769</v>
      </c>
      <c r="AL155" s="151">
        <f t="shared" si="143"/>
        <v>6.138349036017769</v>
      </c>
      <c r="AM155" s="151">
        <f t="shared" si="143"/>
        <v>6.138349036017769</v>
      </c>
      <c r="AN155" s="151">
        <f t="shared" si="143"/>
        <v>6.138349036017769</v>
      </c>
      <c r="AO155" s="151">
        <f t="shared" si="143"/>
        <v>6.138349036017769</v>
      </c>
      <c r="AP155" s="151">
        <f t="shared" si="143"/>
        <v>6.138349036017769</v>
      </c>
      <c r="AQ155" s="151">
        <f t="shared" si="143"/>
        <v>6.138349036017769</v>
      </c>
      <c r="AR155" s="151">
        <f t="shared" si="143"/>
        <v>6.138349036017769</v>
      </c>
      <c r="AS155" s="151">
        <f t="shared" si="143"/>
        <v>6.138349036017769</v>
      </c>
      <c r="AT155" s="151">
        <f t="shared" si="143"/>
        <v>6.138349036017769</v>
      </c>
      <c r="AU155" s="151">
        <f t="shared" si="143"/>
        <v>6.138349036017769</v>
      </c>
      <c r="AV155" s="151">
        <f t="shared" si="143"/>
        <v>6.138349036017769</v>
      </c>
      <c r="AW155" s="151">
        <f t="shared" si="143"/>
        <v>6.138349036017769</v>
      </c>
      <c r="AX155" s="151">
        <f t="shared" si="143"/>
        <v>6.138349036017769</v>
      </c>
      <c r="AY155" s="151">
        <f t="shared" si="143"/>
        <v>6.138349036017769</v>
      </c>
      <c r="AZ155" s="151">
        <f t="shared" si="143"/>
        <v>6.138349036017769</v>
      </c>
      <c r="BA155" s="151">
        <f t="shared" si="143"/>
        <v>6.138349036017769</v>
      </c>
      <c r="BB155" s="151">
        <f t="shared" si="143"/>
        <v>6.138349036017769</v>
      </c>
      <c r="BC155" s="151">
        <f t="shared" si="143"/>
        <v>6.138349036017769</v>
      </c>
      <c r="BD155" s="151">
        <f t="shared" si="143"/>
        <v>6.138349036017769</v>
      </c>
      <c r="BE155" s="151">
        <f t="shared" si="143"/>
        <v>6.138349036017769</v>
      </c>
      <c r="BF155" s="151">
        <f t="shared" si="143"/>
        <v>6.138349036017769</v>
      </c>
      <c r="BG155" s="151">
        <f t="shared" si="143"/>
        <v>6.138349036017769</v>
      </c>
      <c r="BH155" s="151">
        <f t="shared" si="143"/>
        <v>6.138349036017769</v>
      </c>
      <c r="BI155" s="151">
        <f t="shared" si="143"/>
        <v>6.138349036017769</v>
      </c>
      <c r="BJ155" s="151">
        <f t="shared" si="143"/>
        <v>6.138349036017769</v>
      </c>
      <c r="BK155" s="151">
        <f t="shared" si="143"/>
        <v>6.138349036017769</v>
      </c>
      <c r="BL155" s="151">
        <f t="shared" si="143"/>
        <v>6.138349036017769</v>
      </c>
      <c r="BM155" s="151">
        <f t="shared" si="143"/>
        <v>6.138349036017769</v>
      </c>
      <c r="BN155" s="151">
        <f t="shared" si="143"/>
        <v>6.138349036017769</v>
      </c>
      <c r="BO155" s="151">
        <f t="shared" si="143"/>
        <v>6.138349036017769</v>
      </c>
      <c r="BP155" s="114"/>
    </row>
    <row r="156" spans="1:68" x14ac:dyDescent="0.3">
      <c r="A156" s="388"/>
      <c r="D156" s="359"/>
      <c r="E156" s="115"/>
      <c r="F156" s="117" t="s">
        <v>394</v>
      </c>
      <c r="G156" s="122">
        <f t="shared" ref="G156:K156" si="144">G141*(1-$I$135/100)/1000000</f>
        <v>0.11515451013000001</v>
      </c>
      <c r="H156" s="122">
        <f t="shared" si="144"/>
        <v>0.15689861648999989</v>
      </c>
      <c r="I156" s="122">
        <f t="shared" si="144"/>
        <v>0.14542552826999999</v>
      </c>
      <c r="J156" s="122">
        <f t="shared" si="144"/>
        <v>0.17481652650000004</v>
      </c>
      <c r="K156" s="122">
        <f t="shared" si="144"/>
        <v>0.19688994665999995</v>
      </c>
      <c r="L156" s="152">
        <v>0.10691755741206391</v>
      </c>
      <c r="M156" s="152">
        <v>0.10347971136207058</v>
      </c>
      <c r="N156" s="152">
        <v>0.12933425677374569</v>
      </c>
      <c r="O156" s="152">
        <v>0.15438395645991049</v>
      </c>
      <c r="P156" s="152">
        <v>0.2012267057146741</v>
      </c>
      <c r="Q156" s="152">
        <v>0.24391120485460657</v>
      </c>
      <c r="R156" s="152">
        <v>0.2146640968001953</v>
      </c>
      <c r="S156" s="150">
        <v>0.21361056392682454</v>
      </c>
      <c r="T156" s="150">
        <v>0.20308375212409918</v>
      </c>
      <c r="U156" s="150">
        <v>0.2393607880567398</v>
      </c>
      <c r="V156" s="150">
        <v>0.23341465749310975</v>
      </c>
      <c r="W156" s="151">
        <f>1.01*V156</f>
        <v>0.23574880406804086</v>
      </c>
      <c r="X156" s="151">
        <f>1.01*W156</f>
        <v>0.23810629210872128</v>
      </c>
      <c r="Y156" s="151">
        <f t="shared" ref="Y156:Z156" si="145">1.01*X156</f>
        <v>0.2404873550298085</v>
      </c>
      <c r="Z156" s="151">
        <f t="shared" si="145"/>
        <v>0.24289222858010659</v>
      </c>
      <c r="AA156" s="151">
        <f>1.01*Z156</f>
        <v>0.24532115086590767</v>
      </c>
      <c r="AB156" s="151">
        <f>1.01*AA156</f>
        <v>0.24777436237456674</v>
      </c>
      <c r="AC156" s="151">
        <f t="shared" ref="AC156" si="146">1.01*AB156</f>
        <v>0.25025210599831238</v>
      </c>
      <c r="AD156" s="151">
        <f>1.01*AC156</f>
        <v>0.25275462705829549</v>
      </c>
      <c r="AE156" s="151">
        <f>1.01*AD156</f>
        <v>0.25528217332887843</v>
      </c>
      <c r="AF156" s="151">
        <f t="shared" ref="AF156" si="147">1.01*AE156</f>
        <v>0.25783499506216723</v>
      </c>
      <c r="AG156" s="150">
        <v>0.26442319261586417</v>
      </c>
      <c r="AH156" s="150">
        <v>0.26944644125972717</v>
      </c>
      <c r="AI156" s="150">
        <v>0.27320158401019423</v>
      </c>
      <c r="AJ156" s="150">
        <v>0.28130781924425075</v>
      </c>
      <c r="AK156" s="150">
        <v>0.28859768756985871</v>
      </c>
      <c r="AL156" s="150">
        <v>0.29535890757322503</v>
      </c>
      <c r="AM156" s="150">
        <v>0.30188471643059656</v>
      </c>
      <c r="AN156" s="150">
        <v>0.30694334815927832</v>
      </c>
      <c r="AO156" s="150">
        <v>0.31341033727897438</v>
      </c>
      <c r="AP156" s="150">
        <v>0.31909988281386342</v>
      </c>
      <c r="AQ156" s="150">
        <v>0.32666868318353931</v>
      </c>
      <c r="AR156" s="150">
        <v>0.33280253373059726</v>
      </c>
      <c r="AS156" s="150">
        <v>0.33874705808284311</v>
      </c>
      <c r="AT156" s="150">
        <v>0.34487883278384729</v>
      </c>
      <c r="AU156" s="150">
        <v>0.35105663719161195</v>
      </c>
      <c r="AV156" s="150">
        <v>0.35810466410428549</v>
      </c>
      <c r="AW156" s="150">
        <v>0.36456250825699243</v>
      </c>
      <c r="AX156" s="150">
        <v>0.37104959467767096</v>
      </c>
      <c r="AY156" s="150">
        <v>0.37770642722132913</v>
      </c>
      <c r="AZ156" s="150">
        <v>0.38440745630198248</v>
      </c>
      <c r="BA156" s="150">
        <v>0.39129458243461984</v>
      </c>
      <c r="BB156" s="150">
        <v>0.39797175855918726</v>
      </c>
      <c r="BC156" s="150">
        <v>0.40472057819084878</v>
      </c>
      <c r="BD156" s="150">
        <v>0.4115350142096868</v>
      </c>
      <c r="BE156" s="150">
        <v>0.41837824224718523</v>
      </c>
      <c r="BF156" s="150">
        <v>0.42521687744617587</v>
      </c>
      <c r="BG156" s="150">
        <v>0.43207389246963934</v>
      </c>
      <c r="BH156" s="150">
        <v>0.43895889293993379</v>
      </c>
      <c r="BI156" s="150">
        <v>0.44587302439938631</v>
      </c>
      <c r="BJ156" s="150">
        <v>0.45279568554072197</v>
      </c>
      <c r="BK156" s="150">
        <v>0.45972403741408635</v>
      </c>
      <c r="BL156" s="150">
        <v>0.46664760050298321</v>
      </c>
      <c r="BM156" s="150">
        <v>0.47357986243178296</v>
      </c>
      <c r="BN156" s="150">
        <v>0.48051615245046136</v>
      </c>
      <c r="BO156" s="150">
        <v>0.48745137401845479</v>
      </c>
      <c r="BP156" s="114"/>
    </row>
    <row r="157" spans="1:68" x14ac:dyDescent="0.3">
      <c r="A157" s="388"/>
      <c r="D157" s="359"/>
      <c r="E157" s="115"/>
      <c r="F157" s="117" t="s">
        <v>395</v>
      </c>
      <c r="G157" s="122">
        <f t="shared" ref="G157:K157" si="148">G142*(1-$I$135/100)/1000000</f>
        <v>2.1138937380000011E-2</v>
      </c>
      <c r="H157" s="122">
        <f t="shared" si="148"/>
        <v>3.5100480690000019E-2</v>
      </c>
      <c r="I157" s="122">
        <f t="shared" si="148"/>
        <v>2.7879321690000004E-2</v>
      </c>
      <c r="J157" s="122">
        <f t="shared" si="148"/>
        <v>1.204404894E-2</v>
      </c>
      <c r="K157" s="122">
        <f t="shared" si="148"/>
        <v>8.9374982400000063E-3</v>
      </c>
      <c r="L157" s="123">
        <f t="shared" ref="L157:R162" si="149">L142*(1-$I$135/100)/1000000</f>
        <v>6.4029685499999971E-3</v>
      </c>
      <c r="M157" s="123">
        <f t="shared" si="149"/>
        <v>5.2310560499999976E-3</v>
      </c>
      <c r="N157" s="123">
        <f t="shared" si="149"/>
        <v>5.0802532832700002E-3</v>
      </c>
      <c r="O157" s="123">
        <f t="shared" si="149"/>
        <v>4.5782228497500002E-3</v>
      </c>
      <c r="P157" s="123">
        <f t="shared" si="149"/>
        <v>1.83901200912E-3</v>
      </c>
      <c r="Q157" s="123">
        <f t="shared" si="149"/>
        <v>1.9353822414299999E-3</v>
      </c>
      <c r="R157" s="123">
        <f t="shared" si="149"/>
        <v>4.0226835042900004E-3</v>
      </c>
      <c r="S157" s="150">
        <v>4.0029408953763147E-3</v>
      </c>
      <c r="T157" s="150">
        <v>3.8056744086987435E-3</v>
      </c>
      <c r="U157" s="150">
        <v>4.4854855005675362E-3</v>
      </c>
      <c r="V157" s="150">
        <v>4.3740583840202688E-3</v>
      </c>
      <c r="W157" s="150">
        <v>5.1477137832883439E-3</v>
      </c>
      <c r="X157" s="150">
        <v>5.4377728313434329E-3</v>
      </c>
      <c r="Y157" s="150">
        <v>5.7571744392741521E-3</v>
      </c>
      <c r="Z157" s="150">
        <v>6.0330377329810411E-3</v>
      </c>
      <c r="AA157" s="150">
        <v>6.392300531200921E-3</v>
      </c>
      <c r="AB157" s="150">
        <v>5.9485286303006726E-3</v>
      </c>
      <c r="AC157" s="150">
        <v>6.1758059284482145E-3</v>
      </c>
      <c r="AD157" s="150">
        <v>6.490119439948411E-3</v>
      </c>
      <c r="AE157" s="150">
        <v>6.6836545585732257E-3</v>
      </c>
      <c r="AF157" s="150">
        <v>6.8663108153792602E-3</v>
      </c>
      <c r="AG157" s="150">
        <v>7.0417587296776954E-3</v>
      </c>
      <c r="AH157" s="150">
        <v>7.1755310536532656E-3</v>
      </c>
      <c r="AI157" s="150">
        <v>7.2755329066779423E-3</v>
      </c>
      <c r="AJ157" s="150">
        <v>7.4914071352565354E-3</v>
      </c>
      <c r="AK157" s="150">
        <v>7.6855409909604286E-3</v>
      </c>
      <c r="AL157" s="150">
        <v>7.8655966037490619E-3</v>
      </c>
      <c r="AM157" s="150">
        <v>8.0393830671640232E-3</v>
      </c>
      <c r="AN157" s="150">
        <v>8.1740976653173637E-3</v>
      </c>
      <c r="AO157" s="150">
        <v>8.3463177215002057E-3</v>
      </c>
      <c r="AP157" s="150">
        <v>8.4978339578101053E-3</v>
      </c>
      <c r="AQ157" s="150">
        <v>8.6993959522368956E-3</v>
      </c>
      <c r="AR157" s="150">
        <v>8.862744315173544E-3</v>
      </c>
      <c r="AS157" s="150">
        <v>9.0210508004598799E-3</v>
      </c>
      <c r="AT157" s="150">
        <v>9.1843438822885211E-3</v>
      </c>
      <c r="AU157" s="150">
        <v>9.348862764646226E-3</v>
      </c>
      <c r="AV157" s="150">
        <v>9.5365562288554032E-3</v>
      </c>
      <c r="AW157" s="150">
        <v>9.7085327487187126E-3</v>
      </c>
      <c r="AX157" s="150">
        <v>9.8812880088798294E-3</v>
      </c>
      <c r="AY157" s="150">
        <v>1.0058563716856041E-2</v>
      </c>
      <c r="AZ157" s="150">
        <v>1.0237016406878073E-2</v>
      </c>
      <c r="BA157" s="150">
        <v>1.0420424980411729E-2</v>
      </c>
      <c r="BB157" s="150">
        <v>1.0598242450958173E-2</v>
      </c>
      <c r="BC157" s="150">
        <v>1.0777967833917722E-2</v>
      </c>
      <c r="BD157" s="150">
        <v>1.0959440623232361E-2</v>
      </c>
      <c r="BE157" s="150">
        <v>1.1141680162417695E-2</v>
      </c>
      <c r="BF157" s="150">
        <v>1.1323797391376242E-2</v>
      </c>
      <c r="BG157" s="150">
        <v>1.1506404086815213E-2</v>
      </c>
      <c r="BH157" s="150">
        <v>1.1689756052601221E-2</v>
      </c>
      <c r="BI157" s="150">
        <v>1.1873883795259063E-2</v>
      </c>
      <c r="BJ157" s="150">
        <v>1.2058238688800562E-2</v>
      </c>
      <c r="BK157" s="150">
        <v>1.224274513017546E-2</v>
      </c>
      <c r="BL157" s="150">
        <v>1.2427124043157349E-2</v>
      </c>
      <c r="BM157" s="150">
        <v>1.2611734611809144E-2</v>
      </c>
      <c r="BN157" s="150">
        <v>1.2796452451070551E-2</v>
      </c>
      <c r="BO157" s="150">
        <v>1.2981141836806894E-2</v>
      </c>
      <c r="BP157" s="114"/>
    </row>
    <row r="158" spans="1:68" x14ac:dyDescent="0.3">
      <c r="A158" s="388"/>
      <c r="D158" s="359"/>
      <c r="E158" s="115"/>
      <c r="F158" s="117" t="s">
        <v>396</v>
      </c>
      <c r="G158" s="122">
        <f t="shared" ref="G158:K158" si="150">G143*(1-$I$135/100)/1000000</f>
        <v>1.8735626249999991E-2</v>
      </c>
      <c r="H158" s="122">
        <f t="shared" si="150"/>
        <v>1.8647403390000011E-2</v>
      </c>
      <c r="I158" s="122">
        <f t="shared" si="150"/>
        <v>1.2923994600000004E-2</v>
      </c>
      <c r="J158" s="122">
        <f t="shared" si="150"/>
        <v>1.1952658079999999E-2</v>
      </c>
      <c r="K158" s="122">
        <f t="shared" si="150"/>
        <v>9.0981683099999981E-3</v>
      </c>
      <c r="L158" s="123">
        <f t="shared" si="149"/>
        <v>8.2020777300000035E-3</v>
      </c>
      <c r="M158" s="123">
        <f t="shared" si="149"/>
        <v>0.10650924504000001</v>
      </c>
      <c r="N158" s="123">
        <f t="shared" si="149"/>
        <v>6.3922926431430008E-2</v>
      </c>
      <c r="O158" s="123">
        <f t="shared" si="149"/>
        <v>3.8965876210799999E-3</v>
      </c>
      <c r="P158" s="123">
        <f t="shared" si="149"/>
        <v>5.9730357952980005E-2</v>
      </c>
      <c r="Q158" s="123">
        <f t="shared" si="149"/>
        <v>3.4368561859499998E-2</v>
      </c>
      <c r="R158" s="123">
        <f t="shared" si="149"/>
        <v>2.1661270735499998E-2</v>
      </c>
      <c r="S158" s="150">
        <v>2.1554961105063407E-2</v>
      </c>
      <c r="T158" s="150">
        <v>2.0492724225028781E-2</v>
      </c>
      <c r="U158" s="150">
        <v>2.4153358250614352E-2</v>
      </c>
      <c r="V158" s="150">
        <v>2.3553347601943529E-2</v>
      </c>
      <c r="W158" s="150">
        <v>2.7719312695059884E-2</v>
      </c>
      <c r="X158" s="151">
        <f>0.999*W158</f>
        <v>2.7691593382364824E-2</v>
      </c>
      <c r="Y158" s="151">
        <f t="shared" ref="Y158:BO158" si="151">0.999*X158</f>
        <v>2.766390178898246E-2</v>
      </c>
      <c r="Z158" s="151">
        <f t="shared" si="151"/>
        <v>2.7636237887193479E-2</v>
      </c>
      <c r="AA158" s="151">
        <f t="shared" si="151"/>
        <v>2.7608601649306286E-2</v>
      </c>
      <c r="AB158" s="151">
        <f t="shared" si="151"/>
        <v>2.7580993047656981E-2</v>
      </c>
      <c r="AC158" s="151">
        <f t="shared" si="151"/>
        <v>2.7553412054609323E-2</v>
      </c>
      <c r="AD158" s="151">
        <f t="shared" si="151"/>
        <v>2.7525858642554715E-2</v>
      </c>
      <c r="AE158" s="151">
        <f t="shared" si="151"/>
        <v>2.7498332783912161E-2</v>
      </c>
      <c r="AF158" s="151">
        <f t="shared" si="151"/>
        <v>2.7470834451128249E-2</v>
      </c>
      <c r="AG158" s="151">
        <f t="shared" si="151"/>
        <v>2.7443363616677121E-2</v>
      </c>
      <c r="AH158" s="151">
        <f t="shared" si="151"/>
        <v>2.7415920253060444E-2</v>
      </c>
      <c r="AI158" s="151">
        <f t="shared" si="151"/>
        <v>2.7388504332807383E-2</v>
      </c>
      <c r="AJ158" s="151">
        <f t="shared" si="151"/>
        <v>2.7361115828474575E-2</v>
      </c>
      <c r="AK158" s="151">
        <f t="shared" si="151"/>
        <v>2.73337547126461E-2</v>
      </c>
      <c r="AL158" s="151">
        <f t="shared" si="151"/>
        <v>2.7306420957933453E-2</v>
      </c>
      <c r="AM158" s="151">
        <f t="shared" si="151"/>
        <v>2.727911453697552E-2</v>
      </c>
      <c r="AN158" s="151">
        <f t="shared" si="151"/>
        <v>2.7251835422438545E-2</v>
      </c>
      <c r="AO158" s="151">
        <f t="shared" si="151"/>
        <v>2.7224583587016106E-2</v>
      </c>
      <c r="AP158" s="151">
        <f t="shared" si="151"/>
        <v>2.7197359003429091E-2</v>
      </c>
      <c r="AQ158" s="151">
        <f t="shared" si="151"/>
        <v>2.717016164442566E-2</v>
      </c>
      <c r="AR158" s="151">
        <f t="shared" si="151"/>
        <v>2.7142991482781233E-2</v>
      </c>
      <c r="AS158" s="151">
        <f t="shared" si="151"/>
        <v>2.7115848491298451E-2</v>
      </c>
      <c r="AT158" s="151">
        <f t="shared" si="151"/>
        <v>2.7088732642807152E-2</v>
      </c>
      <c r="AU158" s="151">
        <f t="shared" si="151"/>
        <v>2.7061643910164346E-2</v>
      </c>
      <c r="AV158" s="151">
        <f t="shared" si="151"/>
        <v>2.7034582266254183E-2</v>
      </c>
      <c r="AW158" s="151">
        <f t="shared" si="151"/>
        <v>2.7007547683987929E-2</v>
      </c>
      <c r="AX158" s="151">
        <f t="shared" si="151"/>
        <v>2.6980540136303941E-2</v>
      </c>
      <c r="AY158" s="151">
        <f t="shared" si="151"/>
        <v>2.6953559596167638E-2</v>
      </c>
      <c r="AZ158" s="151">
        <f t="shared" si="151"/>
        <v>2.692660603657147E-2</v>
      </c>
      <c r="BA158" s="151">
        <f t="shared" si="151"/>
        <v>2.6899679430534899E-2</v>
      </c>
      <c r="BB158" s="151">
        <f t="shared" si="151"/>
        <v>2.6872779751104362E-2</v>
      </c>
      <c r="BC158" s="151">
        <f t="shared" si="151"/>
        <v>2.6845906971353257E-2</v>
      </c>
      <c r="BD158" s="151">
        <f t="shared" si="151"/>
        <v>2.6819061064381904E-2</v>
      </c>
      <c r="BE158" s="151">
        <f t="shared" si="151"/>
        <v>2.6792242003317521E-2</v>
      </c>
      <c r="BF158" s="151">
        <f t="shared" si="151"/>
        <v>2.6765449761314203E-2</v>
      </c>
      <c r="BG158" s="151">
        <f t="shared" si="151"/>
        <v>2.673868431155289E-2</v>
      </c>
      <c r="BH158" s="151">
        <f t="shared" si="151"/>
        <v>2.6711945627241336E-2</v>
      </c>
      <c r="BI158" s="151">
        <f t="shared" si="151"/>
        <v>2.6685233681614094E-2</v>
      </c>
      <c r="BJ158" s="151">
        <f t="shared" si="151"/>
        <v>2.665854844793248E-2</v>
      </c>
      <c r="BK158" s="151">
        <f t="shared" si="151"/>
        <v>2.6631889899484548E-2</v>
      </c>
      <c r="BL158" s="151">
        <f t="shared" si="151"/>
        <v>2.6605258009585065E-2</v>
      </c>
      <c r="BM158" s="151">
        <f t="shared" si="151"/>
        <v>2.657865275157548E-2</v>
      </c>
      <c r="BN158" s="151">
        <f t="shared" si="151"/>
        <v>2.6552074098823906E-2</v>
      </c>
      <c r="BO158" s="151">
        <f t="shared" si="151"/>
        <v>2.6525522024725082E-2</v>
      </c>
      <c r="BP158" s="114"/>
    </row>
    <row r="159" spans="1:68" x14ac:dyDescent="0.3">
      <c r="A159" s="388"/>
      <c r="D159" s="359"/>
      <c r="E159" s="115"/>
      <c r="F159" s="117" t="s">
        <v>397</v>
      </c>
      <c r="G159" s="122">
        <f t="shared" ref="G159:K159" si="152">G144*(1-$I$135/100)/1000000</f>
        <v>3.7808099999999999E-3</v>
      </c>
      <c r="H159" s="122">
        <f t="shared" si="152"/>
        <v>4.0015800000000002E-3</v>
      </c>
      <c r="I159" s="122">
        <f t="shared" si="152"/>
        <v>2.7452700000000002E-3</v>
      </c>
      <c r="J159" s="122">
        <f t="shared" si="152"/>
        <v>7.7318999999999999E-4</v>
      </c>
      <c r="K159" s="122">
        <f t="shared" si="152"/>
        <v>1.3652099999999999E-3</v>
      </c>
      <c r="L159" s="123">
        <f t="shared" si="149"/>
        <v>1.188E-4</v>
      </c>
      <c r="M159" s="123">
        <f t="shared" si="149"/>
        <v>5.346E-5</v>
      </c>
      <c r="N159" s="123">
        <f t="shared" si="149"/>
        <v>5.4450000000000002E-5</v>
      </c>
      <c r="O159" s="123">
        <f t="shared" si="149"/>
        <v>4.4549999999999999E-5</v>
      </c>
      <c r="P159" s="123">
        <f t="shared" si="149"/>
        <v>5.1915600000000004E-3</v>
      </c>
      <c r="Q159" s="123">
        <f t="shared" si="149"/>
        <v>9.9000000000000001E-6</v>
      </c>
      <c r="R159" s="123">
        <f t="shared" si="149"/>
        <v>4.6064700000000005E-3</v>
      </c>
      <c r="S159" s="150">
        <v>4.5838622717047873E-3</v>
      </c>
      <c r="T159" s="150">
        <v>4.3579677533026953E-3</v>
      </c>
      <c r="U159" s="150">
        <v>5.1364355092226458E-3</v>
      </c>
      <c r="V159" s="150">
        <v>5.0088376832902563E-3</v>
      </c>
      <c r="W159" s="150">
        <v>5.8947687746291012E-3</v>
      </c>
      <c r="X159" s="150">
        <v>6.2269222492112768E-3</v>
      </c>
      <c r="Y159" s="150">
        <v>6.5926765829329168E-3</v>
      </c>
      <c r="Z159" s="150">
        <v>6.9085741635421727E-3</v>
      </c>
      <c r="AA159" s="150">
        <v>7.319974488810374E-3</v>
      </c>
      <c r="AB159" s="150">
        <v>6.8118007917845197E-3</v>
      </c>
      <c r="AC159" s="150">
        <v>7.0720614000280438E-3</v>
      </c>
      <c r="AD159" s="150">
        <v>7.4319892342154022E-3</v>
      </c>
      <c r="AE159" s="150">
        <v>7.6536108748294085E-3</v>
      </c>
      <c r="AF159" s="150">
        <v>7.8627748735362376E-3</v>
      </c>
      <c r="AG159" s="150">
        <v>8.0636844287911846E-3</v>
      </c>
      <c r="AH159" s="150">
        <v>8.216870280118185E-3</v>
      </c>
      <c r="AI159" s="150">
        <v>8.3313847666323035E-3</v>
      </c>
      <c r="AJ159" s="150">
        <v>8.5785874502786637E-3</v>
      </c>
      <c r="AK159" s="150">
        <v>8.8008947188794907E-3</v>
      </c>
      <c r="AL159" s="150">
        <v>9.0070806586278994E-3</v>
      </c>
      <c r="AM159" s="150">
        <v>9.2060876471899804E-3</v>
      </c>
      <c r="AN159" s="150">
        <v>9.3603525189586943E-3</v>
      </c>
      <c r="AO159" s="150">
        <v>9.557565777560454E-3</v>
      </c>
      <c r="AP159" s="150">
        <v>9.7310706024690326E-3</v>
      </c>
      <c r="AQ159" s="150">
        <v>9.9618840083651183E-3</v>
      </c>
      <c r="AR159" s="150">
        <v>1.014893808125311E-2</v>
      </c>
      <c r="AS159" s="150">
        <v>1.0330218580824913E-2</v>
      </c>
      <c r="AT159" s="150">
        <v>1.0517209350008964E-2</v>
      </c>
      <c r="AU159" s="150">
        <v>1.070560381236378E-2</v>
      </c>
      <c r="AV159" s="150">
        <v>1.0920536036376331E-2</v>
      </c>
      <c r="AW159" s="150">
        <v>1.1117470415780003E-2</v>
      </c>
      <c r="AX159" s="150">
        <v>1.1315296549112567E-2</v>
      </c>
      <c r="AY159" s="150">
        <v>1.1518299154127429E-2</v>
      </c>
      <c r="AZ159" s="150">
        <v>1.1722649549113544E-2</v>
      </c>
      <c r="BA159" s="150">
        <v>1.1932675043494241E-2</v>
      </c>
      <c r="BB159" s="150">
        <v>1.2136298033638639E-2</v>
      </c>
      <c r="BC159" s="150">
        <v>1.2342105819401242E-2</v>
      </c>
      <c r="BD159" s="150">
        <v>1.2549914601499734E-2</v>
      </c>
      <c r="BE159" s="150">
        <v>1.2758601407005511E-2</v>
      </c>
      <c r="BF159" s="150">
        <v>1.2967148152178481E-2</v>
      </c>
      <c r="BG159" s="150">
        <v>1.317625539699197E-2</v>
      </c>
      <c r="BH159" s="150">
        <v>1.3386216068502304E-2</v>
      </c>
      <c r="BI159" s="150">
        <v>1.3597065100452378E-2</v>
      </c>
      <c r="BJ159" s="150">
        <v>1.3808174248250472E-2</v>
      </c>
      <c r="BK159" s="150">
        <v>1.4019456937056047E-2</v>
      </c>
      <c r="BL159" s="150">
        <v>1.4230593590083288E-2</v>
      </c>
      <c r="BM159" s="150">
        <v>1.4441995517495802E-2</v>
      </c>
      <c r="BN159" s="150">
        <v>1.4653520283019873E-2</v>
      </c>
      <c r="BO159" s="150">
        <v>1.4865012465739591E-2</v>
      </c>
      <c r="BP159" s="114"/>
    </row>
    <row r="160" spans="1:68" x14ac:dyDescent="0.3">
      <c r="A160" s="388"/>
      <c r="D160" s="359" t="s">
        <v>543</v>
      </c>
      <c r="E160" s="115"/>
      <c r="F160" s="117" t="s">
        <v>398</v>
      </c>
      <c r="G160" s="122">
        <f t="shared" ref="G160:K160" si="153">G145*(1-$I$135/100)/1000000</f>
        <v>0.14432342265000001</v>
      </c>
      <c r="H160" s="122">
        <f t="shared" si="153"/>
        <v>0.24738472538999989</v>
      </c>
      <c r="I160" s="122">
        <f t="shared" si="153"/>
        <v>0.27333066618000007</v>
      </c>
      <c r="J160" s="122">
        <f t="shared" si="153"/>
        <v>0.19977516701999989</v>
      </c>
      <c r="K160" s="122">
        <f t="shared" si="153"/>
        <v>0.21769958529000005</v>
      </c>
      <c r="L160" s="123">
        <f t="shared" si="149"/>
        <v>0.27236830103999998</v>
      </c>
      <c r="M160" s="123">
        <f t="shared" si="149"/>
        <v>0.30967504722000005</v>
      </c>
      <c r="N160" s="123">
        <f t="shared" si="149"/>
        <v>0.27880514066591999</v>
      </c>
      <c r="O160" s="123">
        <f t="shared" si="149"/>
        <v>0.28023870444768001</v>
      </c>
      <c r="P160" s="123">
        <f t="shared" si="149"/>
        <v>0.18561949282305001</v>
      </c>
      <c r="Q160" s="123">
        <f t="shared" si="149"/>
        <v>0.16102851381539998</v>
      </c>
      <c r="R160" s="123">
        <f t="shared" si="149"/>
        <v>0.11199071555099999</v>
      </c>
      <c r="S160" s="150">
        <v>0.11144108521176765</v>
      </c>
      <c r="T160" s="150">
        <v>0.10594922512043983</v>
      </c>
      <c r="U160" s="150">
        <v>0.12487503187026268</v>
      </c>
      <c r="V160" s="150">
        <v>0.12177292291722049</v>
      </c>
      <c r="W160" s="150">
        <v>0.14331133668045254</v>
      </c>
      <c r="X160" s="150">
        <v>0.15138652338333103</v>
      </c>
      <c r="Y160" s="150">
        <v>0.16027860116726658</v>
      </c>
      <c r="Z160" s="150">
        <v>0.16795858086826543</v>
      </c>
      <c r="AA160" s="150">
        <v>0.17796038632986616</v>
      </c>
      <c r="AB160" s="150">
        <v>0.16560586411347869</v>
      </c>
      <c r="AC160" s="150">
        <v>0.17193321927848154</v>
      </c>
      <c r="AD160" s="150">
        <v>0.18068364546108207</v>
      </c>
      <c r="AE160" s="150">
        <v>0.18607162500158686</v>
      </c>
      <c r="AF160" s="150">
        <v>0.19115673917419324</v>
      </c>
      <c r="AG160" s="150">
        <v>0.19604117451275715</v>
      </c>
      <c r="AH160" s="150">
        <v>0.19976536963448807</v>
      </c>
      <c r="AI160" s="150">
        <v>0.20254940150393938</v>
      </c>
      <c r="AJ160" s="150">
        <v>0.20855929746064447</v>
      </c>
      <c r="AK160" s="150">
        <v>0.21396394572336949</v>
      </c>
      <c r="AL160" s="150">
        <v>0.21897665847933656</v>
      </c>
      <c r="AM160" s="150">
        <v>0.22381483935291593</v>
      </c>
      <c r="AN160" s="150">
        <v>0.22756526720195469</v>
      </c>
      <c r="AO160" s="150">
        <v>0.23235983960706216</v>
      </c>
      <c r="AP160" s="150">
        <v>0.23657802174936696</v>
      </c>
      <c r="AQ160" s="150">
        <v>0.24218946792942805</v>
      </c>
      <c r="AR160" s="150">
        <v>0.24673705414391661</v>
      </c>
      <c r="AS160" s="150">
        <v>0.25114427547879753</v>
      </c>
      <c r="AT160" s="150">
        <v>0.25569032267813974</v>
      </c>
      <c r="AU160" s="150">
        <v>0.26027049592250295</v>
      </c>
      <c r="AV160" s="150">
        <v>0.26549584495595663</v>
      </c>
      <c r="AW160" s="150">
        <v>0.2702836373579498</v>
      </c>
      <c r="AX160" s="150">
        <v>0.27509310973627882</v>
      </c>
      <c r="AY160" s="150">
        <v>0.28002843049042059</v>
      </c>
      <c r="AZ160" s="150">
        <v>0.28499651819263605</v>
      </c>
      <c r="BA160" s="150">
        <v>0.29010257671459466</v>
      </c>
      <c r="BB160" s="150">
        <v>0.29505298003186481</v>
      </c>
      <c r="BC160" s="150">
        <v>0.30005649925450617</v>
      </c>
      <c r="BD160" s="150">
        <v>0.30510866592551283</v>
      </c>
      <c r="BE160" s="150">
        <v>0.31018217876172893</v>
      </c>
      <c r="BF160" s="150">
        <v>0.31525228650534887</v>
      </c>
      <c r="BG160" s="150">
        <v>0.32033602089926888</v>
      </c>
      <c r="BH160" s="150">
        <v>0.32544050347269515</v>
      </c>
      <c r="BI160" s="150">
        <v>0.33056658352126256</v>
      </c>
      <c r="BJ160" s="150">
        <v>0.33569898740564047</v>
      </c>
      <c r="BK160" s="150">
        <v>0.34083561035181742</v>
      </c>
      <c r="BL160" s="150">
        <v>0.34596868293267952</v>
      </c>
      <c r="BM160" s="150">
        <v>0.35110820476171306</v>
      </c>
      <c r="BN160" s="150">
        <v>0.35625071298336614</v>
      </c>
      <c r="BO160" s="150">
        <v>0.36139242906449204</v>
      </c>
      <c r="BP160" s="114"/>
    </row>
    <row r="161" spans="1:81" x14ac:dyDescent="0.3">
      <c r="A161" s="388"/>
      <c r="D161" s="359"/>
      <c r="E161" s="115"/>
      <c r="F161" s="117" t="s">
        <v>399</v>
      </c>
      <c r="G161" s="122">
        <f t="shared" ref="G161:K161" si="154">G146*(1-$I$135/100)/1000000</f>
        <v>3.2373E-7</v>
      </c>
      <c r="H161" s="122">
        <f t="shared" si="154"/>
        <v>9.4049999999999996E-5</v>
      </c>
      <c r="I161" s="122">
        <f t="shared" si="154"/>
        <v>1.0105920000000001E-4</v>
      </c>
      <c r="J161" s="122">
        <f t="shared" si="154"/>
        <v>1.4622300000000001E-6</v>
      </c>
      <c r="K161" s="122">
        <f t="shared" si="154"/>
        <v>3.8600100000000002E-6</v>
      </c>
      <c r="L161" s="123">
        <f t="shared" si="149"/>
        <v>1.1652300000000001E-6</v>
      </c>
      <c r="M161" s="123">
        <f t="shared" si="149"/>
        <v>0</v>
      </c>
      <c r="N161" s="123">
        <f t="shared" si="149"/>
        <v>0</v>
      </c>
      <c r="O161" s="123">
        <f t="shared" si="149"/>
        <v>8.6801219999999999E-7</v>
      </c>
      <c r="P161" s="123">
        <f t="shared" si="149"/>
        <v>4.6549205999999994E-6</v>
      </c>
      <c r="Q161" s="123">
        <f t="shared" si="149"/>
        <v>4.9500000000000003E-7</v>
      </c>
      <c r="R161" s="123">
        <f t="shared" si="149"/>
        <v>8.9170784999999992E-6</v>
      </c>
      <c r="S161" s="150">
        <v>8.873315078569905E-6</v>
      </c>
      <c r="T161" s="150">
        <v>8.4360346548808007E-6</v>
      </c>
      <c r="U161" s="150">
        <v>9.942971222199602E-6</v>
      </c>
      <c r="V161" s="150">
        <v>9.695970844411739E-6</v>
      </c>
      <c r="W161" s="150">
        <v>1.1410931994068451E-5</v>
      </c>
      <c r="X161" s="150">
        <v>1.2053905595741101E-5</v>
      </c>
      <c r="Y161" s="150">
        <v>1.2761922820538193E-5</v>
      </c>
      <c r="Z161" s="150">
        <v>1.3373428707747445E-5</v>
      </c>
      <c r="AA161" s="150">
        <v>1.4169806193184686E-5</v>
      </c>
      <c r="AB161" s="150">
        <v>1.3186097464371786E-5</v>
      </c>
      <c r="AC161" s="150">
        <v>1.3689902823826043E-5</v>
      </c>
      <c r="AD161" s="150">
        <v>1.4386641270355306E-5</v>
      </c>
      <c r="AE161" s="150">
        <v>1.4815650374214419E-5</v>
      </c>
      <c r="AF161" s="150">
        <v>1.5220544315962154E-5</v>
      </c>
      <c r="AG161" s="150">
        <v>1.5609459532083924E-5</v>
      </c>
      <c r="AH161" s="150">
        <v>1.5905992508825808E-5</v>
      </c>
      <c r="AI161" s="150">
        <v>1.6127666516392032E-5</v>
      </c>
      <c r="AJ161" s="150">
        <v>1.6606194702939487E-5</v>
      </c>
      <c r="AK161" s="150">
        <v>1.7036531026682866E-5</v>
      </c>
      <c r="AL161" s="150">
        <v>1.7435660123438695E-5</v>
      </c>
      <c r="AM161" s="150">
        <v>1.7820892403049043E-5</v>
      </c>
      <c r="AN161" s="150">
        <v>1.8119514118018218E-5</v>
      </c>
      <c r="AO161" s="150">
        <v>1.8501274144284033E-5</v>
      </c>
      <c r="AP161" s="150">
        <v>1.8837140033747886E-5</v>
      </c>
      <c r="AQ161" s="150">
        <v>1.9283942305167816E-5</v>
      </c>
      <c r="AR161" s="150">
        <v>1.9646036457889301E-5</v>
      </c>
      <c r="AS161" s="150">
        <v>1.9996954285466813E-5</v>
      </c>
      <c r="AT161" s="150">
        <v>2.0358925896611481E-5</v>
      </c>
      <c r="AU161" s="150">
        <v>2.0723614738562732E-5</v>
      </c>
      <c r="AV161" s="150">
        <v>2.1139674652922211E-5</v>
      </c>
      <c r="AW161" s="150">
        <v>2.1520894832472132E-5</v>
      </c>
      <c r="AX161" s="150">
        <v>2.1903841244861213E-5</v>
      </c>
      <c r="AY161" s="150">
        <v>2.2296808129400137E-5</v>
      </c>
      <c r="AZ161" s="150">
        <v>2.2692384028862674E-5</v>
      </c>
      <c r="BA161" s="150">
        <v>2.309894563034797E-5</v>
      </c>
      <c r="BB161" s="150">
        <v>2.349311343943439E-5</v>
      </c>
      <c r="BC161" s="150">
        <v>2.3891510516058425E-5</v>
      </c>
      <c r="BD161" s="150">
        <v>2.4293781066601824E-5</v>
      </c>
      <c r="BE161" s="150">
        <v>2.4697751270816601E-5</v>
      </c>
      <c r="BF161" s="150">
        <v>2.5101450350074011E-5</v>
      </c>
      <c r="BG161" s="150">
        <v>2.5506234429188951E-5</v>
      </c>
      <c r="BH161" s="150">
        <v>2.5912670548336663E-5</v>
      </c>
      <c r="BI161" s="150">
        <v>2.6320826331300147E-5</v>
      </c>
      <c r="BJ161" s="150">
        <v>2.6729485639400213E-5</v>
      </c>
      <c r="BK161" s="150">
        <v>2.7138480883430976E-5</v>
      </c>
      <c r="BL161" s="150">
        <v>2.7547193435400526E-5</v>
      </c>
      <c r="BM161" s="150">
        <v>2.7956419498261826E-5</v>
      </c>
      <c r="BN161" s="150">
        <v>2.8365883347776149E-5</v>
      </c>
      <c r="BO161" s="150">
        <v>2.8775284124389927E-5</v>
      </c>
      <c r="BP161" s="114"/>
    </row>
    <row r="162" spans="1:81" x14ac:dyDescent="0.3">
      <c r="A162" s="388"/>
      <c r="D162" s="359"/>
      <c r="E162" s="115"/>
      <c r="F162" s="117" t="s">
        <v>400</v>
      </c>
      <c r="G162" s="122">
        <f t="shared" ref="G162:K162" si="155">G147*(1-$I$135/100)/1000000</f>
        <v>2.7381519990000016E-2</v>
      </c>
      <c r="H162" s="122">
        <f t="shared" si="155"/>
        <v>3.1443625619999978E-2</v>
      </c>
      <c r="I162" s="122">
        <f t="shared" si="155"/>
        <v>3.0245516729999988E-2</v>
      </c>
      <c r="J162" s="122">
        <f t="shared" si="155"/>
        <v>3.085188677999999E-2</v>
      </c>
      <c r="K162" s="122">
        <f t="shared" si="155"/>
        <v>3.48929163E-2</v>
      </c>
      <c r="L162" s="123">
        <f t="shared" si="149"/>
        <v>3.0459511169999998E-2</v>
      </c>
      <c r="M162" s="123">
        <f t="shared" si="149"/>
        <v>3.2092795349999995E-2</v>
      </c>
      <c r="N162" s="123">
        <f t="shared" si="149"/>
        <v>6.07492088874E-2</v>
      </c>
      <c r="O162" s="123">
        <f t="shared" si="149"/>
        <v>3.0641323775039996E-2</v>
      </c>
      <c r="P162" s="123">
        <f t="shared" si="149"/>
        <v>5.4142762469399995E-2</v>
      </c>
      <c r="Q162" s="123">
        <f t="shared" si="149"/>
        <v>6.0311352231899998E-2</v>
      </c>
      <c r="R162" s="123">
        <f t="shared" si="149"/>
        <v>6.5032651292400004E-2</v>
      </c>
      <c r="S162" s="150">
        <v>6.4713482707619049E-2</v>
      </c>
      <c r="T162" s="150">
        <v>6.1524377070524286E-2</v>
      </c>
      <c r="U162" s="150">
        <v>7.251453268059431E-2</v>
      </c>
      <c r="V162" s="150">
        <v>7.0713147906672102E-2</v>
      </c>
      <c r="W162" s="150">
        <v>8.3220436075733109E-2</v>
      </c>
      <c r="X162" s="150">
        <v>8.7909671235858258E-2</v>
      </c>
      <c r="Y162" s="150">
        <v>9.3073272441033472E-2</v>
      </c>
      <c r="Z162" s="150">
        <v>9.7533012155798682E-2</v>
      </c>
      <c r="AA162" s="150">
        <v>0.10334102868358391</v>
      </c>
      <c r="AB162" s="150">
        <v>9.6166797040991625E-2</v>
      </c>
      <c r="AC162" s="150">
        <v>9.9841072002306699E-2</v>
      </c>
      <c r="AD162" s="150">
        <v>0.10492241657442705</v>
      </c>
      <c r="AE162" s="150">
        <v>0.10805119910701715</v>
      </c>
      <c r="AF162" s="150">
        <v>0.11100410868654879</v>
      </c>
      <c r="AG162" s="150">
        <v>0.11384048470727748</v>
      </c>
      <c r="AH162" s="150">
        <v>0.11600311293502633</v>
      </c>
      <c r="AI162" s="150">
        <v>0.11761979136110982</v>
      </c>
      <c r="AJ162" s="150">
        <v>0.12110971877279798</v>
      </c>
      <c r="AK162" s="150">
        <v>0.12424818077921146</v>
      </c>
      <c r="AL162" s="150">
        <v>0.12715904708704676</v>
      </c>
      <c r="AM162" s="150">
        <v>0.12996856328750145</v>
      </c>
      <c r="AN162" s="150">
        <v>0.13214642477632077</v>
      </c>
      <c r="AO162" s="150">
        <v>0.13493061767823614</v>
      </c>
      <c r="AP162" s="150">
        <v>0.13738010259311206</v>
      </c>
      <c r="AQ162" s="150">
        <v>0.14063865149047844</v>
      </c>
      <c r="AR162" s="150">
        <v>0.14327942029933813</v>
      </c>
      <c r="AS162" s="150">
        <v>0.14583867967034567</v>
      </c>
      <c r="AT162" s="150">
        <v>0.14847855477801902</v>
      </c>
      <c r="AU162" s="150">
        <v>0.15113824677118079</v>
      </c>
      <c r="AV162" s="150">
        <v>0.15417259028708521</v>
      </c>
      <c r="AW162" s="150">
        <v>0.15695284606281895</v>
      </c>
      <c r="AX162" s="150">
        <v>0.15974569133165614</v>
      </c>
      <c r="AY162" s="150">
        <v>0.16261161635089655</v>
      </c>
      <c r="AZ162" s="150">
        <v>0.16549656903236332</v>
      </c>
      <c r="BA162" s="150">
        <v>0.16846164092875551</v>
      </c>
      <c r="BB162" s="150">
        <v>0.17133632434429419</v>
      </c>
      <c r="BC162" s="150">
        <v>0.17424185199665279</v>
      </c>
      <c r="BD162" s="150">
        <v>0.17717562906710144</v>
      </c>
      <c r="BE162" s="150">
        <v>0.18012180178759718</v>
      </c>
      <c r="BF162" s="150">
        <v>0.18306599718168393</v>
      </c>
      <c r="BG162" s="150">
        <v>0.18601810552813361</v>
      </c>
      <c r="BH162" s="150">
        <v>0.18898226227624002</v>
      </c>
      <c r="BI162" s="150">
        <v>0.19195896060926926</v>
      </c>
      <c r="BJ162" s="150">
        <v>0.19493933117358189</v>
      </c>
      <c r="BK162" s="150">
        <v>0.19792215173362324</v>
      </c>
      <c r="BL162" s="150">
        <v>0.20090291060785123</v>
      </c>
      <c r="BM162" s="150">
        <v>0.20388741453992054</v>
      </c>
      <c r="BN162" s="150">
        <v>0.20687365266065802</v>
      </c>
      <c r="BO162" s="150">
        <v>0.20985943078791813</v>
      </c>
      <c r="BP162" s="114"/>
    </row>
    <row r="163" spans="1:81" x14ac:dyDescent="0.3">
      <c r="A163" s="388"/>
      <c r="D163" s="359"/>
      <c r="E163" s="115"/>
      <c r="F163" s="117" t="s">
        <v>401</v>
      </c>
      <c r="G163" s="122">
        <f t="shared" ref="G163:K163" si="156">G148*(1-$I$135/100)/1000000</f>
        <v>2.0511810000000002E-2</v>
      </c>
      <c r="H163" s="122">
        <f t="shared" si="156"/>
        <v>2.2998689999999999E-2</v>
      </c>
      <c r="I163" s="122">
        <f t="shared" si="156"/>
        <v>2.274822E-2</v>
      </c>
      <c r="J163" s="122">
        <f t="shared" si="156"/>
        <v>2.4552000000000001E-2</v>
      </c>
      <c r="K163" s="122">
        <f t="shared" si="156"/>
        <v>2.039796E-2</v>
      </c>
      <c r="L163" s="123">
        <f t="shared" ref="L163:R167" si="157">L148*(1-$I$135/100)/1000000</f>
        <v>1.1789910000000001E-2</v>
      </c>
      <c r="M163" s="123">
        <f t="shared" si="157"/>
        <v>8.3239200000000003E-3</v>
      </c>
      <c r="N163" s="123">
        <f t="shared" si="157"/>
        <v>1.1883959999999999E-2</v>
      </c>
      <c r="O163" s="123">
        <f t="shared" si="157"/>
        <v>9.3159000000000002E-3</v>
      </c>
      <c r="P163" s="123">
        <f t="shared" si="157"/>
        <v>2.4482699999999998E-3</v>
      </c>
      <c r="Q163" s="123">
        <f t="shared" si="157"/>
        <v>1.0963260000000001E-2</v>
      </c>
      <c r="R163" s="123">
        <f t="shared" si="157"/>
        <v>1.1109780000000001E-2</v>
      </c>
      <c r="S163" s="150">
        <v>1.1055255193009053E-2</v>
      </c>
      <c r="T163" s="150">
        <v>1.0510447910501363E-2</v>
      </c>
      <c r="U163" s="150">
        <v>1.2387938810336669E-2</v>
      </c>
      <c r="V163" s="150">
        <v>1.2080201264105576E-2</v>
      </c>
      <c r="W163" s="150">
        <v>1.4216869802039064E-2</v>
      </c>
      <c r="X163" s="150">
        <v>1.5017950028078431E-2</v>
      </c>
      <c r="Y163" s="150">
        <v>1.5900068045061933E-2</v>
      </c>
      <c r="Z163" s="150">
        <v>1.6661942674246775E-2</v>
      </c>
      <c r="AA163" s="150">
        <v>1.7654148659666882E-2</v>
      </c>
      <c r="AB163" s="150">
        <v>1.6428546848357161E-2</v>
      </c>
      <c r="AC163" s="150">
        <v>1.7056237487881949E-2</v>
      </c>
      <c r="AD163" s="150">
        <v>1.7924303285270844E-2</v>
      </c>
      <c r="AE163" s="150">
        <v>1.8458805337918681E-2</v>
      </c>
      <c r="AF163" s="150">
        <v>1.8963262332005942E-2</v>
      </c>
      <c r="AG163" s="150">
        <v>1.9447811446356041E-2</v>
      </c>
      <c r="AH163" s="150">
        <v>1.9817261612612564E-2</v>
      </c>
      <c r="AI163" s="150">
        <v>2.009344505719916E-2</v>
      </c>
      <c r="AJ163" s="150">
        <v>2.0689642889969297E-2</v>
      </c>
      <c r="AK163" s="150">
        <v>2.1225798524664864E-2</v>
      </c>
      <c r="AL163" s="150">
        <v>2.1723073103615355E-2</v>
      </c>
      <c r="AM163" s="150">
        <v>2.2203033650712641E-2</v>
      </c>
      <c r="AN163" s="150">
        <v>2.2575086174028459E-2</v>
      </c>
      <c r="AO163" s="150">
        <v>2.3050720643839107E-2</v>
      </c>
      <c r="AP163" s="150">
        <v>2.3469175650313225E-2</v>
      </c>
      <c r="AQ163" s="150">
        <v>2.4025846194256031E-2</v>
      </c>
      <c r="AR163" s="150">
        <v>2.447697897008862E-2</v>
      </c>
      <c r="AS163" s="150">
        <v>2.4914187172580513E-2</v>
      </c>
      <c r="AT163" s="150">
        <v>2.53651672739739E-2</v>
      </c>
      <c r="AU163" s="150">
        <v>2.5819532770760004E-2</v>
      </c>
      <c r="AV163" s="150">
        <v>2.6337901439977465E-2</v>
      </c>
      <c r="AW163" s="150">
        <v>2.6812863315255352E-2</v>
      </c>
      <c r="AX163" s="150">
        <v>2.7289975902458883E-2</v>
      </c>
      <c r="AY163" s="150">
        <v>2.7779572986808072E-2</v>
      </c>
      <c r="AZ163" s="150">
        <v>2.8272420640479721E-2</v>
      </c>
      <c r="BA163" s="150">
        <v>2.8778955370318573E-2</v>
      </c>
      <c r="BB163" s="150">
        <v>2.9270048685470181E-2</v>
      </c>
      <c r="BC163" s="150">
        <v>2.9766411241203671E-2</v>
      </c>
      <c r="BD163" s="150">
        <v>3.0267599754573386E-2</v>
      </c>
      <c r="BE163" s="150">
        <v>3.0770905864907758E-2</v>
      </c>
      <c r="BF163" s="150">
        <v>3.1273874180904118E-2</v>
      </c>
      <c r="BG163" s="150">
        <v>3.1778194297237015E-2</v>
      </c>
      <c r="BH163" s="150">
        <v>3.2284572688745496E-2</v>
      </c>
      <c r="BI163" s="150">
        <v>3.2793093607839351E-2</v>
      </c>
      <c r="BJ163" s="150">
        <v>3.3302241868443307E-2</v>
      </c>
      <c r="BK163" s="150">
        <v>3.3811808671318049E-2</v>
      </c>
      <c r="BL163" s="150">
        <v>3.4321023268410612E-2</v>
      </c>
      <c r="BM163" s="150">
        <v>3.483087764825657E-2</v>
      </c>
      <c r="BN163" s="150">
        <v>3.5341028286277443E-2</v>
      </c>
      <c r="BO163" s="150">
        <v>3.5851100341828847E-2</v>
      </c>
      <c r="BP163" s="114"/>
    </row>
    <row r="164" spans="1:81" x14ac:dyDescent="0.3">
      <c r="A164" s="388"/>
      <c r="D164" s="359"/>
      <c r="E164" s="115"/>
      <c r="F164" s="117" t="s">
        <v>544</v>
      </c>
      <c r="G164" s="122">
        <f t="shared" ref="G164:K164" si="158">G149*(1-$I$135/100)/1000000</f>
        <v>3.7492290000000006E-5</v>
      </c>
      <c r="H164" s="122">
        <f t="shared" si="158"/>
        <v>9.9106920000000006E-5</v>
      </c>
      <c r="I164" s="122">
        <f t="shared" si="158"/>
        <v>4.5499409999999999E-4</v>
      </c>
      <c r="J164" s="122">
        <f t="shared" si="158"/>
        <v>9.9007919999999979E-5</v>
      </c>
      <c r="K164" s="122">
        <f t="shared" si="158"/>
        <v>7.2035567999999988E-4</v>
      </c>
      <c r="L164" s="123">
        <f t="shared" si="157"/>
        <v>1.4234041800000004E-3</v>
      </c>
      <c r="M164" s="123">
        <f t="shared" si="157"/>
        <v>1.75315635E-3</v>
      </c>
      <c r="N164" s="123">
        <f t="shared" si="157"/>
        <v>1.919047779E-3</v>
      </c>
      <c r="O164" s="123">
        <f t="shared" si="157"/>
        <v>1.7021578364999998E-3</v>
      </c>
      <c r="P164" s="123">
        <f t="shared" si="157"/>
        <v>2.3650077329999998E-3</v>
      </c>
      <c r="Q164" s="123">
        <f t="shared" si="157"/>
        <v>1.7804449574999998E-3</v>
      </c>
      <c r="R164" s="123">
        <f t="shared" si="157"/>
        <v>1.424885517E-3</v>
      </c>
      <c r="S164" s="150">
        <v>1.4178924345268436E-3</v>
      </c>
      <c r="T164" s="150">
        <v>1.3480181430105998E-3</v>
      </c>
      <c r="U164" s="150">
        <v>1.5888158538090698E-3</v>
      </c>
      <c r="V164" s="150">
        <v>1.5493469558955375E-3</v>
      </c>
      <c r="W164" s="150">
        <v>1.8233855106041807E-3</v>
      </c>
      <c r="X164" s="150">
        <v>1.9261281042503718E-3</v>
      </c>
      <c r="Y164" s="150">
        <v>2.0392642047568224E-3</v>
      </c>
      <c r="Z164" s="150">
        <v>2.1369784821678264E-3</v>
      </c>
      <c r="AA164" s="150">
        <v>2.2642339218350224E-3</v>
      </c>
      <c r="AB164" s="150">
        <v>2.1070442861676926E-3</v>
      </c>
      <c r="AC164" s="150">
        <v>2.1875487877343605E-3</v>
      </c>
      <c r="AD164" s="150">
        <v>2.2988826199526846E-3</v>
      </c>
      <c r="AE164" s="150">
        <v>2.3674352135796216E-3</v>
      </c>
      <c r="AF164" s="150">
        <v>2.4321343763735108E-3</v>
      </c>
      <c r="AG164" s="150">
        <v>2.494280252827647E-3</v>
      </c>
      <c r="AH164" s="150">
        <v>2.5416641066170254E-3</v>
      </c>
      <c r="AI164" s="150">
        <v>2.5770860312839959E-3</v>
      </c>
      <c r="AJ164" s="150">
        <v>2.6535514209839683E-3</v>
      </c>
      <c r="AK164" s="150">
        <v>2.7223160948781099E-3</v>
      </c>
      <c r="AL164" s="150">
        <v>2.7860940765770119E-3</v>
      </c>
      <c r="AM164" s="150">
        <v>2.8476514460560043E-3</v>
      </c>
      <c r="AN164" s="150">
        <v>2.8953690653100322E-3</v>
      </c>
      <c r="AO164" s="150">
        <v>2.956371593480632E-3</v>
      </c>
      <c r="AP164" s="150">
        <v>3.0100405660652479E-3</v>
      </c>
      <c r="AQ164" s="150">
        <v>3.0814363809062812E-3</v>
      </c>
      <c r="AR164" s="150">
        <v>3.1392964428092053E-3</v>
      </c>
      <c r="AS164" s="150">
        <v>3.1953706077021467E-3</v>
      </c>
      <c r="AT164" s="150">
        <v>3.2532110883354832E-3</v>
      </c>
      <c r="AU164" s="150">
        <v>3.3114857630630683E-3</v>
      </c>
      <c r="AV164" s="150">
        <v>3.3779691686061596E-3</v>
      </c>
      <c r="AW164" s="150">
        <v>3.4388854331236047E-3</v>
      </c>
      <c r="AX164" s="150">
        <v>3.500077537331313E-3</v>
      </c>
      <c r="AY164" s="150">
        <v>3.5628708414880638E-3</v>
      </c>
      <c r="AZ164" s="150">
        <v>3.6260810476131324E-3</v>
      </c>
      <c r="BA164" s="150">
        <v>3.6910466905335942E-3</v>
      </c>
      <c r="BB164" s="150">
        <v>3.7540318938639071E-3</v>
      </c>
      <c r="BC164" s="150">
        <v>3.8176929039690356E-3</v>
      </c>
      <c r="BD164" s="150">
        <v>3.8819728675675287E-3</v>
      </c>
      <c r="BE164" s="150">
        <v>3.9465244236949271E-3</v>
      </c>
      <c r="BF164" s="150">
        <v>4.011032655988735E-3</v>
      </c>
      <c r="BG164" s="150">
        <v>4.0757142635178224E-3</v>
      </c>
      <c r="BH164" s="150">
        <v>4.1406598552561104E-3</v>
      </c>
      <c r="BI164" s="150">
        <v>4.2058802370015967E-3</v>
      </c>
      <c r="BJ164" s="150">
        <v>4.2711810784710333E-3</v>
      </c>
      <c r="BK164" s="150">
        <v>4.3365356001051443E-3</v>
      </c>
      <c r="BL164" s="150">
        <v>4.4018449495650059E-3</v>
      </c>
      <c r="BM164" s="150">
        <v>4.4672363544012422E-3</v>
      </c>
      <c r="BN164" s="150">
        <v>4.5326657558479181E-3</v>
      </c>
      <c r="BO164" s="150">
        <v>4.5980850786951407E-3</v>
      </c>
      <c r="BP164" s="114"/>
    </row>
    <row r="165" spans="1:81" x14ac:dyDescent="0.3">
      <c r="A165" s="388"/>
      <c r="D165" s="359"/>
      <c r="E165" s="115"/>
      <c r="F165" s="117" t="s">
        <v>403</v>
      </c>
      <c r="G165" s="122">
        <f t="shared" ref="G165:K165" si="159">G150*(1-$I$135/100)/1000000</f>
        <v>4.7638799999999999E-3</v>
      </c>
      <c r="H165" s="122">
        <f t="shared" si="159"/>
        <v>1.6896329999999998E-2</v>
      </c>
      <c r="I165" s="122">
        <f t="shared" si="159"/>
        <v>7.1101800000000007E-3</v>
      </c>
      <c r="J165" s="122">
        <f t="shared" si="159"/>
        <v>4.2173999999999998E-4</v>
      </c>
      <c r="K165" s="122">
        <f t="shared" si="159"/>
        <v>4.2965999999999995E-4</v>
      </c>
      <c r="L165" s="152">
        <v>0.91641784475333332</v>
      </c>
      <c r="M165" s="123">
        <f t="shared" si="157"/>
        <v>4.2669000000000002E-4</v>
      </c>
      <c r="N165" s="123">
        <f t="shared" si="157"/>
        <v>4.5638999999999999E-4</v>
      </c>
      <c r="O165" s="123">
        <f t="shared" si="157"/>
        <v>3.5837999999999999E-4</v>
      </c>
      <c r="P165" s="123">
        <f t="shared" si="157"/>
        <v>2.1185999999999999E-4</v>
      </c>
      <c r="Q165" s="123">
        <f t="shared" si="157"/>
        <v>1.1662199999999999E-3</v>
      </c>
      <c r="R165" s="123">
        <f t="shared" si="157"/>
        <v>5.3361000000000001E-4</v>
      </c>
      <c r="S165" s="150">
        <v>5.309911378570556E-4</v>
      </c>
      <c r="T165" s="150">
        <v>5.0482368773482737E-4</v>
      </c>
      <c r="U165" s="150">
        <v>5.9500080366881687E-4</v>
      </c>
      <c r="V165" s="150">
        <v>5.8021996804071506E-4</v>
      </c>
      <c r="W165" s="150">
        <v>6.8284555545348904E-4</v>
      </c>
      <c r="X165" s="150">
        <v>7.2132196267459209E-4</v>
      </c>
      <c r="Y165" s="150">
        <v>7.6369066799932103E-4</v>
      </c>
      <c r="Z165" s="150">
        <v>8.0028400476020401E-4</v>
      </c>
      <c r="AA165" s="150">
        <v>8.4794030721444002E-4</v>
      </c>
      <c r="AB165" s="150">
        <v>7.8907385058496764E-4</v>
      </c>
      <c r="AC165" s="150">
        <v>8.1922224255643965E-4</v>
      </c>
      <c r="AD165" s="150">
        <v>8.6091601058287115E-4</v>
      </c>
      <c r="AE165" s="150">
        <v>8.8658849377456453E-4</v>
      </c>
      <c r="AF165" s="150">
        <v>9.1081789315195123E-4</v>
      </c>
      <c r="AG165" s="150">
        <v>9.3409110404436813E-4</v>
      </c>
      <c r="AH165" s="150">
        <v>9.5183603717681031E-4</v>
      </c>
      <c r="AI165" s="150">
        <v>9.6510130866426136E-4</v>
      </c>
      <c r="AJ165" s="150">
        <v>9.9373708052873338E-4</v>
      </c>
      <c r="AK165" s="150">
        <v>1.0194889863477418E-3</v>
      </c>
      <c r="AL165" s="150">
        <v>1.0433734096282903E-3</v>
      </c>
      <c r="AM165" s="150">
        <v>1.0664262286342997E-3</v>
      </c>
      <c r="AN165" s="150">
        <v>1.0842961546784298E-3</v>
      </c>
      <c r="AO165" s="150">
        <v>1.1071411893627944E-3</v>
      </c>
      <c r="AP165" s="150">
        <v>1.1272398570235992E-3</v>
      </c>
      <c r="AQ165" s="150">
        <v>1.1539771073519874E-3</v>
      </c>
      <c r="AR165" s="150">
        <v>1.175645309648705E-3</v>
      </c>
      <c r="AS165" s="150">
        <v>1.1966447055801906E-3</v>
      </c>
      <c r="AT165" s="150">
        <v>1.2183055748237331E-3</v>
      </c>
      <c r="AU165" s="150">
        <v>1.2401290468222815E-3</v>
      </c>
      <c r="AV165" s="150">
        <v>1.2650266330554139E-3</v>
      </c>
      <c r="AW165" s="150">
        <v>1.2878393625844445E-3</v>
      </c>
      <c r="AX165" s="150">
        <v>1.3107553922139851E-3</v>
      </c>
      <c r="AY165" s="150">
        <v>1.3342710604071961E-3</v>
      </c>
      <c r="AZ165" s="150">
        <v>1.3579428555710723E-3</v>
      </c>
      <c r="BA165" s="150">
        <v>1.3822720499555975E-3</v>
      </c>
      <c r="BB165" s="150">
        <v>1.4058595830928919E-3</v>
      </c>
      <c r="BC165" s="150">
        <v>1.4297002013017987E-3</v>
      </c>
      <c r="BD165" s="150">
        <v>1.4537726134124988E-3</v>
      </c>
      <c r="BE165" s="150">
        <v>1.477946735090473E-3</v>
      </c>
      <c r="BF165" s="150">
        <v>1.5021046322854508E-3</v>
      </c>
      <c r="BG165" s="150">
        <v>1.5263274573347673E-3</v>
      </c>
      <c r="BH165" s="150">
        <v>1.5506491426870283E-3</v>
      </c>
      <c r="BI165" s="150">
        <v>1.5750737350405828E-3</v>
      </c>
      <c r="BJ165" s="150">
        <v>1.5995284590171943E-3</v>
      </c>
      <c r="BK165" s="150">
        <v>1.6240032858528283E-3</v>
      </c>
      <c r="BL165" s="150">
        <v>1.6484611960143763E-3</v>
      </c>
      <c r="BM165" s="150">
        <v>1.6729498353600341E-3</v>
      </c>
      <c r="BN165" s="150">
        <v>1.6974527041796073E-3</v>
      </c>
      <c r="BO165" s="150">
        <v>1.7219517986317731E-3</v>
      </c>
      <c r="BP165" s="114"/>
    </row>
    <row r="166" spans="1:81" x14ac:dyDescent="0.3">
      <c r="A166" s="388"/>
      <c r="D166" s="359"/>
      <c r="E166" s="115"/>
      <c r="F166" s="117" t="s">
        <v>404</v>
      </c>
      <c r="G166" s="122">
        <f t="shared" ref="G166:K166" si="160">G151*(1-$I$135/100)/1000000</f>
        <v>0.38506658355000006</v>
      </c>
      <c r="H166" s="122">
        <f t="shared" si="160"/>
        <v>0.43066938221999995</v>
      </c>
      <c r="I166" s="122">
        <f t="shared" si="160"/>
        <v>0.33701881058999994</v>
      </c>
      <c r="J166" s="122">
        <f t="shared" si="160"/>
        <v>0.35508977756999999</v>
      </c>
      <c r="K166" s="122">
        <f t="shared" si="160"/>
        <v>0.35926560252</v>
      </c>
      <c r="L166" s="152">
        <v>0.34617512399333333</v>
      </c>
      <c r="M166" s="152">
        <v>0.20714637140000003</v>
      </c>
      <c r="N166" s="152">
        <v>0.23593725230999996</v>
      </c>
      <c r="O166" s="152">
        <v>0.19069549176</v>
      </c>
      <c r="P166" s="152">
        <v>7.8028522500000003E-2</v>
      </c>
      <c r="Q166" s="152">
        <v>0.16121535272449858</v>
      </c>
      <c r="R166" s="152">
        <v>0.27764344030629629</v>
      </c>
      <c r="S166" s="150">
        <v>0.27628081611436772</v>
      </c>
      <c r="T166" s="150">
        <v>0.26266558987052135</v>
      </c>
      <c r="U166" s="150">
        <v>0.30958578384142249</v>
      </c>
      <c r="V166" s="150">
        <v>0.30189514450859878</v>
      </c>
      <c r="W166" s="150">
        <v>0.35529242183236914</v>
      </c>
      <c r="X166" s="150">
        <v>0.37531214048736639</v>
      </c>
      <c r="Y166" s="150">
        <v>0.39735706675876581</v>
      </c>
      <c r="Z166" s="150">
        <v>0.41639700212462932</v>
      </c>
      <c r="AA166" s="150">
        <v>0.4411931261959014</v>
      </c>
      <c r="AB166" s="150">
        <v>0.41056422955369432</v>
      </c>
      <c r="AC166" s="150">
        <v>0.4262507857776448</v>
      </c>
      <c r="AD166" s="150">
        <v>0.44794453438466325</v>
      </c>
      <c r="AE166" s="150">
        <v>0.46130222362314705</v>
      </c>
      <c r="AF166" s="150">
        <v>0.47390905970135566</v>
      </c>
      <c r="AG166" s="150">
        <v>0.48601837987741048</v>
      </c>
      <c r="AH166" s="150">
        <v>0.49525127334435526</v>
      </c>
      <c r="AI166" s="150">
        <v>0.50215334716675908</v>
      </c>
      <c r="AJ166" s="150">
        <v>0.51705286969496922</v>
      </c>
      <c r="AK166" s="150">
        <v>0.53045188344289973</v>
      </c>
      <c r="AL166" s="150">
        <v>0.54287922447725678</v>
      </c>
      <c r="AM166" s="150">
        <v>0.5548738722117198</v>
      </c>
      <c r="AN166" s="150">
        <v>0.56417180093290442</v>
      </c>
      <c r="AO166" s="150">
        <v>0.57605833608719992</v>
      </c>
      <c r="AP166" s="150">
        <v>0.58651590478890847</v>
      </c>
      <c r="AQ166" s="150">
        <v>0.60042760465492362</v>
      </c>
      <c r="AR166" s="150">
        <v>0.61170182033850062</v>
      </c>
      <c r="AS166" s="150">
        <v>0.62262804835291508</v>
      </c>
      <c r="AT166" s="150">
        <v>0.63389844856430921</v>
      </c>
      <c r="AU166" s="150">
        <v>0.64525345286540003</v>
      </c>
      <c r="AV166" s="150">
        <v>0.6582079542748368</v>
      </c>
      <c r="AW166" s="150">
        <v>0.67007768068404405</v>
      </c>
      <c r="AX166" s="150">
        <v>0.6820011553275227</v>
      </c>
      <c r="AY166" s="150">
        <v>0.69423662883488657</v>
      </c>
      <c r="AZ166" s="150">
        <v>0.70655333700663103</v>
      </c>
      <c r="BA166" s="150">
        <v>0.71921209757858462</v>
      </c>
      <c r="BB166" s="150">
        <v>0.73148496324560208</v>
      </c>
      <c r="BC166" s="150">
        <v>0.74388951199571884</v>
      </c>
      <c r="BD166" s="150">
        <v>0.75641466578760008</v>
      </c>
      <c r="BE166" s="150">
        <v>0.76899274024095698</v>
      </c>
      <c r="BF166" s="150">
        <v>0.78156237290859709</v>
      </c>
      <c r="BG166" s="150">
        <v>0.79416578828804985</v>
      </c>
      <c r="BH166" s="150">
        <v>0.80682064182387003</v>
      </c>
      <c r="BI166" s="150">
        <v>0.81952903905990337</v>
      </c>
      <c r="BJ166" s="150">
        <v>0.8322531141271009</v>
      </c>
      <c r="BK166" s="150">
        <v>0.84498764894381406</v>
      </c>
      <c r="BL166" s="150">
        <v>0.85771338181979939</v>
      </c>
      <c r="BM166" s="150">
        <v>0.87045510344485988</v>
      </c>
      <c r="BN166" s="150">
        <v>0.88320422882939198</v>
      </c>
      <c r="BO166" s="150">
        <v>0.89595139036700977</v>
      </c>
      <c r="BP166" s="114"/>
    </row>
    <row r="167" spans="1:81" x14ac:dyDescent="0.3">
      <c r="A167" s="388"/>
      <c r="D167" s="359"/>
      <c r="E167" s="115"/>
      <c r="F167" s="117" t="s">
        <v>405</v>
      </c>
      <c r="G167" s="122">
        <f t="shared" ref="G167:K167" si="161">G152*(1-$I$135/100)/1000000</f>
        <v>7.5587390010000005E-2</v>
      </c>
      <c r="H167" s="122">
        <f t="shared" si="161"/>
        <v>8.237370438000001E-2</v>
      </c>
      <c r="I167" s="122">
        <f t="shared" si="161"/>
        <v>7.5283471889999995E-2</v>
      </c>
      <c r="J167" s="122">
        <f t="shared" si="161"/>
        <v>6.846228972E-2</v>
      </c>
      <c r="K167" s="122">
        <f t="shared" si="161"/>
        <v>7.0229968380000007E-2</v>
      </c>
      <c r="L167" s="123">
        <f t="shared" si="157"/>
        <v>6.0702336090000003E-2</v>
      </c>
      <c r="M167" s="123">
        <f t="shared" si="157"/>
        <v>6.1678576080000005E-2</v>
      </c>
      <c r="N167" s="123">
        <f t="shared" si="157"/>
        <v>3.5796937512599998E-2</v>
      </c>
      <c r="O167" s="123">
        <f t="shared" si="157"/>
        <v>7.3270773777959999E-2</v>
      </c>
      <c r="P167" s="123">
        <f t="shared" si="157"/>
        <v>5.2954798881599999E-2</v>
      </c>
      <c r="Q167" s="123">
        <f t="shared" si="157"/>
        <v>8.7190961052689989E-2</v>
      </c>
      <c r="R167" s="123">
        <f t="shared" si="157"/>
        <v>5.2567395942600001E-2</v>
      </c>
      <c r="S167" s="150">
        <v>5.2309404594635678E-2</v>
      </c>
      <c r="T167" s="150">
        <v>4.9731576758981537E-2</v>
      </c>
      <c r="U167" s="150">
        <v>5.861517368981823E-2</v>
      </c>
      <c r="V167" s="150">
        <v>5.7159072719399913E-2</v>
      </c>
      <c r="W167" s="150">
        <v>6.7269002981893491E-2</v>
      </c>
      <c r="X167" s="150">
        <v>7.1059420202036372E-2</v>
      </c>
      <c r="Y167" s="150">
        <v>7.5233278466274991E-2</v>
      </c>
      <c r="Z167" s="150">
        <v>7.8838189210770473E-2</v>
      </c>
      <c r="AA167" s="150">
        <v>8.3532943282605951E-2</v>
      </c>
      <c r="AB167" s="150">
        <v>7.7733845939266494E-2</v>
      </c>
      <c r="AC167" s="150">
        <v>8.0703847359399311E-2</v>
      </c>
      <c r="AD167" s="150">
        <v>8.4811215684926083E-2</v>
      </c>
      <c r="AE167" s="150">
        <v>8.7340282960216079E-2</v>
      </c>
      <c r="AF167" s="150">
        <v>8.9727188060424984E-2</v>
      </c>
      <c r="AG167" s="150">
        <v>9.2019896390173883E-2</v>
      </c>
      <c r="AH167" s="150">
        <v>9.3767998798202301E-2</v>
      </c>
      <c r="AI167" s="150">
        <v>9.5074797356263285E-2</v>
      </c>
      <c r="AJ167" s="150">
        <v>9.7895786388930706E-2</v>
      </c>
      <c r="AK167" s="150">
        <v>0.10043267780675337</v>
      </c>
      <c r="AL167" s="150">
        <v>0.10278559835818465</v>
      </c>
      <c r="AM167" s="150">
        <v>0.10505659527406327</v>
      </c>
      <c r="AN167" s="150">
        <v>0.1068170110792895</v>
      </c>
      <c r="AO167" s="150">
        <v>0.10906753858734861</v>
      </c>
      <c r="AP167" s="150">
        <v>0.11104751388924372</v>
      </c>
      <c r="AQ167" s="150">
        <v>0.11368147431807525</v>
      </c>
      <c r="AR167" s="150">
        <v>0.11581606881498482</v>
      </c>
      <c r="AS167" s="150">
        <v>0.11788477734834406</v>
      </c>
      <c r="AT167" s="150">
        <v>0.12001864944591756</v>
      </c>
      <c r="AU167" s="150">
        <v>0.12216853999030379</v>
      </c>
      <c r="AV167" s="150">
        <v>0.12462127002447125</v>
      </c>
      <c r="AW167" s="150">
        <v>0.12686861506239033</v>
      </c>
      <c r="AX167" s="150">
        <v>0.12912613647872137</v>
      </c>
      <c r="AY167" s="150">
        <v>0.13144272994729828</v>
      </c>
      <c r="AZ167" s="150">
        <v>0.13377470391527416</v>
      </c>
      <c r="BA167" s="150">
        <v>0.1361714400974593</v>
      </c>
      <c r="BB167" s="150">
        <v>0.13849511318030511</v>
      </c>
      <c r="BC167" s="150">
        <v>0.14084371837305629</v>
      </c>
      <c r="BD167" s="150">
        <v>0.14321515822372741</v>
      </c>
      <c r="BE167" s="150">
        <v>0.14559661776498536</v>
      </c>
      <c r="BF167" s="150">
        <v>0.14797647898758054</v>
      </c>
      <c r="BG167" s="150">
        <v>0.15036273643256051</v>
      </c>
      <c r="BH167" s="150">
        <v>0.15275873287922312</v>
      </c>
      <c r="BI167" s="150">
        <v>0.15516486697900742</v>
      </c>
      <c r="BJ167" s="150">
        <v>0.15757396942825971</v>
      </c>
      <c r="BK167" s="150">
        <v>0.15998505226571655</v>
      </c>
      <c r="BL167" s="150">
        <v>0.16239446859485324</v>
      </c>
      <c r="BM167" s="150">
        <v>0.16480691214084886</v>
      </c>
      <c r="BN167" s="150">
        <v>0.16722075747164869</v>
      </c>
      <c r="BO167" s="150">
        <v>0.16963423097908326</v>
      </c>
      <c r="BP167" s="114"/>
    </row>
    <row r="168" spans="1:81" x14ac:dyDescent="0.3">
      <c r="A168" s="352"/>
      <c r="B168" s="352"/>
      <c r="C168" s="352"/>
      <c r="D168" s="359"/>
      <c r="E168" s="115"/>
      <c r="F168" s="117" t="s">
        <v>406</v>
      </c>
      <c r="G168" s="122">
        <f t="shared" ref="G168" si="162">G153*(1-$I$135/100)/1000000</f>
        <v>0</v>
      </c>
      <c r="H168" s="122">
        <f t="shared" ref="H168:S168" si="163">H169*(1-$I$135/100)</f>
        <v>0.11580525</v>
      </c>
      <c r="I168" s="122">
        <f t="shared" si="163"/>
        <v>0.11627451</v>
      </c>
      <c r="J168" s="122">
        <f t="shared" si="163"/>
        <v>0.15217784999999998</v>
      </c>
      <c r="K168" s="122">
        <f t="shared" si="163"/>
        <v>0.16353809999999999</v>
      </c>
      <c r="L168" s="123">
        <f t="shared" si="163"/>
        <v>0.14436576000000001</v>
      </c>
      <c r="M168" s="123">
        <f t="shared" si="163"/>
        <v>0.14175513000000001</v>
      </c>
      <c r="N168" s="123">
        <f t="shared" si="163"/>
        <v>0.14669126999999998</v>
      </c>
      <c r="O168" s="123">
        <f t="shared" si="163"/>
        <v>0.15325496999999999</v>
      </c>
      <c r="P168" s="123">
        <f t="shared" si="163"/>
        <v>0.15681698999999999</v>
      </c>
      <c r="Q168" s="123">
        <f t="shared" si="163"/>
        <v>0.15137792999999999</v>
      </c>
      <c r="R168" s="123">
        <f t="shared" si="163"/>
        <v>0.16611704999999999</v>
      </c>
      <c r="S168" s="123">
        <f t="shared" si="163"/>
        <v>0.16335</v>
      </c>
      <c r="T168" s="150">
        <v>0.15530004836668918</v>
      </c>
      <c r="U168" s="150">
        <v>0.1830414376999753</v>
      </c>
      <c r="V168" s="150">
        <v>0.17849437593620548</v>
      </c>
      <c r="W168" s="150">
        <v>0.21006531659546282</v>
      </c>
      <c r="X168" s="150">
        <v>0.22190190043174365</v>
      </c>
      <c r="Y168" s="150">
        <v>0.23493588070253604</v>
      </c>
      <c r="Z168" s="150">
        <v>0.24619317133080149</v>
      </c>
      <c r="AA168" s="150">
        <v>0.26085378701888312</v>
      </c>
      <c r="AB168" s="150">
        <v>0.2427445663467051</v>
      </c>
      <c r="AC168" s="150">
        <v>0.25201918408969598</v>
      </c>
      <c r="AD168" s="150">
        <v>0.26484553187885823</v>
      </c>
      <c r="AE168" s="150">
        <v>0.27274321572022592</v>
      </c>
      <c r="AF168" s="150">
        <v>0.28019696043669912</v>
      </c>
      <c r="AG168" s="150">
        <v>0.28735655073536004</v>
      </c>
      <c r="AH168" s="150">
        <v>0.29281546449215562</v>
      </c>
      <c r="AI168" s="150">
        <v>0.29689628984494798</v>
      </c>
      <c r="AJ168" s="150">
        <v>0.30570557685666594</v>
      </c>
      <c r="AK168" s="150">
        <v>0.31362769365980442</v>
      </c>
      <c r="AL168" s="150">
        <v>0.32097531260241641</v>
      </c>
      <c r="AM168" s="150">
        <v>0.3280671032485446</v>
      </c>
      <c r="AN168" s="150">
        <v>0.33356446885635715</v>
      </c>
      <c r="AO168" s="150">
        <v>0.34059233834350394</v>
      </c>
      <c r="AP168" s="150">
        <v>0.34677533675594874</v>
      </c>
      <c r="AQ168" s="150">
        <v>0.35500057731037388</v>
      </c>
      <c r="AR168" s="150">
        <v>0.36166641519884291</v>
      </c>
      <c r="AS168" s="150">
        <v>0.36812650667843289</v>
      </c>
      <c r="AT168" s="150">
        <v>0.37479008868323316</v>
      </c>
      <c r="AU168" s="150">
        <v>0.38150369253988087</v>
      </c>
      <c r="AV168" s="150">
        <v>0.3891629930841341</v>
      </c>
      <c r="AW168" s="150">
        <v>0.39618092446356579</v>
      </c>
      <c r="AX168" s="150">
        <v>0.40323063428564038</v>
      </c>
      <c r="AY168" s="150">
        <v>0.41046481226997256</v>
      </c>
      <c r="AZ168" s="150">
        <v>0.41774701994602631</v>
      </c>
      <c r="BA168" s="150">
        <v>0.425231464825372</v>
      </c>
      <c r="BB168" s="150">
        <v>0.43248775078435586</v>
      </c>
      <c r="BC168" s="150">
        <v>0.43982189387409099</v>
      </c>
      <c r="BD168" s="150">
        <v>0.44722734424403937</v>
      </c>
      <c r="BE168" s="150">
        <v>0.4546640837573081</v>
      </c>
      <c r="BF168" s="150">
        <v>0.46209583209632071</v>
      </c>
      <c r="BG168" s="150">
        <v>0.46954755433743856</v>
      </c>
      <c r="BH168" s="150">
        <v>0.47702968919627187</v>
      </c>
      <c r="BI168" s="150">
        <v>0.48454348156775057</v>
      </c>
      <c r="BJ168" s="150">
        <v>0.49206654339831324</v>
      </c>
      <c r="BK168" s="150">
        <v>0.49959578951668648</v>
      </c>
      <c r="BL168" s="150">
        <v>0.50711983152049933</v>
      </c>
      <c r="BM168" s="150">
        <v>0.51465332681244913</v>
      </c>
      <c r="BN168" s="150">
        <v>0.52219119954951687</v>
      </c>
      <c r="BO168" s="150">
        <v>0.52972791116943585</v>
      </c>
      <c r="BP168" s="114"/>
    </row>
    <row r="169" spans="1:81" x14ac:dyDescent="0.3">
      <c r="A169" s="354"/>
      <c r="B169" s="354"/>
      <c r="C169" s="354"/>
      <c r="D169" s="359"/>
      <c r="E169" s="115"/>
      <c r="F169" s="117" t="s">
        <v>406</v>
      </c>
      <c r="G169" s="122">
        <v>0.106563</v>
      </c>
      <c r="H169" s="122">
        <v>0.116975</v>
      </c>
      <c r="I169" s="122">
        <v>0.117449</v>
      </c>
      <c r="J169" s="122">
        <v>0.15371499999999999</v>
      </c>
      <c r="K169" s="122">
        <v>0.16519</v>
      </c>
      <c r="L169" s="123">
        <v>0.14582400000000001</v>
      </c>
      <c r="M169" s="123">
        <v>0.14318700000000001</v>
      </c>
      <c r="N169" s="123">
        <v>0.148173</v>
      </c>
      <c r="O169" s="123">
        <v>0.154803</v>
      </c>
      <c r="P169" s="123">
        <v>0.15840099999999999</v>
      </c>
      <c r="Q169" s="123">
        <v>0.15290699999999999</v>
      </c>
      <c r="R169" s="123">
        <v>0.167795</v>
      </c>
      <c r="S169" s="348">
        <v>0.16500000000000001</v>
      </c>
      <c r="T169" s="348"/>
      <c r="U169" s="348"/>
      <c r="V169" s="348"/>
      <c r="W169" s="142"/>
      <c r="X169" s="142"/>
      <c r="Y169" s="142"/>
      <c r="Z169" s="142"/>
      <c r="AA169" s="142"/>
      <c r="AB169" s="142"/>
      <c r="AC169" s="142"/>
      <c r="AD169" s="142"/>
      <c r="AE169" s="142"/>
      <c r="AF169" s="142"/>
      <c r="AG169" s="142"/>
      <c r="AH169" s="142"/>
      <c r="AI169" s="142"/>
      <c r="AJ169" s="142"/>
      <c r="AK169" s="142"/>
      <c r="AL169" s="142"/>
      <c r="AM169" s="142"/>
      <c r="AN169" s="142"/>
      <c r="AO169" s="142"/>
      <c r="AP169" s="142"/>
      <c r="AQ169" s="142"/>
      <c r="AR169" s="142"/>
      <c r="AS169" s="142"/>
      <c r="AT169" s="142"/>
      <c r="AU169" s="142"/>
      <c r="AV169" s="142"/>
      <c r="AW169" s="142"/>
      <c r="AX169" s="142"/>
      <c r="AY169" s="142"/>
      <c r="AZ169" s="142"/>
      <c r="BA169" s="142"/>
      <c r="BB169" s="142"/>
      <c r="BC169" s="142"/>
      <c r="BD169" s="142"/>
      <c r="BE169" s="142"/>
      <c r="BF169" s="142"/>
      <c r="BG169" s="142"/>
      <c r="BH169" s="142"/>
      <c r="BI169" s="142"/>
      <c r="BJ169" s="142"/>
      <c r="BK169" s="142"/>
      <c r="BL169" s="142"/>
      <c r="BM169" s="142"/>
      <c r="BN169" s="142"/>
      <c r="BO169" s="142"/>
      <c r="BP169" s="114"/>
    </row>
    <row r="170" spans="1:81" x14ac:dyDescent="0.3">
      <c r="A170" s="16"/>
      <c r="B170" s="16"/>
      <c r="C170" s="16"/>
      <c r="D170" s="128"/>
      <c r="E170" s="129"/>
      <c r="F170" s="111" t="s">
        <v>545</v>
      </c>
      <c r="G170" s="130"/>
      <c r="H170" s="130"/>
      <c r="I170" s="130"/>
      <c r="J170" s="130"/>
      <c r="K170" s="130"/>
      <c r="L170" s="131"/>
      <c r="M170" s="131">
        <f t="shared" ref="M170:AR170" si="164">SUM(M155:M168)</f>
        <v>6.8502046020820702</v>
      </c>
      <c r="N170" s="131">
        <f t="shared" si="164"/>
        <v>7.0049221710936065</v>
      </c>
      <c r="O170" s="131">
        <f t="shared" si="164"/>
        <v>7.3436762344502995</v>
      </c>
      <c r="P170" s="131">
        <f t="shared" si="164"/>
        <v>7.2230138901811758</v>
      </c>
      <c r="Q170" s="131">
        <f t="shared" si="164"/>
        <v>7.4139357704191564</v>
      </c>
      <c r="R170" s="131">
        <f t="shared" si="164"/>
        <v>7.4901644524561206</v>
      </c>
      <c r="S170" s="131">
        <f t="shared" si="164"/>
        <v>6.8826812278078311</v>
      </c>
      <c r="T170" s="131">
        <f t="shared" si="164"/>
        <v>6.8966819713631873</v>
      </c>
      <c r="U170" s="131">
        <f t="shared" si="164"/>
        <v>7.1139230285261439</v>
      </c>
      <c r="V170" s="131">
        <f t="shared" si="164"/>
        <v>7.148954065327116</v>
      </c>
      <c r="W170" s="131">
        <f t="shared" si="164"/>
        <v>7.2887526613047875</v>
      </c>
      <c r="X170" s="131">
        <f t="shared" si="164"/>
        <v>7.3410587263303446</v>
      </c>
      <c r="Y170" s="131">
        <f t="shared" si="164"/>
        <v>7.3984440282352839</v>
      </c>
      <c r="Z170" s="131">
        <f t="shared" si="164"/>
        <v>7.4483516486617392</v>
      </c>
      <c r="AA170" s="131">
        <f t="shared" si="164"/>
        <v>7.5126528277587443</v>
      </c>
      <c r="AB170" s="131">
        <f t="shared" si="164"/>
        <v>7.4386178749387879</v>
      </c>
      <c r="AC170" s="131">
        <f t="shared" si="164"/>
        <v>7.4802272283276929</v>
      </c>
      <c r="AD170" s="131">
        <f t="shared" si="164"/>
        <v>7.536857462933817</v>
      </c>
      <c r="AE170" s="131">
        <f t="shared" si="164"/>
        <v>7.5727029986718026</v>
      </c>
      <c r="AF170" s="131">
        <f t="shared" si="164"/>
        <v>7.6066994424250494</v>
      </c>
      <c r="AG170" s="131">
        <f t="shared" si="164"/>
        <v>7.643489313894519</v>
      </c>
      <c r="AH170" s="131">
        <f t="shared" si="164"/>
        <v>7.6715336858174714</v>
      </c>
      <c r="AI170" s="131">
        <f t="shared" si="164"/>
        <v>7.6924914293307642</v>
      </c>
      <c r="AJ170" s="131">
        <f t="shared" si="164"/>
        <v>7.7377647524362247</v>
      </c>
      <c r="AK170" s="131">
        <f t="shared" si="164"/>
        <v>7.7784759355590696</v>
      </c>
      <c r="AL170" s="131">
        <f t="shared" si="164"/>
        <v>7.8162328590654901</v>
      </c>
      <c r="AM170" s="131">
        <f t="shared" si="164"/>
        <v>7.8526742432922463</v>
      </c>
      <c r="AN170" s="131">
        <f t="shared" si="164"/>
        <v>7.8809165135387254</v>
      </c>
      <c r="AO170" s="131">
        <f t="shared" si="164"/>
        <v>7.917029245386999</v>
      </c>
      <c r="AP170" s="131">
        <f t="shared" si="164"/>
        <v>7.9487973553853557</v>
      </c>
      <c r="AQ170" s="131">
        <f t="shared" si="164"/>
        <v>7.9910674801344355</v>
      </c>
      <c r="AR170" s="131">
        <f t="shared" si="164"/>
        <v>8.0253185891821612</v>
      </c>
      <c r="AS170" s="131">
        <f t="shared" ref="AS170:BO170" si="165">SUM(AS155:AS168)</f>
        <v>8.0585116989421781</v>
      </c>
      <c r="AT170" s="131">
        <f t="shared" si="165"/>
        <v>8.0927512616893686</v>
      </c>
      <c r="AU170" s="131">
        <f t="shared" si="165"/>
        <v>8.1272480829812075</v>
      </c>
      <c r="AV170" s="131">
        <f t="shared" si="165"/>
        <v>8.1666080641963177</v>
      </c>
      <c r="AW170" s="131">
        <f t="shared" si="165"/>
        <v>8.2026699077598124</v>
      </c>
      <c r="AX170" s="131">
        <f t="shared" si="165"/>
        <v>8.2388951952228044</v>
      </c>
      <c r="AY170" s="131">
        <f t="shared" si="165"/>
        <v>8.2760691152965578</v>
      </c>
      <c r="AZ170" s="131">
        <f t="shared" si="165"/>
        <v>8.3134900493329376</v>
      </c>
      <c r="BA170" s="131">
        <f t="shared" si="165"/>
        <v>8.3519509911080334</v>
      </c>
      <c r="BB170" s="131">
        <f t="shared" si="165"/>
        <v>8.3892386796749463</v>
      </c>
      <c r="BC170" s="131">
        <f t="shared" si="165"/>
        <v>8.4269267661843053</v>
      </c>
      <c r="BD170" s="131">
        <f t="shared" si="165"/>
        <v>8.4649815687811696</v>
      </c>
      <c r="BE170" s="131">
        <f t="shared" si="165"/>
        <v>8.5031972989252367</v>
      </c>
      <c r="BF170" s="131">
        <f t="shared" si="165"/>
        <v>8.5413873893678733</v>
      </c>
      <c r="BG170" s="131">
        <f t="shared" si="165"/>
        <v>8.5796802200207392</v>
      </c>
      <c r="BH170" s="131">
        <f t="shared" si="165"/>
        <v>8.6181294707115832</v>
      </c>
      <c r="BI170" s="131">
        <f t="shared" si="165"/>
        <v>8.6567415431378851</v>
      </c>
      <c r="BJ170" s="131">
        <f t="shared" si="165"/>
        <v>8.6954013093679414</v>
      </c>
      <c r="BK170" s="131">
        <f t="shared" si="165"/>
        <v>8.7340929042483904</v>
      </c>
      <c r="BL170" s="131">
        <f t="shared" si="165"/>
        <v>8.7727577642466876</v>
      </c>
      <c r="BM170" s="131">
        <f t="shared" si="165"/>
        <v>8.8114712632877392</v>
      </c>
      <c r="BN170" s="131">
        <f t="shared" si="165"/>
        <v>8.8502072994253798</v>
      </c>
      <c r="BO170" s="131">
        <f t="shared" si="165"/>
        <v>8.8889373912347143</v>
      </c>
      <c r="BP170" s="132"/>
      <c r="BQ170" s="13"/>
      <c r="BR170" s="13"/>
      <c r="BS170" s="13"/>
      <c r="BT170" s="13"/>
      <c r="BU170" s="13"/>
      <c r="BV170" s="13"/>
      <c r="BW170" s="13"/>
      <c r="BX170" s="13"/>
      <c r="BY170" s="13"/>
      <c r="BZ170" s="13"/>
      <c r="CA170" s="13"/>
      <c r="CB170" s="13"/>
      <c r="CC170" s="13"/>
    </row>
    <row r="171" spans="1:81" x14ac:dyDescent="0.3">
      <c r="A171" s="354"/>
      <c r="B171" s="354"/>
      <c r="C171" s="354"/>
      <c r="D171" s="359"/>
      <c r="E171" s="115"/>
      <c r="F171" s="133"/>
      <c r="G171" s="133"/>
      <c r="H171" s="133"/>
      <c r="I171" s="133"/>
      <c r="J171" s="133"/>
      <c r="K171" s="133"/>
      <c r="L171" s="134"/>
      <c r="M171" s="134"/>
      <c r="N171" s="134"/>
      <c r="O171" s="134"/>
      <c r="P171" s="134"/>
      <c r="Q171" s="134"/>
      <c r="R171" s="134"/>
      <c r="S171" s="134"/>
      <c r="T171" s="134"/>
      <c r="U171" s="134"/>
      <c r="V171" s="134"/>
      <c r="W171" s="134"/>
      <c r="X171" s="134"/>
      <c r="Y171" s="134"/>
      <c r="Z171" s="134"/>
      <c r="AA171" s="134"/>
      <c r="AB171" s="134"/>
      <c r="AC171" s="134"/>
      <c r="AD171" s="134"/>
      <c r="AE171" s="134"/>
      <c r="AF171" s="134"/>
      <c r="AG171" s="134"/>
      <c r="AH171" s="134"/>
      <c r="AI171" s="134"/>
      <c r="AJ171" s="134"/>
      <c r="AK171" s="134"/>
      <c r="AL171" s="134"/>
      <c r="AM171" s="134"/>
      <c r="AN171" s="134"/>
      <c r="AO171" s="134"/>
      <c r="AP171" s="134"/>
      <c r="AQ171" s="134"/>
      <c r="AR171" s="134"/>
      <c r="AS171" s="134"/>
      <c r="AT171" s="134"/>
      <c r="AU171" s="134"/>
      <c r="AV171" s="134"/>
      <c r="AW171" s="134"/>
      <c r="AX171" s="134"/>
      <c r="AY171" s="134"/>
      <c r="AZ171" s="134"/>
      <c r="BA171" s="134"/>
      <c r="BB171" s="134"/>
      <c r="BC171" s="134"/>
      <c r="BD171" s="134"/>
      <c r="BE171" s="134"/>
      <c r="BF171" s="134"/>
      <c r="BG171" s="134"/>
      <c r="BH171" s="134"/>
      <c r="BI171" s="134"/>
      <c r="BJ171" s="134"/>
      <c r="BK171" s="134"/>
      <c r="BL171" s="134"/>
      <c r="BM171" s="134"/>
      <c r="BN171" s="134"/>
      <c r="BO171" s="134"/>
      <c r="BP171" s="114"/>
    </row>
    <row r="172" spans="1:81" ht="15.6" x14ac:dyDescent="0.3">
      <c r="A172" s="354"/>
      <c r="B172" s="354"/>
      <c r="C172" s="354"/>
      <c r="D172" s="359"/>
      <c r="E172" s="109"/>
      <c r="F172" s="110" t="s">
        <v>546</v>
      </c>
      <c r="G172" s="111"/>
      <c r="H172" s="111"/>
      <c r="I172" s="111"/>
      <c r="J172" s="111"/>
      <c r="K172" s="111"/>
      <c r="L172" s="112"/>
      <c r="M172" s="113"/>
      <c r="N172" s="113"/>
      <c r="O172" s="113"/>
      <c r="P172" s="113"/>
      <c r="Q172" s="113"/>
      <c r="R172" s="113"/>
      <c r="S172" s="113"/>
      <c r="T172" s="113"/>
      <c r="U172" s="113"/>
      <c r="V172" s="113"/>
      <c r="W172" s="113"/>
      <c r="X172" s="113"/>
      <c r="Y172" s="113"/>
      <c r="Z172" s="113"/>
      <c r="AA172" s="113"/>
      <c r="AB172" s="113"/>
      <c r="AC172" s="113"/>
      <c r="AD172" s="113"/>
      <c r="AE172" s="113"/>
      <c r="AF172" s="113"/>
      <c r="AG172" s="113"/>
      <c r="AH172" s="113"/>
      <c r="AI172" s="113"/>
      <c r="AJ172" s="113"/>
      <c r="AK172" s="113"/>
      <c r="AL172" s="113"/>
      <c r="AM172" s="113"/>
      <c r="AN172" s="113"/>
      <c r="AO172" s="113"/>
      <c r="AP172" s="113"/>
      <c r="AQ172" s="113"/>
      <c r="AR172" s="113"/>
      <c r="AS172" s="113"/>
      <c r="AT172" s="113"/>
      <c r="AU172" s="113"/>
      <c r="AV172" s="113"/>
      <c r="AW172" s="113"/>
      <c r="AX172" s="113"/>
      <c r="AY172" s="113"/>
      <c r="AZ172" s="113"/>
      <c r="BA172" s="113"/>
      <c r="BB172" s="113"/>
      <c r="BC172" s="113"/>
      <c r="BD172" s="113"/>
      <c r="BE172" s="113"/>
      <c r="BF172" s="113"/>
      <c r="BG172" s="113"/>
      <c r="BH172" s="113"/>
      <c r="BI172" s="113"/>
      <c r="BJ172" s="113"/>
      <c r="BK172" s="113"/>
      <c r="BL172" s="113"/>
      <c r="BM172" s="113"/>
      <c r="BN172" s="113"/>
      <c r="BO172" s="113"/>
      <c r="BP172" s="114"/>
    </row>
    <row r="173" spans="1:81" ht="15.6" x14ac:dyDescent="0.3">
      <c r="A173" s="354"/>
      <c r="B173" s="354"/>
      <c r="C173" s="354"/>
      <c r="D173" s="359"/>
      <c r="E173" s="115"/>
      <c r="F173" s="116" t="s">
        <v>547</v>
      </c>
      <c r="G173" s="111"/>
      <c r="H173" s="111"/>
      <c r="I173" s="111"/>
      <c r="J173" s="111"/>
      <c r="K173" s="111"/>
      <c r="L173" s="112"/>
      <c r="M173" s="113"/>
      <c r="N173" s="113"/>
      <c r="O173" s="113"/>
      <c r="P173" s="113"/>
      <c r="Q173" s="113"/>
      <c r="R173" s="113"/>
      <c r="S173" s="113"/>
      <c r="T173" s="113"/>
      <c r="U173" s="113"/>
      <c r="V173" s="113"/>
      <c r="W173" s="113"/>
      <c r="X173" s="113"/>
      <c r="Y173" s="113"/>
      <c r="Z173" s="113"/>
      <c r="AA173" s="113"/>
      <c r="AB173" s="113"/>
      <c r="AC173" s="113"/>
      <c r="AD173" s="113"/>
      <c r="AE173" s="113"/>
      <c r="AF173" s="113"/>
      <c r="AG173" s="113"/>
      <c r="AH173" s="113"/>
      <c r="AI173" s="113"/>
      <c r="AJ173" s="113"/>
      <c r="AK173" s="113"/>
      <c r="AL173" s="113"/>
      <c r="AM173" s="113"/>
      <c r="AN173" s="113"/>
      <c r="AO173" s="113"/>
      <c r="AP173" s="113"/>
      <c r="AQ173" s="113"/>
      <c r="AR173" s="113"/>
      <c r="AS173" s="113"/>
      <c r="AT173" s="113"/>
      <c r="AU173" s="113"/>
      <c r="AV173" s="113"/>
      <c r="AW173" s="113"/>
      <c r="AX173" s="113"/>
      <c r="AY173" s="113"/>
      <c r="AZ173" s="113"/>
      <c r="BA173" s="113"/>
      <c r="BB173" s="113"/>
      <c r="BC173" s="113"/>
      <c r="BD173" s="113"/>
      <c r="BE173" s="113"/>
      <c r="BF173" s="113"/>
      <c r="BG173" s="113"/>
      <c r="BH173" s="113"/>
      <c r="BI173" s="113"/>
      <c r="BJ173" s="113"/>
      <c r="BK173" s="113"/>
      <c r="BL173" s="113"/>
      <c r="BM173" s="113"/>
      <c r="BN173" s="113"/>
      <c r="BO173" s="113"/>
      <c r="BP173" s="114"/>
    </row>
    <row r="174" spans="1:81" x14ac:dyDescent="0.3">
      <c r="A174" s="364" t="s">
        <v>538</v>
      </c>
      <c r="B174" s="352"/>
      <c r="C174" s="352"/>
      <c r="D174" s="359"/>
      <c r="E174" s="115"/>
      <c r="F174" s="117" t="s">
        <v>539</v>
      </c>
      <c r="G174" s="118">
        <v>0</v>
      </c>
      <c r="H174" s="118">
        <v>16.062999999999999</v>
      </c>
      <c r="I174" s="118">
        <v>7923.118999999997</v>
      </c>
      <c r="J174" s="118">
        <v>124.32300000000001</v>
      </c>
      <c r="K174" s="118">
        <v>0</v>
      </c>
      <c r="L174" s="119">
        <v>0</v>
      </c>
      <c r="M174" s="119">
        <v>0</v>
      </c>
      <c r="N174" s="119">
        <v>0</v>
      </c>
      <c r="O174" s="119">
        <v>0</v>
      </c>
      <c r="P174" s="119">
        <v>0</v>
      </c>
      <c r="Q174" s="119">
        <v>0</v>
      </c>
      <c r="R174" s="119">
        <v>22.534420000000001</v>
      </c>
      <c r="S174" s="142"/>
      <c r="T174" s="142"/>
      <c r="U174" s="142"/>
      <c r="V174" s="142"/>
      <c r="W174" s="142"/>
      <c r="X174" s="142"/>
      <c r="Y174" s="142"/>
      <c r="Z174" s="142"/>
      <c r="AA174" s="142"/>
      <c r="AB174" s="142"/>
      <c r="AC174" s="142"/>
      <c r="AD174" s="142"/>
      <c r="AE174" s="142"/>
      <c r="AF174" s="142"/>
      <c r="AG174" s="142"/>
      <c r="AH174" s="142"/>
      <c r="AI174" s="142"/>
      <c r="AJ174" s="142"/>
      <c r="AK174" s="142"/>
      <c r="AL174" s="142"/>
      <c r="AM174" s="142"/>
      <c r="AN174" s="142"/>
      <c r="AO174" s="142"/>
      <c r="AP174" s="142"/>
      <c r="AQ174" s="142"/>
      <c r="AR174" s="142"/>
      <c r="AS174" s="142"/>
      <c r="AT174" s="142"/>
      <c r="AU174" s="142"/>
      <c r="AV174" s="142"/>
      <c r="AW174" s="142"/>
      <c r="AX174" s="142"/>
      <c r="AY174" s="142"/>
      <c r="AZ174" s="142"/>
      <c r="BA174" s="142"/>
      <c r="BB174" s="142"/>
      <c r="BC174" s="142"/>
      <c r="BD174" s="142"/>
      <c r="BE174" s="142"/>
      <c r="BF174" s="142"/>
      <c r="BG174" s="142"/>
      <c r="BH174" s="142"/>
      <c r="BI174" s="142"/>
      <c r="BJ174" s="142"/>
      <c r="BK174" s="142"/>
      <c r="BL174" s="142"/>
      <c r="BM174" s="142"/>
      <c r="BN174" s="142"/>
      <c r="BO174" s="142"/>
      <c r="BP174" s="114"/>
    </row>
    <row r="175" spans="1:81" x14ac:dyDescent="0.3">
      <c r="A175" s="388"/>
      <c r="D175" s="359"/>
      <c r="E175" s="115"/>
      <c r="F175" s="117" t="s">
        <v>512</v>
      </c>
      <c r="G175" s="118">
        <v>0</v>
      </c>
      <c r="H175" s="118">
        <v>0</v>
      </c>
      <c r="I175" s="118">
        <v>0</v>
      </c>
      <c r="J175" s="118">
        <v>0</v>
      </c>
      <c r="K175" s="118">
        <v>0</v>
      </c>
      <c r="L175" s="119">
        <v>0.51</v>
      </c>
      <c r="M175" s="119">
        <v>30</v>
      </c>
      <c r="N175" s="119">
        <v>60</v>
      </c>
      <c r="O175" s="119">
        <v>60</v>
      </c>
      <c r="P175" s="119">
        <v>60</v>
      </c>
      <c r="Q175" s="119">
        <v>15.658855000000001</v>
      </c>
      <c r="R175" s="119">
        <v>15</v>
      </c>
      <c r="S175" s="142"/>
      <c r="T175" s="142"/>
      <c r="U175" s="142"/>
      <c r="V175" s="142"/>
      <c r="W175" s="142"/>
      <c r="X175" s="142"/>
      <c r="Y175" s="142"/>
      <c r="Z175" s="142"/>
      <c r="AA175" s="142"/>
      <c r="AB175" s="142"/>
      <c r="AC175" s="142"/>
      <c r="AD175" s="142"/>
      <c r="AE175" s="142"/>
      <c r="AF175" s="142"/>
      <c r="AG175" s="142"/>
      <c r="AH175" s="142"/>
      <c r="AI175" s="142"/>
      <c r="AJ175" s="142"/>
      <c r="AK175" s="142"/>
      <c r="AL175" s="142"/>
      <c r="AM175" s="142"/>
      <c r="AN175" s="142"/>
      <c r="AO175" s="142"/>
      <c r="AP175" s="142"/>
      <c r="AQ175" s="142"/>
      <c r="AR175" s="142"/>
      <c r="AS175" s="142"/>
      <c r="AT175" s="142"/>
      <c r="AU175" s="142"/>
      <c r="AV175" s="142"/>
      <c r="AW175" s="142"/>
      <c r="AX175" s="142"/>
      <c r="AY175" s="142"/>
      <c r="AZ175" s="142"/>
      <c r="BA175" s="142"/>
      <c r="BB175" s="142"/>
      <c r="BC175" s="142"/>
      <c r="BD175" s="142"/>
      <c r="BE175" s="142"/>
      <c r="BF175" s="142"/>
      <c r="BG175" s="142"/>
      <c r="BH175" s="142"/>
      <c r="BI175" s="142"/>
      <c r="BJ175" s="142"/>
      <c r="BK175" s="142"/>
      <c r="BL175" s="142"/>
      <c r="BM175" s="142"/>
      <c r="BN175" s="142"/>
      <c r="BO175" s="142"/>
      <c r="BP175" s="114"/>
    </row>
    <row r="176" spans="1:81" x14ac:dyDescent="0.3">
      <c r="A176" s="388"/>
      <c r="D176" s="359"/>
      <c r="E176" s="115"/>
      <c r="F176" s="117" t="s">
        <v>513</v>
      </c>
      <c r="G176" s="118">
        <v>2794.7180000000003</v>
      </c>
      <c r="H176" s="118">
        <v>6397.199999999998</v>
      </c>
      <c r="I176" s="118">
        <v>2282.7840000000001</v>
      </c>
      <c r="J176" s="118">
        <v>518.40899999999988</v>
      </c>
      <c r="K176" s="118">
        <v>134.65200000000002</v>
      </c>
      <c r="L176" s="119">
        <v>202.33999999999995</v>
      </c>
      <c r="M176" s="119">
        <v>484.5259999999999</v>
      </c>
      <c r="N176" s="119">
        <v>340.15158400000001</v>
      </c>
      <c r="O176" s="119">
        <v>1774.2951250000001</v>
      </c>
      <c r="P176" s="119">
        <v>312.24608000000001</v>
      </c>
      <c r="Q176" s="119">
        <v>287.90874300000002</v>
      </c>
      <c r="R176" s="119">
        <v>361.24710299999998</v>
      </c>
      <c r="S176" s="142"/>
      <c r="T176" s="142"/>
      <c r="U176" s="142"/>
      <c r="V176" s="142"/>
      <c r="W176" s="142"/>
      <c r="X176" s="142"/>
      <c r="Y176" s="142"/>
      <c r="Z176" s="142"/>
      <c r="AA176" s="142"/>
      <c r="AB176" s="142"/>
      <c r="AC176" s="142"/>
      <c r="AD176" s="142"/>
      <c r="AE176" s="142"/>
      <c r="AF176" s="142"/>
      <c r="AG176" s="142"/>
      <c r="AH176" s="142"/>
      <c r="AI176" s="142"/>
      <c r="AJ176" s="142"/>
      <c r="AK176" s="142"/>
      <c r="AL176" s="142"/>
      <c r="AM176" s="142"/>
      <c r="AN176" s="142"/>
      <c r="AO176" s="142"/>
      <c r="AP176" s="142"/>
      <c r="AQ176" s="142"/>
      <c r="AR176" s="142"/>
      <c r="AS176" s="142"/>
      <c r="AT176" s="142"/>
      <c r="AU176" s="142"/>
      <c r="AV176" s="142"/>
      <c r="AW176" s="142"/>
      <c r="AX176" s="142"/>
      <c r="AY176" s="142"/>
      <c r="AZ176" s="142"/>
      <c r="BA176" s="142"/>
      <c r="BB176" s="142"/>
      <c r="BC176" s="142"/>
      <c r="BD176" s="142"/>
      <c r="BE176" s="142"/>
      <c r="BF176" s="142"/>
      <c r="BG176" s="142"/>
      <c r="BH176" s="142"/>
      <c r="BI176" s="142"/>
      <c r="BJ176" s="142"/>
      <c r="BK176" s="142"/>
      <c r="BL176" s="142"/>
      <c r="BM176" s="142"/>
      <c r="BN176" s="142"/>
      <c r="BO176" s="142"/>
      <c r="BP176" s="114"/>
    </row>
    <row r="177" spans="1:68" x14ac:dyDescent="0.3">
      <c r="A177" s="388"/>
      <c r="D177" s="359"/>
      <c r="E177" s="115"/>
      <c r="F177" s="117" t="s">
        <v>514</v>
      </c>
      <c r="G177" s="118">
        <v>41202.606</v>
      </c>
      <c r="H177" s="118">
        <v>58654.512999999992</v>
      </c>
      <c r="I177" s="118">
        <v>40378.918000000005</v>
      </c>
      <c r="J177" s="118">
        <v>2112.5790000000002</v>
      </c>
      <c r="K177" s="118">
        <v>22330.165999999997</v>
      </c>
      <c r="L177" s="119">
        <v>49898.688999999998</v>
      </c>
      <c r="M177" s="119">
        <v>47255.521000000001</v>
      </c>
      <c r="N177" s="119">
        <v>76128.718972999995</v>
      </c>
      <c r="O177" s="119">
        <v>38884.333965999998</v>
      </c>
      <c r="P177" s="119">
        <v>29212.890694999998</v>
      </c>
      <c r="Q177" s="119">
        <v>28206.221514000001</v>
      </c>
      <c r="R177" s="119">
        <v>39545.418916000002</v>
      </c>
      <c r="S177" s="142"/>
      <c r="T177" s="142"/>
      <c r="U177" s="142"/>
      <c r="V177" s="142"/>
      <c r="W177" s="142"/>
      <c r="X177" s="142"/>
      <c r="Y177" s="142"/>
      <c r="Z177" s="142"/>
      <c r="AA177" s="142"/>
      <c r="AB177" s="142"/>
      <c r="AC177" s="142"/>
      <c r="AD177" s="142"/>
      <c r="AE177" s="142"/>
      <c r="AF177" s="142"/>
      <c r="AG177" s="142"/>
      <c r="AH177" s="142"/>
      <c r="AI177" s="142"/>
      <c r="AJ177" s="142"/>
      <c r="AK177" s="142"/>
      <c r="AL177" s="142"/>
      <c r="AM177" s="142"/>
      <c r="AN177" s="142"/>
      <c r="AO177" s="142"/>
      <c r="AP177" s="142"/>
      <c r="AQ177" s="142"/>
      <c r="AR177" s="142"/>
      <c r="AS177" s="142"/>
      <c r="AT177" s="142"/>
      <c r="AU177" s="142"/>
      <c r="AV177" s="142"/>
      <c r="AW177" s="142"/>
      <c r="AX177" s="142"/>
      <c r="AY177" s="142"/>
      <c r="AZ177" s="142"/>
      <c r="BA177" s="142"/>
      <c r="BB177" s="142"/>
      <c r="BC177" s="142"/>
      <c r="BD177" s="142"/>
      <c r="BE177" s="142"/>
      <c r="BF177" s="142"/>
      <c r="BG177" s="142"/>
      <c r="BH177" s="142"/>
      <c r="BI177" s="142"/>
      <c r="BJ177" s="142"/>
      <c r="BK177" s="142"/>
      <c r="BL177" s="142"/>
      <c r="BM177" s="142"/>
      <c r="BN177" s="142"/>
      <c r="BO177" s="142"/>
      <c r="BP177" s="114"/>
    </row>
    <row r="178" spans="1:68" x14ac:dyDescent="0.3">
      <c r="A178" s="388"/>
      <c r="D178" s="359"/>
      <c r="E178" s="115"/>
      <c r="F178" s="117" t="s">
        <v>515</v>
      </c>
      <c r="G178" s="118">
        <v>475670</v>
      </c>
      <c r="H178" s="118">
        <v>535036</v>
      </c>
      <c r="I178" s="118">
        <v>305015</v>
      </c>
      <c r="J178" s="118">
        <v>133057</v>
      </c>
      <c r="K178" s="118">
        <v>116220</v>
      </c>
      <c r="L178" s="119">
        <v>33115</v>
      </c>
      <c r="M178" s="119">
        <v>63408</v>
      </c>
      <c r="N178" s="119">
        <v>78578</v>
      </c>
      <c r="O178" s="119">
        <v>57309</v>
      </c>
      <c r="P178" s="119">
        <v>27585</v>
      </c>
      <c r="Q178" s="119">
        <v>49280</v>
      </c>
      <c r="R178" s="119">
        <v>57400</v>
      </c>
      <c r="S178" s="142"/>
      <c r="T178" s="142"/>
      <c r="U178" s="142"/>
      <c r="V178" s="142"/>
      <c r="W178" s="142"/>
      <c r="X178" s="142"/>
      <c r="Y178" s="142"/>
      <c r="Z178" s="142"/>
      <c r="AA178" s="142"/>
      <c r="AB178" s="142"/>
      <c r="AC178" s="142"/>
      <c r="AD178" s="142"/>
      <c r="AE178" s="142"/>
      <c r="AF178" s="142"/>
      <c r="AG178" s="142"/>
      <c r="AH178" s="142"/>
      <c r="AI178" s="142"/>
      <c r="AJ178" s="142"/>
      <c r="AK178" s="142"/>
      <c r="AL178" s="142"/>
      <c r="AM178" s="142"/>
      <c r="AN178" s="142"/>
      <c r="AO178" s="142"/>
      <c r="AP178" s="142"/>
      <c r="AQ178" s="142"/>
      <c r="AR178" s="142"/>
      <c r="AS178" s="142"/>
      <c r="AT178" s="142"/>
      <c r="AU178" s="142"/>
      <c r="AV178" s="142"/>
      <c r="AW178" s="142"/>
      <c r="AX178" s="142"/>
      <c r="AY178" s="142"/>
      <c r="AZ178" s="142"/>
      <c r="BA178" s="142"/>
      <c r="BB178" s="142"/>
      <c r="BC178" s="142"/>
      <c r="BD178" s="142"/>
      <c r="BE178" s="142"/>
      <c r="BF178" s="142"/>
      <c r="BG178" s="142"/>
      <c r="BH178" s="142"/>
      <c r="BI178" s="142"/>
      <c r="BJ178" s="142"/>
      <c r="BK178" s="142"/>
      <c r="BL178" s="142"/>
      <c r="BM178" s="142"/>
      <c r="BN178" s="142"/>
      <c r="BO178" s="142"/>
      <c r="BP178" s="114"/>
    </row>
    <row r="179" spans="1:68" x14ac:dyDescent="0.3">
      <c r="A179" s="388"/>
      <c r="D179" s="359" t="s">
        <v>543</v>
      </c>
      <c r="E179" s="115"/>
      <c r="F179" s="117" t="s">
        <v>516</v>
      </c>
      <c r="G179" s="120">
        <v>15501.701000000001</v>
      </c>
      <c r="H179" s="120">
        <v>11828.72</v>
      </c>
      <c r="I179" s="120">
        <v>66.872</v>
      </c>
      <c r="J179" s="120">
        <v>2096.1979999999994</v>
      </c>
      <c r="K179" s="120">
        <v>5122.3940000000002</v>
      </c>
      <c r="L179" s="148">
        <v>11637.327000000001</v>
      </c>
      <c r="M179" s="148">
        <v>70.617000000000004</v>
      </c>
      <c r="N179" s="148">
        <v>113.679688</v>
      </c>
      <c r="O179" s="148">
        <v>6469.9062199999998</v>
      </c>
      <c r="P179" s="148">
        <v>19041.604111000001</v>
      </c>
      <c r="Q179" s="148">
        <v>4963.9075599999996</v>
      </c>
      <c r="R179" s="148">
        <v>14267.527470000001</v>
      </c>
      <c r="S179" s="142"/>
      <c r="T179" s="142"/>
      <c r="U179" s="142"/>
      <c r="V179" s="142"/>
      <c r="W179" s="142"/>
      <c r="X179" s="142"/>
      <c r="Y179" s="142"/>
      <c r="Z179" s="142"/>
      <c r="AA179" s="142"/>
      <c r="AB179" s="142"/>
      <c r="AC179" s="142"/>
      <c r="AD179" s="142"/>
      <c r="AE179" s="142"/>
      <c r="AF179" s="142"/>
      <c r="AG179" s="142"/>
      <c r="AH179" s="142"/>
      <c r="AI179" s="142"/>
      <c r="AJ179" s="142"/>
      <c r="AK179" s="142"/>
      <c r="AL179" s="142"/>
      <c r="AM179" s="142"/>
      <c r="AN179" s="142"/>
      <c r="AO179" s="142"/>
      <c r="AP179" s="142"/>
      <c r="AQ179" s="142"/>
      <c r="AR179" s="142"/>
      <c r="AS179" s="142"/>
      <c r="AT179" s="142"/>
      <c r="AU179" s="142"/>
      <c r="AV179" s="142"/>
      <c r="AW179" s="142"/>
      <c r="AX179" s="142"/>
      <c r="AY179" s="142"/>
      <c r="AZ179" s="142"/>
      <c r="BA179" s="142"/>
      <c r="BB179" s="142"/>
      <c r="BC179" s="142"/>
      <c r="BD179" s="142"/>
      <c r="BE179" s="142"/>
      <c r="BF179" s="142"/>
      <c r="BG179" s="142"/>
      <c r="BH179" s="142"/>
      <c r="BI179" s="142"/>
      <c r="BJ179" s="142"/>
      <c r="BK179" s="142"/>
      <c r="BL179" s="142"/>
      <c r="BM179" s="142"/>
      <c r="BN179" s="142"/>
      <c r="BO179" s="142"/>
      <c r="BP179" s="114"/>
    </row>
    <row r="180" spans="1:68" x14ac:dyDescent="0.3">
      <c r="A180" s="388"/>
      <c r="D180" s="359"/>
      <c r="E180" s="115"/>
      <c r="F180" s="117" t="s">
        <v>517</v>
      </c>
      <c r="G180" s="118">
        <v>4.0150000000000006</v>
      </c>
      <c r="H180" s="118">
        <v>9.9930000000000003</v>
      </c>
      <c r="I180" s="118">
        <v>3.3559999999999999</v>
      </c>
      <c r="J180" s="118">
        <v>5.2850000000000001</v>
      </c>
      <c r="K180" s="118">
        <v>6.1829999999999998</v>
      </c>
      <c r="L180" s="119">
        <v>4.069</v>
      </c>
      <c r="M180" s="119">
        <v>4.0140000000000002</v>
      </c>
      <c r="N180" s="119">
        <v>23.017800000000001</v>
      </c>
      <c r="O180" s="119">
        <v>4.0007299999999999</v>
      </c>
      <c r="P180" s="119">
        <v>0</v>
      </c>
      <c r="Q180" s="119">
        <v>0</v>
      </c>
      <c r="R180" s="119">
        <v>0</v>
      </c>
      <c r="S180" s="142"/>
      <c r="T180" s="142"/>
      <c r="U180" s="142"/>
      <c r="V180" s="142"/>
      <c r="W180" s="142"/>
      <c r="X180" s="142"/>
      <c r="Y180" s="142"/>
      <c r="Z180" s="142"/>
      <c r="AA180" s="142"/>
      <c r="AB180" s="142"/>
      <c r="AC180" s="142"/>
      <c r="AD180" s="142"/>
      <c r="AE180" s="142"/>
      <c r="AF180" s="142"/>
      <c r="AG180" s="142"/>
      <c r="AH180" s="142"/>
      <c r="AI180" s="142"/>
      <c r="AJ180" s="142"/>
      <c r="AK180" s="142"/>
      <c r="AL180" s="142"/>
      <c r="AM180" s="142"/>
      <c r="AN180" s="142"/>
      <c r="AO180" s="142"/>
      <c r="AP180" s="142"/>
      <c r="AQ180" s="142"/>
      <c r="AR180" s="142"/>
      <c r="AS180" s="142"/>
      <c r="AT180" s="142"/>
      <c r="AU180" s="142"/>
      <c r="AV180" s="142"/>
      <c r="AW180" s="142"/>
      <c r="AX180" s="142"/>
      <c r="AY180" s="142"/>
      <c r="AZ180" s="142"/>
      <c r="BA180" s="142"/>
      <c r="BB180" s="142"/>
      <c r="BC180" s="142"/>
      <c r="BD180" s="142"/>
      <c r="BE180" s="142"/>
      <c r="BF180" s="142"/>
      <c r="BG180" s="142"/>
      <c r="BH180" s="142"/>
      <c r="BI180" s="142"/>
      <c r="BJ180" s="142"/>
      <c r="BK180" s="142"/>
      <c r="BL180" s="142"/>
      <c r="BM180" s="142"/>
      <c r="BN180" s="142"/>
      <c r="BO180" s="142"/>
      <c r="BP180" s="114"/>
    </row>
    <row r="181" spans="1:68" x14ac:dyDescent="0.3">
      <c r="A181" s="388"/>
      <c r="D181" s="359"/>
      <c r="E181" s="115"/>
      <c r="F181" s="117" t="s">
        <v>400</v>
      </c>
      <c r="G181" s="149">
        <v>0</v>
      </c>
      <c r="H181" s="149">
        <v>17</v>
      </c>
      <c r="I181" s="149">
        <v>16.728000000000002</v>
      </c>
      <c r="J181" s="149">
        <v>0</v>
      </c>
      <c r="K181" s="149">
        <v>0</v>
      </c>
      <c r="L181" s="139">
        <v>0</v>
      </c>
      <c r="M181" s="139">
        <v>0</v>
      </c>
      <c r="N181" s="139">
        <v>0</v>
      </c>
      <c r="O181" s="139">
        <v>0</v>
      </c>
      <c r="P181" s="139">
        <v>0</v>
      </c>
      <c r="Q181" s="139">
        <v>0</v>
      </c>
      <c r="R181" s="139">
        <v>0</v>
      </c>
      <c r="S181" s="142"/>
      <c r="T181" s="142"/>
      <c r="U181" s="142"/>
      <c r="V181" s="142"/>
      <c r="W181" s="142"/>
      <c r="X181" s="142"/>
      <c r="Y181" s="142"/>
      <c r="Z181" s="142"/>
      <c r="AA181" s="142"/>
      <c r="AB181" s="142"/>
      <c r="AC181" s="142"/>
      <c r="AD181" s="142"/>
      <c r="AE181" s="142"/>
      <c r="AF181" s="142"/>
      <c r="AG181" s="142"/>
      <c r="AH181" s="142"/>
      <c r="AI181" s="142"/>
      <c r="AJ181" s="142"/>
      <c r="AK181" s="142"/>
      <c r="AL181" s="142"/>
      <c r="AM181" s="142"/>
      <c r="AN181" s="142"/>
      <c r="AO181" s="142"/>
      <c r="AP181" s="142"/>
      <c r="AQ181" s="142"/>
      <c r="AR181" s="142"/>
      <c r="AS181" s="142"/>
      <c r="AT181" s="142"/>
      <c r="AU181" s="142"/>
      <c r="AV181" s="142"/>
      <c r="AW181" s="142"/>
      <c r="AX181" s="142"/>
      <c r="AY181" s="142"/>
      <c r="AZ181" s="142"/>
      <c r="BA181" s="142"/>
      <c r="BB181" s="142"/>
      <c r="BC181" s="142"/>
      <c r="BD181" s="142"/>
      <c r="BE181" s="142"/>
      <c r="BF181" s="142"/>
      <c r="BG181" s="142"/>
      <c r="BH181" s="142"/>
      <c r="BI181" s="142"/>
      <c r="BJ181" s="142"/>
      <c r="BK181" s="142"/>
      <c r="BL181" s="142"/>
      <c r="BM181" s="142"/>
      <c r="BN181" s="142"/>
      <c r="BO181" s="142"/>
      <c r="BP181" s="114"/>
    </row>
    <row r="182" spans="1:68" x14ac:dyDescent="0.3">
      <c r="A182" s="388"/>
      <c r="D182" s="359"/>
      <c r="E182" s="115"/>
      <c r="F182" s="117" t="s">
        <v>548</v>
      </c>
      <c r="G182" s="149">
        <v>5072</v>
      </c>
      <c r="H182" s="149">
        <v>5010</v>
      </c>
      <c r="I182" s="149">
        <v>5319</v>
      </c>
      <c r="J182" s="149">
        <v>5381</v>
      </c>
      <c r="K182" s="149">
        <v>7405</v>
      </c>
      <c r="L182" s="139">
        <v>6992</v>
      </c>
      <c r="M182" s="139">
        <v>5748</v>
      </c>
      <c r="N182" s="139">
        <v>6135</v>
      </c>
      <c r="O182" s="139">
        <v>6260</v>
      </c>
      <c r="P182" s="139">
        <v>5599</v>
      </c>
      <c r="Q182" s="139">
        <v>6969</v>
      </c>
      <c r="R182" s="139">
        <v>8058.8640400000004</v>
      </c>
      <c r="S182" s="142"/>
      <c r="T182" s="142"/>
      <c r="U182" s="142"/>
      <c r="V182" s="142"/>
      <c r="W182" s="142"/>
      <c r="X182" s="142"/>
      <c r="Y182" s="142"/>
      <c r="Z182" s="142"/>
      <c r="AA182" s="142"/>
      <c r="AB182" s="142"/>
      <c r="AC182" s="142"/>
      <c r="AD182" s="142"/>
      <c r="AE182" s="142"/>
      <c r="AF182" s="142"/>
      <c r="AG182" s="142"/>
      <c r="AH182" s="142"/>
      <c r="AI182" s="142"/>
      <c r="AJ182" s="142"/>
      <c r="AK182" s="142"/>
      <c r="AL182" s="142"/>
      <c r="AM182" s="142"/>
      <c r="AN182" s="142"/>
      <c r="AO182" s="142"/>
      <c r="AP182" s="142"/>
      <c r="AQ182" s="142"/>
      <c r="AR182" s="142"/>
      <c r="AS182" s="142"/>
      <c r="AT182" s="142"/>
      <c r="AU182" s="142"/>
      <c r="AV182" s="142"/>
      <c r="AW182" s="142"/>
      <c r="AX182" s="142"/>
      <c r="AY182" s="142"/>
      <c r="AZ182" s="142"/>
      <c r="BA182" s="142"/>
      <c r="BB182" s="142"/>
      <c r="BC182" s="142"/>
      <c r="BD182" s="142"/>
      <c r="BE182" s="142"/>
      <c r="BF182" s="142"/>
      <c r="BG182" s="142"/>
      <c r="BH182" s="142"/>
      <c r="BI182" s="142"/>
      <c r="BJ182" s="142"/>
      <c r="BK182" s="142"/>
      <c r="BL182" s="142"/>
      <c r="BM182" s="142"/>
      <c r="BN182" s="142"/>
      <c r="BO182" s="142"/>
      <c r="BP182" s="114"/>
    </row>
    <row r="183" spans="1:68" x14ac:dyDescent="0.3">
      <c r="A183" s="388"/>
      <c r="D183" s="359"/>
      <c r="E183" s="115"/>
      <c r="F183" s="117" t="s">
        <v>518</v>
      </c>
      <c r="G183" s="118">
        <v>4562</v>
      </c>
      <c r="H183" s="118">
        <v>4387</v>
      </c>
      <c r="I183" s="118">
        <v>4869</v>
      </c>
      <c r="J183" s="118">
        <v>4792</v>
      </c>
      <c r="K183" s="118">
        <v>5033</v>
      </c>
      <c r="L183" s="119">
        <v>2577</v>
      </c>
      <c r="M183" s="119">
        <v>4418</v>
      </c>
      <c r="N183" s="119">
        <v>4858</v>
      </c>
      <c r="O183" s="119">
        <v>4799</v>
      </c>
      <c r="P183" s="119">
        <v>3731</v>
      </c>
      <c r="Q183" s="119">
        <v>6365</v>
      </c>
      <c r="R183" s="119">
        <v>4289</v>
      </c>
      <c r="S183" s="142"/>
      <c r="T183" s="142"/>
      <c r="U183" s="142"/>
      <c r="V183" s="142"/>
      <c r="W183" s="142"/>
      <c r="X183" s="142"/>
      <c r="Y183" s="142"/>
      <c r="Z183" s="142"/>
      <c r="AA183" s="142"/>
      <c r="AB183" s="142"/>
      <c r="AC183" s="142"/>
      <c r="AD183" s="142"/>
      <c r="AE183" s="142"/>
      <c r="AF183" s="142"/>
      <c r="AG183" s="142"/>
      <c r="AH183" s="142"/>
      <c r="AI183" s="142"/>
      <c r="AJ183" s="142"/>
      <c r="AK183" s="142"/>
      <c r="AL183" s="142"/>
      <c r="AM183" s="142"/>
      <c r="AN183" s="142"/>
      <c r="AO183" s="142"/>
      <c r="AP183" s="142"/>
      <c r="AQ183" s="142"/>
      <c r="AR183" s="142"/>
      <c r="AS183" s="142"/>
      <c r="AT183" s="142"/>
      <c r="AU183" s="142"/>
      <c r="AV183" s="142"/>
      <c r="AW183" s="142"/>
      <c r="AX183" s="142"/>
      <c r="AY183" s="142"/>
      <c r="AZ183" s="142"/>
      <c r="BA183" s="142"/>
      <c r="BB183" s="142"/>
      <c r="BC183" s="142"/>
      <c r="BD183" s="142"/>
      <c r="BE183" s="142"/>
      <c r="BF183" s="142"/>
      <c r="BG183" s="142"/>
      <c r="BH183" s="142"/>
      <c r="BI183" s="142"/>
      <c r="BJ183" s="142"/>
      <c r="BK183" s="142"/>
      <c r="BL183" s="142"/>
      <c r="BM183" s="142"/>
      <c r="BN183" s="142"/>
      <c r="BO183" s="142"/>
      <c r="BP183" s="114"/>
    </row>
    <row r="184" spans="1:68" x14ac:dyDescent="0.3">
      <c r="A184" s="388"/>
      <c r="D184" s="359"/>
      <c r="E184" s="115"/>
      <c r="F184" s="117" t="s">
        <v>549</v>
      </c>
      <c r="G184" s="118">
        <v>612007.51299999992</v>
      </c>
      <c r="H184" s="118">
        <v>565673.1540000001</v>
      </c>
      <c r="I184" s="118">
        <v>565354.38600000006</v>
      </c>
      <c r="J184" s="118">
        <v>591363.89200000011</v>
      </c>
      <c r="K184" s="118">
        <v>7941.73</v>
      </c>
      <c r="L184" s="119">
        <v>8428.9750000000004</v>
      </c>
      <c r="M184" s="119">
        <v>936338.47899999982</v>
      </c>
      <c r="N184" s="119">
        <v>1129032.9790000001</v>
      </c>
      <c r="O184" s="119">
        <v>1127659.3359999999</v>
      </c>
      <c r="P184" s="119">
        <v>1182966.8970000001</v>
      </c>
      <c r="Q184" s="119">
        <v>1266249.29431</v>
      </c>
      <c r="R184" s="119">
        <v>1505322.5319399999</v>
      </c>
      <c r="S184" s="142"/>
      <c r="T184" s="142"/>
      <c r="U184" s="142"/>
      <c r="V184" s="142"/>
      <c r="W184" s="142"/>
      <c r="X184" s="142"/>
      <c r="Y184" s="142"/>
      <c r="Z184" s="142"/>
      <c r="AA184" s="142"/>
      <c r="AB184" s="142"/>
      <c r="AC184" s="142"/>
      <c r="AD184" s="142"/>
      <c r="AE184" s="142"/>
      <c r="AF184" s="142"/>
      <c r="AG184" s="142"/>
      <c r="AH184" s="142"/>
      <c r="AI184" s="142"/>
      <c r="AJ184" s="142"/>
      <c r="AK184" s="142"/>
      <c r="AL184" s="142"/>
      <c r="AM184" s="142"/>
      <c r="AN184" s="142"/>
      <c r="AO184" s="142"/>
      <c r="AP184" s="142"/>
      <c r="AQ184" s="142"/>
      <c r="AR184" s="142"/>
      <c r="AS184" s="142"/>
      <c r="AT184" s="142"/>
      <c r="AU184" s="142"/>
      <c r="AV184" s="142"/>
      <c r="AW184" s="142"/>
      <c r="AX184" s="142"/>
      <c r="AY184" s="142"/>
      <c r="AZ184" s="142"/>
      <c r="BA184" s="142"/>
      <c r="BB184" s="142"/>
      <c r="BC184" s="142"/>
      <c r="BD184" s="142"/>
      <c r="BE184" s="142"/>
      <c r="BF184" s="142"/>
      <c r="BG184" s="142"/>
      <c r="BH184" s="142"/>
      <c r="BI184" s="142"/>
      <c r="BJ184" s="142"/>
      <c r="BK184" s="142"/>
      <c r="BL184" s="142"/>
      <c r="BM184" s="142"/>
      <c r="BN184" s="142"/>
      <c r="BO184" s="142"/>
      <c r="BP184" s="114"/>
    </row>
    <row r="185" spans="1:68" x14ac:dyDescent="0.3">
      <c r="A185" s="388"/>
      <c r="D185" s="359"/>
      <c r="E185" s="115"/>
      <c r="F185" s="117" t="s">
        <v>520</v>
      </c>
      <c r="G185" s="118">
        <v>6764</v>
      </c>
      <c r="H185" s="118">
        <v>7416</v>
      </c>
      <c r="I185" s="118">
        <v>7904</v>
      </c>
      <c r="J185" s="118">
        <v>8600</v>
      </c>
      <c r="K185" s="118">
        <v>798630.65700000001</v>
      </c>
      <c r="L185" s="119">
        <v>908200.65800000017</v>
      </c>
      <c r="M185" s="119">
        <v>8424</v>
      </c>
      <c r="N185" s="119">
        <v>9682</v>
      </c>
      <c r="O185" s="119">
        <v>10506</v>
      </c>
      <c r="P185" s="119">
        <v>12409</v>
      </c>
      <c r="Q185" s="119">
        <v>9338</v>
      </c>
      <c r="R185" s="119">
        <v>13943</v>
      </c>
      <c r="S185" s="142"/>
      <c r="T185" s="142"/>
      <c r="U185" s="142"/>
      <c r="V185" s="142"/>
      <c r="W185" s="142"/>
      <c r="X185" s="142"/>
      <c r="Y185" s="142"/>
      <c r="Z185" s="142"/>
      <c r="AA185" s="142"/>
      <c r="AB185" s="142"/>
      <c r="AC185" s="142"/>
      <c r="AD185" s="142"/>
      <c r="AE185" s="142"/>
      <c r="AF185" s="142"/>
      <c r="AG185" s="142"/>
      <c r="AH185" s="142"/>
      <c r="AI185" s="142"/>
      <c r="AJ185" s="142"/>
      <c r="AK185" s="142"/>
      <c r="AL185" s="142"/>
      <c r="AM185" s="142"/>
      <c r="AN185" s="142"/>
      <c r="AO185" s="142"/>
      <c r="AP185" s="142"/>
      <c r="AQ185" s="142"/>
      <c r="AR185" s="142"/>
      <c r="AS185" s="142"/>
      <c r="AT185" s="142"/>
      <c r="AU185" s="142"/>
      <c r="AV185" s="142"/>
      <c r="AW185" s="142"/>
      <c r="AX185" s="142"/>
      <c r="AY185" s="142"/>
      <c r="AZ185" s="142"/>
      <c r="BA185" s="142"/>
      <c r="BB185" s="142"/>
      <c r="BC185" s="142"/>
      <c r="BD185" s="142"/>
      <c r="BE185" s="142"/>
      <c r="BF185" s="142"/>
      <c r="BG185" s="142"/>
      <c r="BH185" s="142"/>
      <c r="BI185" s="142"/>
      <c r="BJ185" s="142"/>
      <c r="BK185" s="142"/>
      <c r="BL185" s="142"/>
      <c r="BM185" s="142"/>
      <c r="BN185" s="142"/>
      <c r="BO185" s="142"/>
      <c r="BP185" s="114"/>
    </row>
    <row r="186" spans="1:68" x14ac:dyDescent="0.3">
      <c r="A186" s="388"/>
      <c r="D186" s="359"/>
      <c r="E186" s="115"/>
      <c r="F186" s="117" t="s">
        <v>521</v>
      </c>
      <c r="G186" s="118">
        <v>5089</v>
      </c>
      <c r="H186" s="118">
        <v>5070.2240000000002</v>
      </c>
      <c r="I186" s="118">
        <f>6277.692+567.548</f>
        <v>6845.24</v>
      </c>
      <c r="J186" s="118">
        <v>5381</v>
      </c>
      <c r="K186" s="118">
        <v>6278</v>
      </c>
      <c r="L186" s="119">
        <v>6335.98</v>
      </c>
      <c r="M186" s="119">
        <v>5969</v>
      </c>
      <c r="N186" s="119">
        <v>6631</v>
      </c>
      <c r="O186" s="119">
        <v>6279.4</v>
      </c>
      <c r="P186" s="119">
        <v>6466.05</v>
      </c>
      <c r="Q186" s="119">
        <v>7542.0001119999997</v>
      </c>
      <c r="R186" s="119">
        <v>8128.92</v>
      </c>
      <c r="S186" s="142"/>
      <c r="T186" s="142"/>
      <c r="U186" s="142"/>
      <c r="V186" s="142"/>
      <c r="W186" s="142"/>
      <c r="X186" s="142"/>
      <c r="Y186" s="142"/>
      <c r="Z186" s="142"/>
      <c r="AA186" s="142"/>
      <c r="AB186" s="142"/>
      <c r="AC186" s="142"/>
      <c r="AD186" s="142"/>
      <c r="AE186" s="142"/>
      <c r="AF186" s="142"/>
      <c r="AG186" s="142"/>
      <c r="AH186" s="142"/>
      <c r="AI186" s="142"/>
      <c r="AJ186" s="142"/>
      <c r="AK186" s="142"/>
      <c r="AL186" s="142"/>
      <c r="AM186" s="142"/>
      <c r="AN186" s="142"/>
      <c r="AO186" s="142"/>
      <c r="AP186" s="142"/>
      <c r="AQ186" s="142"/>
      <c r="AR186" s="142"/>
      <c r="AS186" s="142"/>
      <c r="AT186" s="142"/>
      <c r="AU186" s="142"/>
      <c r="AV186" s="142"/>
      <c r="AW186" s="142"/>
      <c r="AX186" s="142"/>
      <c r="AY186" s="142"/>
      <c r="AZ186" s="142"/>
      <c r="BA186" s="142"/>
      <c r="BB186" s="142"/>
      <c r="BC186" s="142"/>
      <c r="BD186" s="142"/>
      <c r="BE186" s="142"/>
      <c r="BF186" s="142"/>
      <c r="BG186" s="142"/>
      <c r="BH186" s="142"/>
      <c r="BI186" s="142"/>
      <c r="BJ186" s="142"/>
      <c r="BK186" s="142"/>
      <c r="BL186" s="142"/>
      <c r="BM186" s="142"/>
      <c r="BN186" s="142"/>
      <c r="BO186" s="142"/>
      <c r="BP186" s="114"/>
    </row>
    <row r="187" spans="1:68" x14ac:dyDescent="0.3">
      <c r="A187" s="388"/>
      <c r="D187" s="359"/>
      <c r="E187" s="115"/>
      <c r="F187" s="117" t="s">
        <v>522</v>
      </c>
      <c r="G187" s="118">
        <v>53853.741000000002</v>
      </c>
      <c r="H187" s="118">
        <v>6397.199999999998</v>
      </c>
      <c r="I187" s="118">
        <v>2282.7840000000001</v>
      </c>
      <c r="J187" s="118">
        <v>518.40899999999988</v>
      </c>
      <c r="K187" s="118">
        <v>134.65200000000002</v>
      </c>
      <c r="L187" s="119">
        <v>202.33999999999995</v>
      </c>
      <c r="M187" s="119">
        <v>484.5259999999999</v>
      </c>
      <c r="N187" s="119">
        <v>340.15158400000001</v>
      </c>
      <c r="O187" s="119">
        <v>1774.2951250000001</v>
      </c>
      <c r="P187" s="119">
        <v>312.24608000000001</v>
      </c>
      <c r="Q187" s="119">
        <v>287.90874300000002</v>
      </c>
      <c r="R187" s="119">
        <v>361.24710299999998</v>
      </c>
      <c r="S187" s="142"/>
      <c r="T187" s="142"/>
      <c r="U187" s="142"/>
      <c r="V187" s="142"/>
      <c r="W187" s="142"/>
      <c r="X187" s="142"/>
      <c r="Y187" s="142"/>
      <c r="Z187" s="142"/>
      <c r="AA187" s="142"/>
      <c r="AB187" s="142"/>
      <c r="AC187" s="142"/>
      <c r="AD187" s="142"/>
      <c r="AE187" s="142"/>
      <c r="AF187" s="142"/>
      <c r="AG187" s="142"/>
      <c r="AH187" s="142"/>
      <c r="AI187" s="142"/>
      <c r="AJ187" s="142"/>
      <c r="AK187" s="142"/>
      <c r="AL187" s="142"/>
      <c r="AM187" s="142"/>
      <c r="AN187" s="142"/>
      <c r="AO187" s="142"/>
      <c r="AP187" s="142"/>
      <c r="AQ187" s="142"/>
      <c r="AR187" s="142"/>
      <c r="AS187" s="142"/>
      <c r="AT187" s="142"/>
      <c r="AU187" s="142"/>
      <c r="AV187" s="142"/>
      <c r="AW187" s="142"/>
      <c r="AX187" s="142"/>
      <c r="AY187" s="142"/>
      <c r="AZ187" s="142"/>
      <c r="BA187" s="142"/>
      <c r="BB187" s="142"/>
      <c r="BC187" s="142"/>
      <c r="BD187" s="142"/>
      <c r="BE187" s="142"/>
      <c r="BF187" s="142"/>
      <c r="BG187" s="142"/>
      <c r="BH187" s="142"/>
      <c r="BI187" s="142"/>
      <c r="BJ187" s="142"/>
      <c r="BK187" s="142"/>
      <c r="BL187" s="142"/>
      <c r="BM187" s="142"/>
      <c r="BN187" s="142"/>
      <c r="BO187" s="142"/>
      <c r="BP187" s="114"/>
    </row>
    <row r="188" spans="1:68" x14ac:dyDescent="0.3">
      <c r="A188" s="354"/>
      <c r="B188" s="354"/>
      <c r="C188" s="354"/>
      <c r="D188" s="359"/>
      <c r="E188" s="115"/>
      <c r="F188" s="117"/>
      <c r="G188" s="118"/>
      <c r="H188" s="118"/>
      <c r="I188" s="118"/>
      <c r="J188" s="118"/>
      <c r="K188" s="118"/>
      <c r="L188" s="119"/>
      <c r="M188" s="119"/>
      <c r="N188" s="119"/>
      <c r="O188" s="119"/>
      <c r="P188" s="119"/>
      <c r="Q188" s="119"/>
      <c r="R188" s="119"/>
      <c r="S188" s="142"/>
      <c r="T188" s="142"/>
      <c r="U188" s="142"/>
      <c r="V188" s="142"/>
      <c r="W188" s="142"/>
      <c r="X188" s="142"/>
      <c r="Y188" s="142"/>
      <c r="Z188" s="142"/>
      <c r="AA188" s="142"/>
      <c r="AB188" s="142"/>
      <c r="AC188" s="142"/>
      <c r="AD188" s="142"/>
      <c r="AE188" s="142"/>
      <c r="AF188" s="142"/>
      <c r="AG188" s="142"/>
      <c r="AH188" s="142"/>
      <c r="AI188" s="142"/>
      <c r="AJ188" s="142"/>
      <c r="AK188" s="142"/>
      <c r="AL188" s="142"/>
      <c r="AM188" s="142"/>
      <c r="AN188" s="142"/>
      <c r="AO188" s="142"/>
      <c r="AP188" s="142"/>
      <c r="AQ188" s="142"/>
      <c r="AR188" s="142"/>
      <c r="AS188" s="142"/>
      <c r="AT188" s="142"/>
      <c r="AU188" s="142"/>
      <c r="AV188" s="142"/>
      <c r="AW188" s="142"/>
      <c r="AX188" s="142"/>
      <c r="AY188" s="142"/>
      <c r="AZ188" s="142"/>
      <c r="BA188" s="142"/>
      <c r="BB188" s="142"/>
      <c r="BC188" s="142"/>
      <c r="BD188" s="142"/>
      <c r="BE188" s="142"/>
      <c r="BF188" s="142"/>
      <c r="BG188" s="142"/>
      <c r="BH188" s="142"/>
      <c r="BI188" s="142"/>
      <c r="BJ188" s="142"/>
      <c r="BK188" s="142"/>
      <c r="BL188" s="142"/>
      <c r="BM188" s="142"/>
      <c r="BN188" s="142"/>
      <c r="BO188" s="142"/>
      <c r="BP188" s="114"/>
    </row>
    <row r="189" spans="1:68" ht="15.6" x14ac:dyDescent="0.3">
      <c r="A189" s="354"/>
      <c r="B189" s="354"/>
      <c r="C189" s="354"/>
      <c r="D189" s="359"/>
      <c r="E189" s="115"/>
      <c r="F189" s="116" t="s">
        <v>550</v>
      </c>
      <c r="G189" s="111"/>
      <c r="H189" s="111"/>
      <c r="I189" s="111"/>
      <c r="J189" s="111"/>
      <c r="K189" s="111"/>
      <c r="L189" s="112"/>
      <c r="M189" s="113"/>
      <c r="N189" s="113"/>
      <c r="O189" s="113"/>
      <c r="P189" s="113"/>
      <c r="Q189" s="113"/>
      <c r="R189" s="113"/>
      <c r="S189" s="113"/>
      <c r="T189" s="113"/>
      <c r="U189" s="113"/>
      <c r="V189" s="113"/>
      <c r="W189" s="113"/>
      <c r="X189" s="113"/>
      <c r="Y189" s="113"/>
      <c r="Z189" s="113"/>
      <c r="AA189" s="113"/>
      <c r="AB189" s="113"/>
      <c r="AC189" s="113"/>
      <c r="AD189" s="113"/>
      <c r="AE189" s="113"/>
      <c r="AF189" s="113"/>
      <c r="AG189" s="113"/>
      <c r="AH189" s="113"/>
      <c r="AI189" s="113"/>
      <c r="AJ189" s="113"/>
      <c r="AK189" s="113"/>
      <c r="AL189" s="113"/>
      <c r="AM189" s="113"/>
      <c r="AN189" s="113"/>
      <c r="AO189" s="113"/>
      <c r="AP189" s="113"/>
      <c r="AQ189" s="113"/>
      <c r="AR189" s="113"/>
      <c r="AS189" s="113"/>
      <c r="AT189" s="113"/>
      <c r="AU189" s="113"/>
      <c r="AV189" s="113"/>
      <c r="AW189" s="113"/>
      <c r="AX189" s="113"/>
      <c r="AY189" s="113"/>
      <c r="AZ189" s="113"/>
      <c r="BA189" s="113"/>
      <c r="BB189" s="113"/>
      <c r="BC189" s="113"/>
      <c r="BD189" s="113"/>
      <c r="BE189" s="113"/>
      <c r="BF189" s="113"/>
      <c r="BG189" s="113"/>
      <c r="BH189" s="113"/>
      <c r="BI189" s="113"/>
      <c r="BJ189" s="113"/>
      <c r="BK189" s="113"/>
      <c r="BL189" s="113"/>
      <c r="BM189" s="113"/>
      <c r="BN189" s="113"/>
      <c r="BO189" s="113"/>
      <c r="BP189" s="114"/>
    </row>
    <row r="190" spans="1:68" x14ac:dyDescent="0.3">
      <c r="A190" s="364" t="s">
        <v>538</v>
      </c>
      <c r="B190" s="352"/>
      <c r="C190" s="352"/>
      <c r="D190" s="359"/>
      <c r="E190" s="115"/>
      <c r="F190" s="117" t="s">
        <v>393</v>
      </c>
      <c r="G190" s="122">
        <f t="shared" ref="G190:N197" si="166">G174*(1-$I$135/100)/1000000</f>
        <v>0</v>
      </c>
      <c r="H190" s="122">
        <f t="shared" si="166"/>
        <v>1.590237E-5</v>
      </c>
      <c r="I190" s="122">
        <f t="shared" si="166"/>
        <v>7.8438878099999967E-3</v>
      </c>
      <c r="J190" s="122">
        <f t="shared" si="166"/>
        <v>1.2307977000000002E-4</v>
      </c>
      <c r="K190" s="122">
        <f t="shared" si="166"/>
        <v>0</v>
      </c>
      <c r="L190" s="123">
        <f t="shared" si="166"/>
        <v>0</v>
      </c>
      <c r="M190" s="123">
        <f t="shared" si="166"/>
        <v>0</v>
      </c>
      <c r="N190" s="123">
        <f t="shared" si="166"/>
        <v>0</v>
      </c>
      <c r="O190" s="123">
        <v>0</v>
      </c>
      <c r="P190" s="123">
        <v>0</v>
      </c>
      <c r="Q190" s="123">
        <v>0</v>
      </c>
      <c r="R190" s="123">
        <v>2.2309075800000001E-5</v>
      </c>
      <c r="S190" s="150">
        <v>2.5903107060609624E-5</v>
      </c>
      <c r="T190" s="150">
        <v>2.8321676325894041E-5</v>
      </c>
      <c r="U190" s="150">
        <v>3.0740245591178464E-5</v>
      </c>
      <c r="V190" s="150">
        <v>3.315881485646288E-5</v>
      </c>
      <c r="W190" s="150">
        <v>3.5577384121747297E-5</v>
      </c>
      <c r="X190" s="150">
        <v>3.7995953387031713E-5</v>
      </c>
      <c r="Y190" s="150">
        <v>4.041452265231613E-5</v>
      </c>
      <c r="Z190" s="150">
        <v>4.2833091917600553E-5</v>
      </c>
      <c r="AA190" s="150">
        <v>4.525166118288497E-5</v>
      </c>
      <c r="AB190" s="150">
        <v>4.7670230448169386E-5</v>
      </c>
      <c r="AC190" s="150">
        <v>5.0088799713453803E-5</v>
      </c>
      <c r="AD190" s="150">
        <v>5.2507368978738219E-5</v>
      </c>
      <c r="AE190" s="150">
        <v>5.4925938244022643E-5</v>
      </c>
      <c r="AF190" s="150">
        <v>5.7344507509307059E-5</v>
      </c>
      <c r="AG190" s="150">
        <v>5.7593338372823707E-5</v>
      </c>
      <c r="AH190" s="150">
        <v>5.9448069712726169E-5</v>
      </c>
      <c r="AI190" s="150">
        <v>6.1090153562270294E-5</v>
      </c>
      <c r="AJ190" s="150">
        <v>6.2640575758913185E-5</v>
      </c>
      <c r="AK190" s="150">
        <v>6.3929778116376227E-5</v>
      </c>
      <c r="AL190" s="150">
        <v>6.5264689162486468E-5</v>
      </c>
      <c r="AM190" s="150">
        <v>6.6845299230677171E-5</v>
      </c>
      <c r="AN190" s="150">
        <v>6.8043918163981923E-5</v>
      </c>
      <c r="AO190" s="150">
        <v>6.9514275660955527E-5</v>
      </c>
      <c r="AP190" s="150">
        <v>7.0778690862309491E-5</v>
      </c>
      <c r="AQ190" s="150">
        <v>7.239281462488554E-5</v>
      </c>
      <c r="AR190" s="150">
        <v>7.3750231672348437E-5</v>
      </c>
      <c r="AS190" s="150">
        <v>7.5071754896621762E-5</v>
      </c>
      <c r="AT190" s="150">
        <v>7.6435376384587867E-5</v>
      </c>
      <c r="AU190" s="150">
        <v>7.7812323972122383E-5</v>
      </c>
      <c r="AV190" s="150">
        <v>7.9381427251455329E-5</v>
      </c>
      <c r="AW190" s="150">
        <v>8.0812392525965153E-5</v>
      </c>
      <c r="AX190" s="150">
        <v>8.2239722473858391E-5</v>
      </c>
      <c r="AY190" s="150">
        <v>8.3712722668350672E-5</v>
      </c>
      <c r="AZ190" s="150">
        <v>8.5200633940132821E-5</v>
      </c>
      <c r="BA190" s="150">
        <v>8.6730348224462278E-5</v>
      </c>
      <c r="BB190" s="150">
        <v>8.8211820822894137E-5</v>
      </c>
      <c r="BC190" s="150">
        <v>8.9706864386417489E-5</v>
      </c>
      <c r="BD190" s="150">
        <v>9.1215718569242235E-5</v>
      </c>
      <c r="BE190" s="150">
        <v>9.2731592527329072E-5</v>
      </c>
      <c r="BF190" s="150">
        <v>9.4247882882711771E-5</v>
      </c>
      <c r="BG190" s="150">
        <v>9.5768391180017884E-5</v>
      </c>
      <c r="BH190" s="150">
        <v>9.72946850972672E-5</v>
      </c>
      <c r="BI190" s="150">
        <v>9.8827126400375566E-5</v>
      </c>
      <c r="BJ190" s="150">
        <v>1.0036129781514986E-4</v>
      </c>
      <c r="BK190" s="150">
        <v>1.0189675911384107E-4</v>
      </c>
      <c r="BL190" s="150">
        <v>1.0343132672727499E-4</v>
      </c>
      <c r="BM190" s="150">
        <v>1.0496797685987317E-4</v>
      </c>
      <c r="BN190" s="150">
        <v>1.0650548935629744E-4</v>
      </c>
      <c r="BO190" s="150">
        <v>1.080426763234647E-4</v>
      </c>
      <c r="BP190" s="114"/>
    </row>
    <row r="191" spans="1:68" x14ac:dyDescent="0.3">
      <c r="A191" s="388"/>
      <c r="D191" s="359"/>
      <c r="E191" s="115"/>
      <c r="F191" s="117" t="s">
        <v>394</v>
      </c>
      <c r="G191" s="122">
        <f t="shared" si="166"/>
        <v>0</v>
      </c>
      <c r="H191" s="122">
        <f t="shared" si="166"/>
        <v>0</v>
      </c>
      <c r="I191" s="122">
        <f t="shared" si="166"/>
        <v>0</v>
      </c>
      <c r="J191" s="122">
        <f t="shared" si="166"/>
        <v>0</v>
      </c>
      <c r="K191" s="122">
        <f t="shared" si="166"/>
        <v>0</v>
      </c>
      <c r="L191" s="123">
        <f t="shared" si="166"/>
        <v>5.0490000000000003E-7</v>
      </c>
      <c r="M191" s="123">
        <f t="shared" si="166"/>
        <v>2.97E-5</v>
      </c>
      <c r="N191" s="123">
        <f t="shared" si="166"/>
        <v>5.94E-5</v>
      </c>
      <c r="O191" s="123">
        <v>5.94E-5</v>
      </c>
      <c r="P191" s="123">
        <v>5.94E-5</v>
      </c>
      <c r="Q191" s="123">
        <v>1.5502266450000002E-5</v>
      </c>
      <c r="R191" s="123">
        <v>1.485E-5</v>
      </c>
      <c r="S191" s="150">
        <v>1.7242361059620985E-5</v>
      </c>
      <c r="T191" s="150">
        <v>1.8852277755025894E-5</v>
      </c>
      <c r="U191" s="150">
        <v>2.0462194450430802E-5</v>
      </c>
      <c r="V191" s="150">
        <v>2.2072111145835711E-5</v>
      </c>
      <c r="W191" s="150">
        <v>2.3682027841240619E-5</v>
      </c>
      <c r="X191" s="150">
        <v>2.5291944536645524E-5</v>
      </c>
      <c r="Y191" s="150">
        <v>2.6901861232050436E-5</v>
      </c>
      <c r="Z191" s="150">
        <v>2.8511777927455345E-5</v>
      </c>
      <c r="AA191" s="150">
        <v>3.0121694622860254E-5</v>
      </c>
      <c r="AB191" s="150">
        <v>3.1731611318265159E-5</v>
      </c>
      <c r="AC191" s="150">
        <v>3.3341528013670064E-5</v>
      </c>
      <c r="AD191" s="150">
        <v>3.4951444709074976E-5</v>
      </c>
      <c r="AE191" s="150">
        <v>3.6561361404479888E-5</v>
      </c>
      <c r="AF191" s="150">
        <v>3.8171278099884793E-5</v>
      </c>
      <c r="AG191" s="150">
        <v>3.8336911959231947E-5</v>
      </c>
      <c r="AH191" s="150">
        <v>3.9571510857208326E-5</v>
      </c>
      <c r="AI191" s="150">
        <v>4.0664561299294786E-5</v>
      </c>
      <c r="AJ191" s="150">
        <v>4.169659731129968E-5</v>
      </c>
      <c r="AK191" s="150">
        <v>4.2554752762469301E-5</v>
      </c>
      <c r="AL191" s="150">
        <v>4.3443334127849626E-5</v>
      </c>
      <c r="AM191" s="150">
        <v>4.4495464647421931E-5</v>
      </c>
      <c r="AN191" s="150">
        <v>4.5293323389717994E-5</v>
      </c>
      <c r="AO191" s="150">
        <v>4.6272064464687047E-5</v>
      </c>
      <c r="AP191" s="150">
        <v>4.7113720385731808E-5</v>
      </c>
      <c r="AQ191" s="150">
        <v>4.8188159241430812E-5</v>
      </c>
      <c r="AR191" s="150">
        <v>4.9091721689984779E-5</v>
      </c>
      <c r="AS191" s="150">
        <v>4.9971391473546986E-5</v>
      </c>
      <c r="AT191" s="150">
        <v>5.0879083897824674E-5</v>
      </c>
      <c r="AU191" s="150">
        <v>5.1795646818592896E-5</v>
      </c>
      <c r="AV191" s="150">
        <v>5.2840117862888431E-5</v>
      </c>
      <c r="AW191" s="150">
        <v>5.3792637569082215E-5</v>
      </c>
      <c r="AX191" s="150">
        <v>5.4742737426029879E-5</v>
      </c>
      <c r="AY191" s="150">
        <v>5.5723237608301451E-5</v>
      </c>
      <c r="AZ191" s="150">
        <v>5.6713663324904421E-5</v>
      </c>
      <c r="BA191" s="150">
        <v>5.7731915148778379E-5</v>
      </c>
      <c r="BB191" s="150">
        <v>5.8718054972944161E-5</v>
      </c>
      <c r="BC191" s="150">
        <v>5.9713228287937411E-5</v>
      </c>
      <c r="BD191" s="150">
        <v>6.0717594619192943E-5</v>
      </c>
      <c r="BE191" s="150">
        <v>6.1726633652427551E-5</v>
      </c>
      <c r="BF191" s="150">
        <v>6.2735949859844494E-5</v>
      </c>
      <c r="BG191" s="150">
        <v>6.3748073733438395E-5</v>
      </c>
      <c r="BH191" s="150">
        <v>6.4764048795531843E-5</v>
      </c>
      <c r="BI191" s="150">
        <v>6.5784115855017981E-5</v>
      </c>
      <c r="BJ191" s="150">
        <v>6.6805334560518918E-5</v>
      </c>
      <c r="BK191" s="150">
        <v>6.7827411875149966E-5</v>
      </c>
      <c r="BL191" s="150">
        <v>6.8848894309643906E-5</v>
      </c>
      <c r="BM191" s="150">
        <v>6.9871762969630396E-5</v>
      </c>
      <c r="BN191" s="150">
        <v>7.089520566069429E-5</v>
      </c>
      <c r="BO191" s="150">
        <v>7.1918431663738023E-5</v>
      </c>
      <c r="BP191" s="114"/>
    </row>
    <row r="192" spans="1:68" x14ac:dyDescent="0.3">
      <c r="A192" s="388"/>
      <c r="D192" s="359"/>
      <c r="E192" s="115"/>
      <c r="F192" s="117" t="s">
        <v>395</v>
      </c>
      <c r="G192" s="122">
        <f t="shared" si="166"/>
        <v>2.7667708200000002E-3</v>
      </c>
      <c r="H192" s="122">
        <f t="shared" si="166"/>
        <v>6.333227999999998E-3</v>
      </c>
      <c r="I192" s="122">
        <f t="shared" si="166"/>
        <v>2.2599561600000003E-3</v>
      </c>
      <c r="J192" s="122">
        <f t="shared" si="166"/>
        <v>5.1322490999999989E-4</v>
      </c>
      <c r="K192" s="122">
        <f t="shared" si="166"/>
        <v>1.3330548000000002E-4</v>
      </c>
      <c r="L192" s="152">
        <v>1.2923006593695358E-2</v>
      </c>
      <c r="M192" s="152">
        <v>1.306622352772877E-2</v>
      </c>
      <c r="N192" s="152">
        <v>9.2879308381677433E-3</v>
      </c>
      <c r="O192" s="152">
        <v>1.2549685804750004E-2</v>
      </c>
      <c r="P192" s="152">
        <v>5.1538124631200135E-3</v>
      </c>
      <c r="Q192" s="152">
        <v>8.488391902630012E-3</v>
      </c>
      <c r="R192" s="152">
        <v>9.1421000816264107E-3</v>
      </c>
      <c r="S192" s="150">
        <v>1.0614908447851384E-2</v>
      </c>
      <c r="T192" s="150">
        <v>1.2511163015073937E-2</v>
      </c>
      <c r="U192" s="150">
        <v>1.4407417582296491E-2</v>
      </c>
      <c r="V192" s="150">
        <v>1.6303672149519045E-2</v>
      </c>
      <c r="W192" s="150">
        <v>1.8199926716741598E-2</v>
      </c>
      <c r="X192" s="150">
        <v>2.0096181283964155E-2</v>
      </c>
      <c r="Y192" s="150">
        <v>2.1992435851186709E-2</v>
      </c>
      <c r="Z192" s="150">
        <v>2.3888690418409263E-2</v>
      </c>
      <c r="AA192" s="151">
        <v>2.5784944985631816E-2</v>
      </c>
      <c r="AB192" s="151">
        <v>2.768119955285437E-2</v>
      </c>
      <c r="AC192" s="151">
        <v>2.9577454120076924E-2</v>
      </c>
      <c r="AD192" s="151">
        <v>3.147370868729947E-2</v>
      </c>
      <c r="AE192" s="151">
        <v>3.3369963254522031E-2</v>
      </c>
      <c r="AF192" s="151">
        <v>3.5266217821744585E-2</v>
      </c>
      <c r="AG192" s="151">
        <v>3.7898593181122681E-2</v>
      </c>
      <c r="AH192" s="151">
        <v>4.1857411850332212E-2</v>
      </c>
      <c r="AI192" s="151">
        <v>4.6024556072443684E-2</v>
      </c>
      <c r="AJ192" s="151">
        <v>5.049610845521426E-2</v>
      </c>
      <c r="AK192" s="151">
        <v>5.5142841809537192E-2</v>
      </c>
      <c r="AL192" s="151">
        <v>6.0234872915438456E-2</v>
      </c>
      <c r="AM192" s="151">
        <v>6.6012225396783891E-2</v>
      </c>
      <c r="AN192" s="151">
        <v>7.1899619725329794E-2</v>
      </c>
      <c r="AO192" s="151">
        <v>7.8595025518689257E-2</v>
      </c>
      <c r="AP192" s="151">
        <v>8.5626336014043403E-2</v>
      </c>
      <c r="AQ192" s="151">
        <v>9.3709598074946374E-2</v>
      </c>
      <c r="AR192" s="151">
        <v>0.10214939046125175</v>
      </c>
      <c r="AS192" s="151">
        <v>0.11125838112954865</v>
      </c>
      <c r="AT192" s="151">
        <v>0.12120885660309563</v>
      </c>
      <c r="AU192" s="151">
        <v>0.13202984394024397</v>
      </c>
      <c r="AV192" s="151">
        <v>0.14412071380112826</v>
      </c>
      <c r="AW192" s="151">
        <v>0.15698900744100597</v>
      </c>
      <c r="AX192" s="151">
        <v>0.17094511423101158</v>
      </c>
      <c r="AY192" s="151">
        <v>0.18618740608878576</v>
      </c>
      <c r="AZ192" s="151">
        <v>0.20276147330447661</v>
      </c>
      <c r="BA192" s="151">
        <v>0.22085003877386752</v>
      </c>
      <c r="BB192" s="151">
        <v>0.24034603064817037</v>
      </c>
      <c r="BC192" s="151">
        <v>0.26152886060349323</v>
      </c>
      <c r="BD192" s="151">
        <v>0.28454267270839562</v>
      </c>
      <c r="BE192" s="151">
        <v>0.30952035776110742</v>
      </c>
      <c r="BF192" s="151">
        <v>0.33660214676945993</v>
      </c>
      <c r="BG192" s="151">
        <v>0.36597485517256212</v>
      </c>
      <c r="BH192" s="151">
        <v>0.3978340493998947</v>
      </c>
      <c r="BI192" s="151">
        <v>0.43238714999086264</v>
      </c>
      <c r="BJ192" s="151">
        <v>0.46983639725375814</v>
      </c>
      <c r="BK192" s="151">
        <v>0.51041630332245547</v>
      </c>
      <c r="BL192" s="151">
        <v>0.55437040792704462</v>
      </c>
      <c r="BM192" s="151">
        <v>0.60198899049064547</v>
      </c>
      <c r="BN192" s="151">
        <v>0.65356305144609084</v>
      </c>
      <c r="BO192" s="151">
        <v>0.70940559746467269</v>
      </c>
      <c r="BP192" s="114"/>
    </row>
    <row r="193" spans="1:81" x14ac:dyDescent="0.3">
      <c r="A193" s="388"/>
      <c r="D193" s="359"/>
      <c r="E193" s="115"/>
      <c r="F193" s="117" t="s">
        <v>396</v>
      </c>
      <c r="G193" s="122">
        <f t="shared" si="166"/>
        <v>4.0790579939999995E-2</v>
      </c>
      <c r="H193" s="122">
        <f t="shared" si="166"/>
        <v>5.8067967869999994E-2</v>
      </c>
      <c r="I193" s="122">
        <f t="shared" si="166"/>
        <v>3.9975128820000004E-2</v>
      </c>
      <c r="J193" s="122">
        <f t="shared" si="166"/>
        <v>2.0914532100000001E-3</v>
      </c>
      <c r="K193" s="122">
        <f t="shared" si="166"/>
        <v>2.2106864339999997E-2</v>
      </c>
      <c r="L193" s="123">
        <f t="shared" si="166"/>
        <v>4.9399702109999999E-2</v>
      </c>
      <c r="M193" s="123">
        <f t="shared" si="166"/>
        <v>4.6782965789999999E-2</v>
      </c>
      <c r="N193" s="123">
        <f t="shared" si="166"/>
        <v>7.5367431783269989E-2</v>
      </c>
      <c r="O193" s="123">
        <v>3.8495490626339994E-2</v>
      </c>
      <c r="P193" s="123">
        <v>2.8920761788049996E-2</v>
      </c>
      <c r="Q193" s="123">
        <v>2.7924159298860003E-2</v>
      </c>
      <c r="R193" s="123">
        <v>3.914996472684E-2</v>
      </c>
      <c r="S193" s="150">
        <v>4.5457092746909171E-2</v>
      </c>
      <c r="T193" s="150">
        <v>4.6578354144663429E-2</v>
      </c>
      <c r="U193" s="150">
        <v>4.7699615542417681E-2</v>
      </c>
      <c r="V193" s="150">
        <v>4.8820876940171939E-2</v>
      </c>
      <c r="W193" s="150">
        <v>4.9942138337926198E-2</v>
      </c>
      <c r="X193" s="151">
        <v>5.1063399735680456E-2</v>
      </c>
      <c r="Y193" s="151">
        <v>5.2184661133434708E-2</v>
      </c>
      <c r="Z193" s="151">
        <v>5.3305922531188966E-2</v>
      </c>
      <c r="AA193" s="151">
        <v>5.4427183928943218E-2</v>
      </c>
      <c r="AB193" s="151">
        <v>5.5548445326697476E-2</v>
      </c>
      <c r="AC193" s="151">
        <v>5.6669706724451735E-2</v>
      </c>
      <c r="AD193" s="151">
        <v>5.7790968122205993E-2</v>
      </c>
      <c r="AE193" s="151">
        <v>5.8912229519960245E-2</v>
      </c>
      <c r="AF193" s="151">
        <v>6.0033490917714503E-2</v>
      </c>
      <c r="AG193" s="151">
        <v>5.9973457426796786E-2</v>
      </c>
      <c r="AH193" s="151">
        <v>5.9913483969369991E-2</v>
      </c>
      <c r="AI193" s="151">
        <v>5.9853570485400617E-2</v>
      </c>
      <c r="AJ193" s="151">
        <v>5.9793716914915217E-2</v>
      </c>
      <c r="AK193" s="151">
        <v>5.9733923198000305E-2</v>
      </c>
      <c r="AL193" s="151">
        <v>5.9674189274802301E-2</v>
      </c>
      <c r="AM193" s="151">
        <v>5.9614515085527502E-2</v>
      </c>
      <c r="AN193" s="151">
        <v>5.9554900570441972E-2</v>
      </c>
      <c r="AO193" s="151">
        <v>5.9495345669871531E-2</v>
      </c>
      <c r="AP193" s="151">
        <v>5.9435850324201657E-2</v>
      </c>
      <c r="AQ193" s="151">
        <v>5.9376414473877454E-2</v>
      </c>
      <c r="AR193" s="151">
        <v>5.9317038059403575E-2</v>
      </c>
      <c r="AS193" s="151">
        <v>5.9257721021344169E-2</v>
      </c>
      <c r="AT193" s="151">
        <v>5.9198463300322822E-2</v>
      </c>
      <c r="AU193" s="151">
        <v>5.9139264837022497E-2</v>
      </c>
      <c r="AV193" s="151">
        <v>5.9080125572185477E-2</v>
      </c>
      <c r="AW193" s="151">
        <v>5.9021045446613289E-2</v>
      </c>
      <c r="AX193" s="151">
        <v>5.8962024401166678E-2</v>
      </c>
      <c r="AY193" s="151">
        <v>5.8903062376765514E-2</v>
      </c>
      <c r="AZ193" s="151">
        <v>5.8844159314388751E-2</v>
      </c>
      <c r="BA193" s="151">
        <v>5.8785315155074361E-2</v>
      </c>
      <c r="BB193" s="151">
        <v>5.8726529839919286E-2</v>
      </c>
      <c r="BC193" s="151">
        <v>5.8667803310079369E-2</v>
      </c>
      <c r="BD193" s="151">
        <v>5.8609135506769293E-2</v>
      </c>
      <c r="BE193" s="151">
        <v>5.8550526371262526E-2</v>
      </c>
      <c r="BF193" s="151">
        <v>5.8491975844891263E-2</v>
      </c>
      <c r="BG193" s="151">
        <v>5.8433483869046371E-2</v>
      </c>
      <c r="BH193" s="151">
        <v>5.8375050385177325E-2</v>
      </c>
      <c r="BI193" s="151">
        <v>5.8316675334792151E-2</v>
      </c>
      <c r="BJ193" s="151">
        <v>5.825835865945736E-2</v>
      </c>
      <c r="BK193" s="151">
        <v>5.8200100300797905E-2</v>
      </c>
      <c r="BL193" s="151">
        <v>5.8141900200497108E-2</v>
      </c>
      <c r="BM193" s="151">
        <v>5.8083758300296613E-2</v>
      </c>
      <c r="BN193" s="151">
        <v>5.8025674541996315E-2</v>
      </c>
      <c r="BO193" s="151">
        <v>5.796764886745432E-2</v>
      </c>
      <c r="BP193" s="114"/>
    </row>
    <row r="194" spans="1:81" x14ac:dyDescent="0.3">
      <c r="A194" s="388"/>
      <c r="D194" s="359"/>
      <c r="E194" s="115"/>
      <c r="F194" s="117" t="s">
        <v>397</v>
      </c>
      <c r="G194" s="122">
        <f t="shared" si="166"/>
        <v>0.47091329999999998</v>
      </c>
      <c r="H194" s="122">
        <f t="shared" si="166"/>
        <v>0.52968564000000007</v>
      </c>
      <c r="I194" s="122">
        <f t="shared" si="166"/>
        <v>0.30196484999999995</v>
      </c>
      <c r="J194" s="122">
        <f t="shared" si="166"/>
        <v>0.13172643000000001</v>
      </c>
      <c r="K194" s="122">
        <f t="shared" si="166"/>
        <v>0.1150578</v>
      </c>
      <c r="L194" s="123">
        <f t="shared" si="166"/>
        <v>3.2783849999999996E-2</v>
      </c>
      <c r="M194" s="123">
        <f t="shared" si="166"/>
        <v>6.2773919999999997E-2</v>
      </c>
      <c r="N194" s="123">
        <f t="shared" si="166"/>
        <v>7.7792219999999995E-2</v>
      </c>
      <c r="O194" s="123">
        <v>5.6735909999999994E-2</v>
      </c>
      <c r="P194" s="123">
        <v>2.7309150000000001E-2</v>
      </c>
      <c r="Q194" s="123">
        <v>4.8787199999999996E-2</v>
      </c>
      <c r="R194" s="123">
        <v>5.6826000000000002E-2</v>
      </c>
      <c r="S194" s="150">
        <v>6.5980768321482974E-2</v>
      </c>
      <c r="T194" s="150">
        <v>7.2141382875899093E-2</v>
      </c>
      <c r="U194" s="150">
        <v>7.8301997430315212E-2</v>
      </c>
      <c r="V194" s="150">
        <v>8.4462611984731331E-2</v>
      </c>
      <c r="W194" s="150">
        <v>9.062322653914745E-2</v>
      </c>
      <c r="X194" s="150">
        <v>9.6783841093563569E-2</v>
      </c>
      <c r="Y194" s="150">
        <v>0.10294445564797969</v>
      </c>
      <c r="Z194" s="150">
        <v>0.10910507020239579</v>
      </c>
      <c r="AA194" s="150">
        <v>0.11526568475681193</v>
      </c>
      <c r="AB194" s="150">
        <v>0.12142629931122803</v>
      </c>
      <c r="AC194" s="150">
        <v>0.12758691386564416</v>
      </c>
      <c r="AD194" s="150">
        <v>0.13374752842006027</v>
      </c>
      <c r="AE194" s="150">
        <v>0.1399081429744764</v>
      </c>
      <c r="AF194" s="150">
        <v>0.14606875752889251</v>
      </c>
      <c r="AG194" s="150">
        <v>0.14670258309732762</v>
      </c>
      <c r="AH194" s="150">
        <v>0.15142698154691722</v>
      </c>
      <c r="AI194" s="150">
        <v>0.15560972123863473</v>
      </c>
      <c r="AJ194" s="150">
        <v>0.15955897904457345</v>
      </c>
      <c r="AK194" s="150">
        <v>0.16284285390438252</v>
      </c>
      <c r="AL194" s="150">
        <v>0.16624315859590455</v>
      </c>
      <c r="AM194" s="150">
        <v>0.17026931138413456</v>
      </c>
      <c r="AN194" s="150">
        <v>0.1733224508379875</v>
      </c>
      <c r="AO194" s="150">
        <v>0.17706776668486907</v>
      </c>
      <c r="AP194" s="150">
        <v>0.18028850334273366</v>
      </c>
      <c r="AQ194" s="150">
        <v>0.18440002269720854</v>
      </c>
      <c r="AR194" s="150">
        <v>0.18785765500034171</v>
      </c>
      <c r="AS194" s="150">
        <v>0.19122385803877309</v>
      </c>
      <c r="AT194" s="150">
        <v>0.19469729438234237</v>
      </c>
      <c r="AU194" s="150">
        <v>0.19820467515914877</v>
      </c>
      <c r="AV194" s="150">
        <v>0.20220151768865302</v>
      </c>
      <c r="AW194" s="150">
        <v>0.2058464930976879</v>
      </c>
      <c r="AX194" s="150">
        <v>0.2094822085502743</v>
      </c>
      <c r="AY194" s="150">
        <v>0.21323425591443351</v>
      </c>
      <c r="AZ194" s="150">
        <v>0.21702428498996754</v>
      </c>
      <c r="BA194" s="150">
        <v>0.22092079530265857</v>
      </c>
      <c r="BB194" s="150">
        <v>0.22469442369646631</v>
      </c>
      <c r="BC194" s="150">
        <v>0.22850262024850715</v>
      </c>
      <c r="BD194" s="150">
        <v>0.23234599540944498</v>
      </c>
      <c r="BE194" s="150">
        <v>0.23620725144328941</v>
      </c>
      <c r="BF194" s="150">
        <v>0.24006956813033825</v>
      </c>
      <c r="BG194" s="150">
        <v>0.24394262881995757</v>
      </c>
      <c r="BH194" s="150">
        <v>0.24783042672423514</v>
      </c>
      <c r="BI194" s="150">
        <v>0.25173388333853541</v>
      </c>
      <c r="BJ194" s="150">
        <v>0.25564174691825231</v>
      </c>
      <c r="BK194" s="150">
        <v>0.25955289610890714</v>
      </c>
      <c r="BL194" s="150">
        <v>0.26346176889157058</v>
      </c>
      <c r="BM194" s="150">
        <v>0.26737594629711886</v>
      </c>
      <c r="BN194" s="150">
        <v>0.27129232032825668</v>
      </c>
      <c r="BO194" s="150">
        <v>0.2752078651665707</v>
      </c>
      <c r="BP194" s="114"/>
    </row>
    <row r="195" spans="1:81" x14ac:dyDescent="0.3">
      <c r="A195" s="388"/>
      <c r="D195" s="359" t="s">
        <v>543</v>
      </c>
      <c r="E195" s="115"/>
      <c r="F195" s="117" t="s">
        <v>551</v>
      </c>
      <c r="G195" s="122">
        <f t="shared" si="166"/>
        <v>1.5346683990000002E-2</v>
      </c>
      <c r="H195" s="122">
        <f t="shared" si="166"/>
        <v>1.1710432799999998E-2</v>
      </c>
      <c r="I195" s="122">
        <f t="shared" si="166"/>
        <v>6.6203279999999995E-5</v>
      </c>
      <c r="J195" s="122">
        <f t="shared" si="166"/>
        <v>2.0752360199999993E-3</v>
      </c>
      <c r="K195" s="122">
        <f t="shared" si="166"/>
        <v>5.0711700600000005E-3</v>
      </c>
      <c r="L195" s="123">
        <f t="shared" si="166"/>
        <v>1.1520953730000002E-2</v>
      </c>
      <c r="M195" s="123">
        <f t="shared" si="166"/>
        <v>6.9910830000000004E-5</v>
      </c>
      <c r="N195" s="123">
        <f t="shared" si="166"/>
        <v>1.1254289112E-4</v>
      </c>
      <c r="O195" s="123">
        <v>6.4052071577999992E-3</v>
      </c>
      <c r="P195" s="123">
        <v>1.8851188069889998E-2</v>
      </c>
      <c r="Q195" s="123">
        <v>4.9142684843999996E-3</v>
      </c>
      <c r="R195" s="123">
        <v>1.41248521953E-2</v>
      </c>
      <c r="S195" s="150">
        <v>1.640039067105338E-2</v>
      </c>
      <c r="T195" s="150">
        <v>1.7931692716126792E-2</v>
      </c>
      <c r="U195" s="150">
        <v>1.9462994761200201E-2</v>
      </c>
      <c r="V195" s="150">
        <v>2.0994296806273613E-2</v>
      </c>
      <c r="W195" s="150">
        <v>2.2525598851347022E-2</v>
      </c>
      <c r="X195" s="150">
        <v>2.4056900896420434E-2</v>
      </c>
      <c r="Y195" s="150">
        <v>2.5588202941493846E-2</v>
      </c>
      <c r="Z195" s="150">
        <v>2.7119504986567254E-2</v>
      </c>
      <c r="AA195" s="150">
        <v>2.8650807031640666E-2</v>
      </c>
      <c r="AB195" s="150">
        <v>3.0182109076714078E-2</v>
      </c>
      <c r="AC195" s="150">
        <v>3.1713411121787487E-2</v>
      </c>
      <c r="AD195" s="150">
        <v>3.3244713166860895E-2</v>
      </c>
      <c r="AE195" s="150">
        <v>3.4776015211934311E-2</v>
      </c>
      <c r="AF195" s="150">
        <v>3.6307317257007719E-2</v>
      </c>
      <c r="AG195" s="150">
        <v>3.6464862966220896E-2</v>
      </c>
      <c r="AH195" s="150">
        <v>3.7639174545641543E-2</v>
      </c>
      <c r="AI195" s="150">
        <v>3.8678849692879158E-2</v>
      </c>
      <c r="AJ195" s="150">
        <v>3.9660489836299766E-2</v>
      </c>
      <c r="AK195" s="150">
        <v>4.0476740267839283E-2</v>
      </c>
      <c r="AL195" s="150">
        <v>4.1321930870498874E-2</v>
      </c>
      <c r="AM195" s="150">
        <v>4.2322684276500419E-2</v>
      </c>
      <c r="AN195" s="150">
        <v>4.308158237802634E-2</v>
      </c>
      <c r="AO195" s="150">
        <v>4.4012530056235559E-2</v>
      </c>
      <c r="AP195" s="150">
        <v>4.4813086654488507E-2</v>
      </c>
      <c r="AQ195" s="150">
        <v>4.5835059047056571E-2</v>
      </c>
      <c r="AR195" s="150">
        <v>4.6694499184096849E-2</v>
      </c>
      <c r="AS195" s="150">
        <v>4.7531213370863697E-2</v>
      </c>
      <c r="AT195" s="150">
        <v>4.8394581810709887E-2</v>
      </c>
      <c r="AU195" s="150">
        <v>4.9266387587379487E-2</v>
      </c>
      <c r="AV195" s="150">
        <v>5.0259855541786566E-2</v>
      </c>
      <c r="AW195" s="150">
        <v>5.1165862280042308E-2</v>
      </c>
      <c r="AX195" s="150">
        <v>5.2069567333925239E-2</v>
      </c>
      <c r="AY195" s="150">
        <v>5.3002188219585217E-2</v>
      </c>
      <c r="AZ195" s="150">
        <v>5.3944249960827036E-2</v>
      </c>
      <c r="BA195" s="150">
        <v>5.4912779018726994E-2</v>
      </c>
      <c r="BB195" s="150">
        <v>5.5850764154096746E-2</v>
      </c>
      <c r="BC195" s="150">
        <v>5.6797341661368558E-2</v>
      </c>
      <c r="BD195" s="150">
        <v>5.7752663276110651E-2</v>
      </c>
      <c r="BE195" s="150">
        <v>5.8712429417775783E-2</v>
      </c>
      <c r="BF195" s="150">
        <v>5.9672459198791612E-2</v>
      </c>
      <c r="BG195" s="150">
        <v>6.0635159543427859E-2</v>
      </c>
      <c r="BH195" s="150">
        <v>6.1601523017244739E-2</v>
      </c>
      <c r="BI195" s="150">
        <v>6.2571778670075434E-2</v>
      </c>
      <c r="BJ195" s="150">
        <v>6.3543129732316267E-2</v>
      </c>
      <c r="BK195" s="150">
        <v>6.4515297476513758E-2</v>
      </c>
      <c r="BL195" s="150">
        <v>6.5486899389464739E-2</v>
      </c>
      <c r="BM195" s="150">
        <v>6.6459819836435369E-2</v>
      </c>
      <c r="BN195" s="150">
        <v>6.7433286283683683E-2</v>
      </c>
      <c r="BO195" s="150">
        <v>6.8406546624113343E-2</v>
      </c>
      <c r="BP195" s="114"/>
    </row>
    <row r="196" spans="1:81" x14ac:dyDescent="0.3">
      <c r="A196" s="388"/>
      <c r="D196" s="359"/>
      <c r="E196" s="115"/>
      <c r="F196" s="117" t="s">
        <v>399</v>
      </c>
      <c r="G196" s="122">
        <f t="shared" si="166"/>
        <v>3.9748500000000006E-6</v>
      </c>
      <c r="H196" s="122">
        <f t="shared" si="166"/>
        <v>9.8930699999999998E-6</v>
      </c>
      <c r="I196" s="122">
        <f t="shared" si="166"/>
        <v>3.32244E-6</v>
      </c>
      <c r="J196" s="122">
        <f t="shared" si="166"/>
        <v>5.2321499999999995E-6</v>
      </c>
      <c r="K196" s="122">
        <f t="shared" si="166"/>
        <v>6.1211699999999995E-6</v>
      </c>
      <c r="L196" s="123">
        <f t="shared" si="166"/>
        <v>4.0283099999999999E-6</v>
      </c>
      <c r="M196" s="123">
        <f t="shared" si="166"/>
        <v>3.9738599999999999E-6</v>
      </c>
      <c r="N196" s="123">
        <f t="shared" si="166"/>
        <v>2.2787622000000002E-5</v>
      </c>
      <c r="O196" s="123">
        <v>3.9607226999999998E-6</v>
      </c>
      <c r="P196" s="123">
        <v>0</v>
      </c>
      <c r="Q196" s="123">
        <v>0</v>
      </c>
      <c r="R196" s="123">
        <v>0</v>
      </c>
      <c r="S196" s="150">
        <v>0</v>
      </c>
      <c r="T196" s="150">
        <v>0</v>
      </c>
      <c r="U196" s="150">
        <v>0</v>
      </c>
      <c r="V196" s="150">
        <v>0</v>
      </c>
      <c r="W196" s="150">
        <v>0</v>
      </c>
      <c r="X196" s="150">
        <v>0</v>
      </c>
      <c r="Y196" s="150">
        <v>0</v>
      </c>
      <c r="Z196" s="150">
        <v>0</v>
      </c>
      <c r="AA196" s="150">
        <v>0</v>
      </c>
      <c r="AB196" s="150">
        <v>0</v>
      </c>
      <c r="AC196" s="150">
        <v>0</v>
      </c>
      <c r="AD196" s="150">
        <v>0</v>
      </c>
      <c r="AE196" s="150">
        <v>0</v>
      </c>
      <c r="AF196" s="150">
        <v>0</v>
      </c>
      <c r="AG196" s="150">
        <v>0</v>
      </c>
      <c r="AH196" s="150">
        <v>0</v>
      </c>
      <c r="AI196" s="150">
        <v>0</v>
      </c>
      <c r="AJ196" s="150">
        <v>0</v>
      </c>
      <c r="AK196" s="150">
        <v>0</v>
      </c>
      <c r="AL196" s="150">
        <v>0</v>
      </c>
      <c r="AM196" s="150">
        <v>0</v>
      </c>
      <c r="AN196" s="150">
        <v>0</v>
      </c>
      <c r="AO196" s="150">
        <v>0</v>
      </c>
      <c r="AP196" s="150">
        <v>0</v>
      </c>
      <c r="AQ196" s="150">
        <v>0</v>
      </c>
      <c r="AR196" s="150">
        <v>0</v>
      </c>
      <c r="AS196" s="150">
        <v>0</v>
      </c>
      <c r="AT196" s="150">
        <v>0</v>
      </c>
      <c r="AU196" s="150">
        <v>0</v>
      </c>
      <c r="AV196" s="150">
        <v>0</v>
      </c>
      <c r="AW196" s="150">
        <v>0</v>
      </c>
      <c r="AX196" s="150">
        <v>0</v>
      </c>
      <c r="AY196" s="150">
        <v>0</v>
      </c>
      <c r="AZ196" s="150">
        <v>0</v>
      </c>
      <c r="BA196" s="150">
        <v>0</v>
      </c>
      <c r="BB196" s="150">
        <v>0</v>
      </c>
      <c r="BC196" s="150">
        <v>0</v>
      </c>
      <c r="BD196" s="150">
        <v>0</v>
      </c>
      <c r="BE196" s="150">
        <v>0</v>
      </c>
      <c r="BF196" s="150">
        <v>0</v>
      </c>
      <c r="BG196" s="150">
        <v>0</v>
      </c>
      <c r="BH196" s="150">
        <v>0</v>
      </c>
      <c r="BI196" s="150">
        <v>0</v>
      </c>
      <c r="BJ196" s="150">
        <v>0</v>
      </c>
      <c r="BK196" s="150">
        <v>0</v>
      </c>
      <c r="BL196" s="150">
        <v>0</v>
      </c>
      <c r="BM196" s="150">
        <v>0</v>
      </c>
      <c r="BN196" s="150">
        <v>0</v>
      </c>
      <c r="BO196" s="150">
        <v>0</v>
      </c>
      <c r="BP196" s="114"/>
    </row>
    <row r="197" spans="1:81" x14ac:dyDescent="0.3">
      <c r="A197" s="388"/>
      <c r="D197" s="359"/>
      <c r="E197" s="115"/>
      <c r="F197" s="117" t="s">
        <v>400</v>
      </c>
      <c r="G197" s="122">
        <f t="shared" si="166"/>
        <v>0</v>
      </c>
      <c r="H197" s="122">
        <f t="shared" si="166"/>
        <v>1.683E-5</v>
      </c>
      <c r="I197" s="122">
        <f t="shared" si="166"/>
        <v>1.656072E-5</v>
      </c>
      <c r="J197" s="122">
        <f t="shared" si="166"/>
        <v>0</v>
      </c>
      <c r="K197" s="122">
        <f t="shared" si="166"/>
        <v>0</v>
      </c>
      <c r="L197" s="123">
        <f t="shared" si="166"/>
        <v>0</v>
      </c>
      <c r="M197" s="123">
        <f t="shared" si="166"/>
        <v>0</v>
      </c>
      <c r="N197" s="123">
        <f t="shared" si="166"/>
        <v>0</v>
      </c>
      <c r="O197" s="123">
        <v>0</v>
      </c>
      <c r="P197" s="152">
        <v>3.3937667803175621E-2</v>
      </c>
      <c r="Q197" s="152">
        <v>3.3177234568879888E-2</v>
      </c>
      <c r="R197" s="152">
        <v>4.7858902209213905E-2</v>
      </c>
      <c r="S197" s="150">
        <v>5.5569055340630211E-2</v>
      </c>
      <c r="T197" s="150">
        <v>6.0757529797893797E-2</v>
      </c>
      <c r="U197" s="150">
        <v>6.5946004255157398E-2</v>
      </c>
      <c r="V197" s="150">
        <v>7.1134478712420984E-2</v>
      </c>
      <c r="W197" s="150">
        <v>7.6322953169684571E-2</v>
      </c>
      <c r="X197" s="150">
        <v>8.1511427626948157E-2</v>
      </c>
      <c r="Y197" s="150">
        <v>8.6699902084211744E-2</v>
      </c>
      <c r="Z197" s="150">
        <v>9.1888376541475331E-2</v>
      </c>
      <c r="AA197" s="150">
        <v>9.7076850998738931E-2</v>
      </c>
      <c r="AB197" s="150">
        <v>0.10226532545600253</v>
      </c>
      <c r="AC197" s="150">
        <v>0.1074537999132661</v>
      </c>
      <c r="AD197" s="150">
        <v>0.1126422743705297</v>
      </c>
      <c r="AE197" s="150">
        <v>0.11783074882779329</v>
      </c>
      <c r="AF197" s="150">
        <v>0.12301922328505688</v>
      </c>
      <c r="AG197" s="150">
        <v>0.12355303168081648</v>
      </c>
      <c r="AH197" s="150">
        <v>0.12753192379703565</v>
      </c>
      <c r="AI197" s="150">
        <v>0.13105463047835242</v>
      </c>
      <c r="AJ197" s="150">
        <v>0.13438069853053622</v>
      </c>
      <c r="AK197" s="150">
        <v>0.13714638053847095</v>
      </c>
      <c r="AL197" s="150">
        <v>0.14001011984289294</v>
      </c>
      <c r="AM197" s="150">
        <v>0.14340094891006736</v>
      </c>
      <c r="AN197" s="150">
        <v>0.14597230537635111</v>
      </c>
      <c r="AO197" s="150">
        <v>0.14912661334908409</v>
      </c>
      <c r="AP197" s="150">
        <v>0.15183912031333235</v>
      </c>
      <c r="AQ197" s="150">
        <v>0.15530184517021306</v>
      </c>
      <c r="AR197" s="150">
        <v>0.15821386583454047</v>
      </c>
      <c r="AS197" s="150">
        <v>0.1610488846997192</v>
      </c>
      <c r="AT197" s="150">
        <v>0.16397421553941954</v>
      </c>
      <c r="AU197" s="150">
        <v>0.16692813440767798</v>
      </c>
      <c r="AV197" s="150">
        <v>0.1702942783517383</v>
      </c>
      <c r="AW197" s="150">
        <v>0.17336407952824182</v>
      </c>
      <c r="AX197" s="150">
        <v>0.17642608196209006</v>
      </c>
      <c r="AY197" s="150">
        <v>0.179586059224006</v>
      </c>
      <c r="AZ197" s="150">
        <v>0.18277802471332533</v>
      </c>
      <c r="BA197" s="150">
        <v>0.18605966878491709</v>
      </c>
      <c r="BB197" s="150">
        <v>0.18923782160709632</v>
      </c>
      <c r="BC197" s="150">
        <v>0.1924450877595193</v>
      </c>
      <c r="BD197" s="150">
        <v>0.19568198136421866</v>
      </c>
      <c r="BE197" s="150">
        <v>0.19893393425424255</v>
      </c>
      <c r="BF197" s="150">
        <v>0.20218678042723529</v>
      </c>
      <c r="BG197" s="150">
        <v>0.20544867520770269</v>
      </c>
      <c r="BH197" s="150">
        <v>0.20872298168202794</v>
      </c>
      <c r="BI197" s="150">
        <v>0.21201047593433683</v>
      </c>
      <c r="BJ197" s="150">
        <v>0.21530168173641018</v>
      </c>
      <c r="BK197" s="150">
        <v>0.2185956546826178</v>
      </c>
      <c r="BL197" s="150">
        <v>0.22188771043621205</v>
      </c>
      <c r="BM197" s="150">
        <v>0.22518423374740149</v>
      </c>
      <c r="BN197" s="150">
        <v>0.22848260705840226</v>
      </c>
      <c r="BO197" s="150">
        <v>0.23178028202255008</v>
      </c>
      <c r="BP197" s="114"/>
    </row>
    <row r="198" spans="1:81" x14ac:dyDescent="0.3">
      <c r="A198" s="388"/>
      <c r="D198" s="359"/>
      <c r="E198" s="115"/>
      <c r="F198" s="117" t="s">
        <v>401</v>
      </c>
      <c r="G198" s="122">
        <f t="shared" ref="G198:N202" si="167">G183*(1-$I$135/100)/1000000</f>
        <v>4.5163800000000004E-3</v>
      </c>
      <c r="H198" s="122">
        <f t="shared" si="167"/>
        <v>4.3431299999999997E-3</v>
      </c>
      <c r="I198" s="122">
        <f t="shared" si="167"/>
        <v>4.8203100000000004E-3</v>
      </c>
      <c r="J198" s="122">
        <f t="shared" si="167"/>
        <v>4.7440800000000003E-3</v>
      </c>
      <c r="K198" s="122">
        <f t="shared" si="167"/>
        <v>4.9826699999999998E-3</v>
      </c>
      <c r="L198" s="123">
        <f t="shared" si="167"/>
        <v>2.5512299999999998E-3</v>
      </c>
      <c r="M198" s="123">
        <f t="shared" si="167"/>
        <v>4.3738199999999996E-3</v>
      </c>
      <c r="N198" s="123">
        <f t="shared" si="167"/>
        <v>4.80942E-3</v>
      </c>
      <c r="O198" s="123">
        <v>4.75101E-3</v>
      </c>
      <c r="P198" s="123">
        <v>3.6936899999999999E-3</v>
      </c>
      <c r="Q198" s="123">
        <v>6.3013500000000007E-3</v>
      </c>
      <c r="R198" s="123">
        <v>4.24611E-3</v>
      </c>
      <c r="S198" s="150">
        <v>4.9301657723142935E-3</v>
      </c>
      <c r="T198" s="150">
        <v>5.3904946194204039E-3</v>
      </c>
      <c r="U198" s="150">
        <v>5.8508234665265134E-3</v>
      </c>
      <c r="V198" s="150">
        <v>6.3111523136326238E-3</v>
      </c>
      <c r="W198" s="150">
        <v>6.7714811607387342E-3</v>
      </c>
      <c r="X198" s="150">
        <v>7.2318100078448437E-3</v>
      </c>
      <c r="Y198" s="150">
        <v>7.6921388549509532E-3</v>
      </c>
      <c r="Z198" s="150">
        <v>8.1524677020570636E-3</v>
      </c>
      <c r="AA198" s="150">
        <v>8.612796549163174E-3</v>
      </c>
      <c r="AB198" s="150">
        <v>9.0731253962692826E-3</v>
      </c>
      <c r="AC198" s="150">
        <v>9.533454243375393E-3</v>
      </c>
      <c r="AD198" s="150">
        <v>9.9937830904815034E-3</v>
      </c>
      <c r="AE198" s="150">
        <v>1.0454111937587614E-2</v>
      </c>
      <c r="AF198" s="150">
        <v>1.0914440784693724E-2</v>
      </c>
      <c r="AG198" s="150">
        <v>1.096180102620972E-2</v>
      </c>
      <c r="AH198" s="150">
        <v>1.1314814004437767E-2</v>
      </c>
      <c r="AI198" s="150">
        <v>1.1627353560845021E-2</v>
      </c>
      <c r="AJ198" s="150">
        <v>1.192244705787762E-2</v>
      </c>
      <c r="AK198" s="150">
        <v>1.216782230654872E-2</v>
      </c>
      <c r="AL198" s="150">
        <v>1.2421897338289802E-2</v>
      </c>
      <c r="AM198" s="150">
        <v>1.2722736524852842E-2</v>
      </c>
      <c r="AN198" s="150">
        <v>1.2950870934566696E-2</v>
      </c>
      <c r="AO198" s="150">
        <v>1.3230725632602847E-2</v>
      </c>
      <c r="AP198" s="150">
        <v>1.3471383115626913E-2</v>
      </c>
      <c r="AQ198" s="150">
        <v>1.3778600999099782E-2</v>
      </c>
      <c r="AR198" s="150">
        <v>1.4036959621889646E-2</v>
      </c>
      <c r="AS198" s="150">
        <v>1.4288486535336199E-2</v>
      </c>
      <c r="AT198" s="150">
        <v>1.4548026055851333E-2</v>
      </c>
      <c r="AU198" s="150">
        <v>1.4810101946996326E-2</v>
      </c>
      <c r="AV198" s="150">
        <v>1.5108751034261896E-2</v>
      </c>
      <c r="AW198" s="150">
        <v>1.5381108168919572E-2</v>
      </c>
      <c r="AX198" s="150">
        <v>1.5652773388016142E-2</v>
      </c>
      <c r="AY198" s="150">
        <v>1.5933131073466993E-2</v>
      </c>
      <c r="AZ198" s="150">
        <v>1.6216326800034334E-2</v>
      </c>
      <c r="BA198" s="150">
        <v>1.6507478938207362E-2</v>
      </c>
      <c r="BB198" s="150">
        <v>1.678944918526383E-2</v>
      </c>
      <c r="BC198" s="150">
        <v>1.7074002408464233E-2</v>
      </c>
      <c r="BD198" s="150">
        <v>1.7361184221447896E-2</v>
      </c>
      <c r="BE198" s="150">
        <v>1.7649702115684111E-2</v>
      </c>
      <c r="BF198" s="150">
        <v>1.7938299263258198E-2</v>
      </c>
      <c r="BG198" s="150">
        <v>1.8227699216181146E-2</v>
      </c>
      <c r="BH198" s="150">
        <v>1.8518200352269063E-2</v>
      </c>
      <c r="BI198" s="150">
        <v>1.8809871526811465E-2</v>
      </c>
      <c r="BJ198" s="150">
        <v>1.9101871995337701E-2</v>
      </c>
      <c r="BK198" s="150">
        <v>1.9394117968834539E-2</v>
      </c>
      <c r="BL198" s="150">
        <v>1.9686193846270839E-2</v>
      </c>
      <c r="BM198" s="150">
        <v>1.9978666091782976E-2</v>
      </c>
      <c r="BN198" s="150">
        <v>2.0271302471914512E-2</v>
      </c>
      <c r="BO198" s="150">
        <v>2.0563876893718153E-2</v>
      </c>
      <c r="BP198" s="114"/>
    </row>
    <row r="199" spans="1:81" x14ac:dyDescent="0.3">
      <c r="A199" s="388"/>
      <c r="D199" s="359"/>
      <c r="E199" s="115"/>
      <c r="F199" s="117" t="s">
        <v>544</v>
      </c>
      <c r="G199" s="122">
        <f t="shared" si="167"/>
        <v>0.60588743786999988</v>
      </c>
      <c r="H199" s="122">
        <f t="shared" si="167"/>
        <v>0.56001642246000016</v>
      </c>
      <c r="I199" s="122">
        <f t="shared" si="167"/>
        <v>0.55970084214000004</v>
      </c>
      <c r="J199" s="122">
        <f t="shared" si="167"/>
        <v>0.58545025308000009</v>
      </c>
      <c r="K199" s="122">
        <f t="shared" si="167"/>
        <v>7.8623126999999987E-3</v>
      </c>
      <c r="L199" s="152">
        <v>1.0556057788781665</v>
      </c>
      <c r="M199" s="123">
        <f t="shared" si="167"/>
        <v>0.92697509420999979</v>
      </c>
      <c r="N199" s="123">
        <f t="shared" si="167"/>
        <v>1.11774264921</v>
      </c>
      <c r="O199" s="123">
        <v>1.1163827426399999</v>
      </c>
      <c r="P199" s="123">
        <v>1.1711372280300001</v>
      </c>
      <c r="Q199" s="123">
        <v>1.2535868013669</v>
      </c>
      <c r="R199" s="123">
        <v>1.4902693066205999</v>
      </c>
      <c r="S199" s="150">
        <v>1.7303543071261547</v>
      </c>
      <c r="T199" s="150">
        <v>1.8919172322021143</v>
      </c>
      <c r="U199" s="150">
        <v>2.0534801572780741</v>
      </c>
      <c r="V199" s="150">
        <v>2.2150430823540335</v>
      </c>
      <c r="W199" s="150">
        <v>2.3766060074299933</v>
      </c>
      <c r="X199" s="150">
        <v>2.5381689325059527</v>
      </c>
      <c r="Y199" s="150">
        <v>2.6997318575819125</v>
      </c>
      <c r="Z199" s="150">
        <v>2.8612947826578718</v>
      </c>
      <c r="AA199" s="150">
        <v>3.0228577077338317</v>
      </c>
      <c r="AB199" s="150">
        <v>3.1844206328097915</v>
      </c>
      <c r="AC199" s="150">
        <v>3.3459835578857509</v>
      </c>
      <c r="AD199" s="150">
        <v>3.5075464829617102</v>
      </c>
      <c r="AE199" s="150">
        <v>3.6691094080376701</v>
      </c>
      <c r="AF199" s="150">
        <v>3.8306723331136294</v>
      </c>
      <c r="AG199" s="150">
        <v>3.8472944918154597</v>
      </c>
      <c r="AH199" s="150">
        <v>3.9711924610842688</v>
      </c>
      <c r="AI199" s="150">
        <v>4.0808853583522504</v>
      </c>
      <c r="AJ199" s="150">
        <v>4.1844551625285478</v>
      </c>
      <c r="AK199" s="150">
        <v>4.2705752116320657</v>
      </c>
      <c r="AL199" s="150">
        <v>4.3597486483500001</v>
      </c>
      <c r="AM199" s="150">
        <v>4.4653350335269284</v>
      </c>
      <c r="AN199" s="150">
        <v>4.5454040163325002</v>
      </c>
      <c r="AO199" s="150">
        <v>4.6436254158715728</v>
      </c>
      <c r="AP199" s="150">
        <v>4.7280896573441984</v>
      </c>
      <c r="AQ199" s="150">
        <v>4.8359147919225682</v>
      </c>
      <c r="AR199" s="150">
        <v>4.9265916527774456</v>
      </c>
      <c r="AS199" s="150">
        <v>5.0148707691683105</v>
      </c>
      <c r="AT199" s="150">
        <v>5.105962093057407</v>
      </c>
      <c r="AU199" s="150">
        <v>5.1979436141622832</v>
      </c>
      <c r="AV199" s="150">
        <v>5.302761333958081</v>
      </c>
      <c r="AW199" s="150">
        <v>5.3983512923481056</v>
      </c>
      <c r="AX199" s="150">
        <v>5.4936984071651915</v>
      </c>
      <c r="AY199" s="150">
        <v>5.5920963416281699</v>
      </c>
      <c r="AZ199" s="150">
        <v>5.6914903514558546</v>
      </c>
      <c r="BA199" s="150">
        <v>5.7936768457002863</v>
      </c>
      <c r="BB199" s="150">
        <v>5.8926407454976264</v>
      </c>
      <c r="BC199" s="150">
        <v>5.9925111997806111</v>
      </c>
      <c r="BD199" s="150">
        <v>6.0933042176980017</v>
      </c>
      <c r="BE199" s="150">
        <v>6.1945661638536693</v>
      </c>
      <c r="BF199" s="150">
        <v>6.2958559257787998</v>
      </c>
      <c r="BG199" s="150">
        <v>6.3974274505811524</v>
      </c>
      <c r="BH199" s="150">
        <v>6.4993854607717125</v>
      </c>
      <c r="BI199" s="150">
        <v>6.6017541226873293</v>
      </c>
      <c r="BJ199" s="150">
        <v>6.704238357849273</v>
      </c>
      <c r="BK199" s="150">
        <v>6.8068087585891961</v>
      </c>
      <c r="BL199" s="150">
        <v>6.9093194602308392</v>
      </c>
      <c r="BM199" s="150">
        <v>7.0119692763037014</v>
      </c>
      <c r="BN199" s="150">
        <v>7.1146766991708867</v>
      </c>
      <c r="BO199" s="150">
        <v>7.217362376347463</v>
      </c>
      <c r="BP199" s="114"/>
    </row>
    <row r="200" spans="1:81" x14ac:dyDescent="0.3">
      <c r="A200" s="388"/>
      <c r="D200" s="359"/>
      <c r="E200" s="115"/>
      <c r="F200" s="117" t="s">
        <v>403</v>
      </c>
      <c r="G200" s="122">
        <f t="shared" si="167"/>
        <v>6.6963599999999993E-3</v>
      </c>
      <c r="H200" s="122">
        <f t="shared" si="167"/>
        <v>7.3418400000000005E-3</v>
      </c>
      <c r="I200" s="122">
        <f t="shared" si="167"/>
        <v>7.8249600000000006E-3</v>
      </c>
      <c r="J200" s="122">
        <f t="shared" si="167"/>
        <v>8.5140000000000007E-3</v>
      </c>
      <c r="K200" s="122">
        <f t="shared" si="167"/>
        <v>0.79064435043000003</v>
      </c>
      <c r="L200" s="123">
        <f t="shared" si="167"/>
        <v>0.89911865142000014</v>
      </c>
      <c r="M200" s="123">
        <f t="shared" si="167"/>
        <v>8.3397599999999999E-3</v>
      </c>
      <c r="N200" s="123">
        <f t="shared" si="167"/>
        <v>9.5851800000000004E-3</v>
      </c>
      <c r="O200" s="123">
        <v>1.0400940000000001E-2</v>
      </c>
      <c r="P200" s="123">
        <v>1.228491E-2</v>
      </c>
      <c r="Q200" s="123">
        <v>9.2446200000000003E-3</v>
      </c>
      <c r="R200" s="123">
        <v>1.3803569999999999E-2</v>
      </c>
      <c r="S200" s="150">
        <v>1.6027349350286359E-2</v>
      </c>
      <c r="T200" s="150">
        <v>1.7523820582555069E-2</v>
      </c>
      <c r="U200" s="150">
        <v>1.9020291814823776E-2</v>
      </c>
      <c r="V200" s="150">
        <v>2.0516763047092483E-2</v>
      </c>
      <c r="W200" s="150">
        <v>2.2013234279361193E-2</v>
      </c>
      <c r="X200" s="150">
        <v>2.3509705511629904E-2</v>
      </c>
      <c r="Y200" s="150">
        <v>2.5006176743898611E-2</v>
      </c>
      <c r="Z200" s="150">
        <v>2.6502647976167321E-2</v>
      </c>
      <c r="AA200" s="150">
        <v>2.7999119208436028E-2</v>
      </c>
      <c r="AB200" s="150">
        <v>2.9495590440704739E-2</v>
      </c>
      <c r="AC200" s="150">
        <v>3.0992061672973449E-2</v>
      </c>
      <c r="AD200" s="150">
        <v>3.248853290524216E-2</v>
      </c>
      <c r="AE200" s="150">
        <v>3.3985004137510863E-2</v>
      </c>
      <c r="AF200" s="150">
        <v>3.5481475369779573E-2</v>
      </c>
      <c r="AG200" s="150">
        <v>3.5635437563171397E-2</v>
      </c>
      <c r="AH200" s="150">
        <v>3.6783038392137042E-2</v>
      </c>
      <c r="AI200" s="150">
        <v>3.7799065213071144E-2</v>
      </c>
      <c r="AJ200" s="150">
        <v>3.8758377087430095E-2</v>
      </c>
      <c r="AK200" s="150">
        <v>3.955606118447396E-2</v>
      </c>
      <c r="AL200" s="150">
        <v>4.0382027182973818E-2</v>
      </c>
      <c r="AM200" s="150">
        <v>4.136001757193359E-2</v>
      </c>
      <c r="AN200" s="150">
        <v>4.210165386818919E-2</v>
      </c>
      <c r="AO200" s="150">
        <v>4.301142632207542E-2</v>
      </c>
      <c r="AP200" s="150">
        <v>4.3793773555883889E-2</v>
      </c>
      <c r="AQ200" s="150">
        <v>4.479250028688464E-2</v>
      </c>
      <c r="AR200" s="150">
        <v>4.5632391701563836E-2</v>
      </c>
      <c r="AS200" s="150">
        <v>4.6450074087711027E-2</v>
      </c>
      <c r="AT200" s="150">
        <v>4.7293804452491282E-2</v>
      </c>
      <c r="AU200" s="150">
        <v>4.8145780239442701E-2</v>
      </c>
      <c r="AV200" s="150">
        <v>4.9116650890816876E-2</v>
      </c>
      <c r="AW200" s="150">
        <v>5.0002049708380868E-2</v>
      </c>
      <c r="AX200" s="150">
        <v>5.0885199195408952E-2</v>
      </c>
      <c r="AY200" s="150">
        <v>5.1796606798169789E-2</v>
      </c>
      <c r="AZ200" s="150">
        <v>5.2717240515942801E-2</v>
      </c>
      <c r="BA200" s="150">
        <v>5.3663739527961107E-2</v>
      </c>
      <c r="BB200" s="150">
        <v>5.4580389365850676E-2</v>
      </c>
      <c r="BC200" s="150">
        <v>5.5505436134580734E-2</v>
      </c>
      <c r="BD200" s="150">
        <v>5.6439028118360456E-2</v>
      </c>
      <c r="BE200" s="150">
        <v>5.7376963534386462E-2</v>
      </c>
      <c r="BF200" s="150">
        <v>5.8315156593054092E-2</v>
      </c>
      <c r="BG200" s="150">
        <v>5.9255959471022072E-2</v>
      </c>
      <c r="BH200" s="150">
        <v>6.020034215707333E-2</v>
      </c>
      <c r="BI200" s="150">
        <v>6.1148528491101008E-2</v>
      </c>
      <c r="BJ200" s="150">
        <v>6.2097785318487642E-2</v>
      </c>
      <c r="BK200" s="150">
        <v>6.3047840251681017E-2</v>
      </c>
      <c r="BL200" s="150">
        <v>6.3997342223957615E-2</v>
      </c>
      <c r="BM200" s="150">
        <v>6.4948132739037059E-2</v>
      </c>
      <c r="BN200" s="150">
        <v>6.5899456835137316E-2</v>
      </c>
      <c r="BO200" s="150">
        <v>6.6850579512499911E-2</v>
      </c>
      <c r="BP200" s="114"/>
    </row>
    <row r="201" spans="1:81" x14ac:dyDescent="0.3">
      <c r="A201" s="388"/>
      <c r="D201" s="359"/>
      <c r="E201" s="115"/>
      <c r="F201" s="117" t="s">
        <v>404</v>
      </c>
      <c r="G201" s="122">
        <f t="shared" si="167"/>
        <v>5.0381099999999993E-3</v>
      </c>
      <c r="H201" s="122">
        <f t="shared" si="167"/>
        <v>5.0195217600000003E-3</v>
      </c>
      <c r="I201" s="122">
        <f t="shared" si="167"/>
        <v>6.7767875999999996E-3</v>
      </c>
      <c r="J201" s="122">
        <f t="shared" si="167"/>
        <v>5.3271899999999999E-3</v>
      </c>
      <c r="K201" s="122">
        <f t="shared" si="167"/>
        <v>6.2152200000000005E-3</v>
      </c>
      <c r="L201" s="123">
        <f t="shared" si="167"/>
        <v>6.2726201999999997E-3</v>
      </c>
      <c r="M201" s="123">
        <f t="shared" si="167"/>
        <v>5.9093100000000001E-3</v>
      </c>
      <c r="N201" s="123">
        <f t="shared" si="167"/>
        <v>6.5646899999999998E-3</v>
      </c>
      <c r="O201" s="123">
        <v>6.2166059999999995E-3</v>
      </c>
      <c r="P201" s="123">
        <v>6.4013895000000001E-3</v>
      </c>
      <c r="Q201" s="123">
        <v>7.4665801108800001E-3</v>
      </c>
      <c r="R201" s="123">
        <v>8.0476308000000003E-3</v>
      </c>
      <c r="S201" s="150">
        <v>9.3441182443182811E-3</v>
      </c>
      <c r="T201" s="150">
        <v>1.0216577179225672E-2</v>
      </c>
      <c r="U201" s="150">
        <v>1.1089036114133062E-2</v>
      </c>
      <c r="V201" s="150">
        <v>1.1961495049040453E-2</v>
      </c>
      <c r="W201" s="150">
        <v>1.2833953983947844E-2</v>
      </c>
      <c r="X201" s="150">
        <v>1.3706412918855236E-2</v>
      </c>
      <c r="Y201" s="150">
        <v>1.4578871853762627E-2</v>
      </c>
      <c r="Z201" s="150">
        <v>1.5451330788670017E-2</v>
      </c>
      <c r="AA201" s="150">
        <v>1.6323789723577408E-2</v>
      </c>
      <c r="AB201" s="150">
        <v>1.7196248658484799E-2</v>
      </c>
      <c r="AC201" s="150">
        <v>1.8068707593392189E-2</v>
      </c>
      <c r="AD201" s="150">
        <v>1.894116652829958E-2</v>
      </c>
      <c r="AE201" s="150">
        <v>1.9813625463206971E-2</v>
      </c>
      <c r="AF201" s="150">
        <v>2.0686084398114361E-2</v>
      </c>
      <c r="AG201" s="150">
        <v>2.0775846024242647E-2</v>
      </c>
      <c r="AH201" s="150">
        <v>2.1444909735825191E-2</v>
      </c>
      <c r="AI201" s="150">
        <v>2.2037264375804222E-2</v>
      </c>
      <c r="AJ201" s="150">
        <v>2.2596553587718008E-2</v>
      </c>
      <c r="AK201" s="150">
        <v>2.3061612055059456E-2</v>
      </c>
      <c r="AL201" s="150">
        <v>2.3543159177237285E-2</v>
      </c>
      <c r="AM201" s="150">
        <v>2.4113338165448063E-2</v>
      </c>
      <c r="AN201" s="150">
        <v>2.4545720157943086E-2</v>
      </c>
      <c r="AO201" s="150">
        <v>2.5076127351218915E-2</v>
      </c>
      <c r="AP201" s="150">
        <v>2.553224426119886E-2</v>
      </c>
      <c r="AQ201" s="150">
        <v>2.611451276139011E-2</v>
      </c>
      <c r="AR201" s="150">
        <v>2.6604178552010062E-2</v>
      </c>
      <c r="AS201" s="150">
        <v>2.708089623847636E-2</v>
      </c>
      <c r="AT201" s="150">
        <v>2.7572800178580319E-2</v>
      </c>
      <c r="AU201" s="150">
        <v>2.80695112891064E-2</v>
      </c>
      <c r="AV201" s="150">
        <v>2.8635539393199391E-2</v>
      </c>
      <c r="AW201" s="150">
        <v>2.9151736492537574E-2</v>
      </c>
      <c r="AX201" s="150">
        <v>2.966662220781351E-2</v>
      </c>
      <c r="AY201" s="150">
        <v>3.0197982710591577E-2</v>
      </c>
      <c r="AZ201" s="150">
        <v>3.0734722138338791E-2</v>
      </c>
      <c r="BA201" s="150">
        <v>3.1286541312747156E-2</v>
      </c>
      <c r="BB201" s="150">
        <v>3.1820958095377667E-2</v>
      </c>
      <c r="BC201" s="150">
        <v>3.2360270379625328E-2</v>
      </c>
      <c r="BD201" s="150">
        <v>3.2904564616789977E-2</v>
      </c>
      <c r="BE201" s="150">
        <v>3.3451391121992739E-2</v>
      </c>
      <c r="BF201" s="150">
        <v>3.399836783564579E-2</v>
      </c>
      <c r="BG201" s="150">
        <v>3.4546866102214781E-2</v>
      </c>
      <c r="BH201" s="150">
        <v>3.5097451435664957E-2</v>
      </c>
      <c r="BI201" s="150">
        <v>3.5650254337078156E-2</v>
      </c>
      <c r="BJ201" s="150">
        <v>3.6203681347712867E-2</v>
      </c>
      <c r="BK201" s="150">
        <v>3.6757573662676242E-2</v>
      </c>
      <c r="BL201" s="150">
        <v>3.731114359543667E-2</v>
      </c>
      <c r="BM201" s="150">
        <v>3.7865464762605827E-2</v>
      </c>
      <c r="BN201" s="150">
        <v>3.8420097013288697E-2</v>
      </c>
      <c r="BO201" s="150">
        <v>3.8974611834666183E-2</v>
      </c>
      <c r="BP201" s="114"/>
    </row>
    <row r="202" spans="1:81" x14ac:dyDescent="0.3">
      <c r="A202" s="388"/>
      <c r="D202" s="359"/>
      <c r="E202" s="115"/>
      <c r="F202" s="117" t="s">
        <v>405</v>
      </c>
      <c r="G202" s="122">
        <f t="shared" si="167"/>
        <v>5.3315203590000006E-2</v>
      </c>
      <c r="H202" s="122">
        <f t="shared" si="167"/>
        <v>6.333227999999998E-3</v>
      </c>
      <c r="I202" s="122">
        <f t="shared" si="167"/>
        <v>2.2599561600000003E-3</v>
      </c>
      <c r="J202" s="122">
        <f t="shared" si="167"/>
        <v>5.1322490999999989E-4</v>
      </c>
      <c r="K202" s="122">
        <f t="shared" si="167"/>
        <v>1.3330548000000002E-4</v>
      </c>
      <c r="L202" s="123">
        <f t="shared" si="167"/>
        <v>2.0031659999999993E-4</v>
      </c>
      <c r="M202" s="123">
        <f t="shared" si="167"/>
        <v>4.7968073999999988E-4</v>
      </c>
      <c r="N202" s="123">
        <f t="shared" si="167"/>
        <v>3.3675006816000002E-4</v>
      </c>
      <c r="O202" s="123">
        <v>1.75655217375E-3</v>
      </c>
      <c r="P202" s="123">
        <v>3.0912361919999999E-4</v>
      </c>
      <c r="Q202" s="123">
        <v>2.8502965556999999E-4</v>
      </c>
      <c r="R202" s="123">
        <v>3.5763463197E-4</v>
      </c>
      <c r="S202" s="150">
        <v>4.1525019877787273E-4</v>
      </c>
      <c r="T202" s="150">
        <v>4.5402204826362985E-4</v>
      </c>
      <c r="U202" s="150">
        <v>4.9279389774938692E-4</v>
      </c>
      <c r="V202" s="150">
        <v>5.31565747235144E-4</v>
      </c>
      <c r="W202" s="150">
        <v>5.7033759672090118E-4</v>
      </c>
      <c r="X202" s="150">
        <v>6.0910944620665825E-4</v>
      </c>
      <c r="Y202" s="150">
        <v>6.4788129569241532E-4</v>
      </c>
      <c r="Z202" s="150">
        <v>6.8665314517817239E-4</v>
      </c>
      <c r="AA202" s="150">
        <v>7.2542499466392958E-4</v>
      </c>
      <c r="AB202" s="150">
        <v>7.6419684414968676E-4</v>
      </c>
      <c r="AC202" s="150">
        <v>8.0296869363544383E-4</v>
      </c>
      <c r="AD202" s="150">
        <v>8.417405431212009E-4</v>
      </c>
      <c r="AE202" s="150">
        <v>8.8051239260695797E-4</v>
      </c>
      <c r="AF202" s="150">
        <v>9.1928424209271515E-4</v>
      </c>
      <c r="AG202" s="150">
        <v>9.2327322554923972E-4</v>
      </c>
      <c r="AH202" s="150">
        <v>9.5300624389997037E-4</v>
      </c>
      <c r="AI202" s="150">
        <v>9.7933033094241046E-4</v>
      </c>
      <c r="AJ202" s="150">
        <v>1.0041849989109732E-3</v>
      </c>
      <c r="AK202" s="150">
        <v>1.0248520769548853E-3</v>
      </c>
      <c r="AL202" s="150">
        <v>1.0462519065564471E-3</v>
      </c>
      <c r="AM202" s="150">
        <v>1.0715905133680057E-3</v>
      </c>
      <c r="AN202" s="150">
        <v>1.0908054573185175E-3</v>
      </c>
      <c r="AO202" s="150">
        <v>1.114376615846496E-3</v>
      </c>
      <c r="AP202" s="150">
        <v>1.134646333393177E-3</v>
      </c>
      <c r="AQ202" s="150">
        <v>1.1605221949913037E-3</v>
      </c>
      <c r="AR202" s="150">
        <v>1.1822828161192841E-3</v>
      </c>
      <c r="AS202" s="150">
        <v>1.2034680268465164E-3</v>
      </c>
      <c r="AT202" s="150">
        <v>1.225328110758874E-3</v>
      </c>
      <c r="AU202" s="150">
        <v>1.2474018240818566E-3</v>
      </c>
      <c r="AV202" s="150">
        <v>1.2725559666764664E-3</v>
      </c>
      <c r="AW202" s="150">
        <v>1.2954956323039941E-3</v>
      </c>
      <c r="AX202" s="150">
        <v>1.3183770203628647E-3</v>
      </c>
      <c r="AY202" s="150">
        <v>1.3419905437186365E-3</v>
      </c>
      <c r="AZ202" s="150">
        <v>1.3658431051092712E-3</v>
      </c>
      <c r="BA202" s="150">
        <v>1.3903658065425335E-3</v>
      </c>
      <c r="BB202" s="150">
        <v>1.4141151501847213E-3</v>
      </c>
      <c r="BC202" s="150">
        <v>1.4380820486530024E-3</v>
      </c>
      <c r="BD202" s="150">
        <v>1.462270343820789E-3</v>
      </c>
      <c r="BE202" s="150">
        <v>1.4865711723254505E-3</v>
      </c>
      <c r="BF202" s="150">
        <v>1.510878676054805E-3</v>
      </c>
      <c r="BG202" s="150">
        <v>1.535253797202334E-3</v>
      </c>
      <c r="BH202" s="150">
        <v>1.5597216670624342E-3</v>
      </c>
      <c r="BI202" s="150">
        <v>1.5842880850694405E-3</v>
      </c>
      <c r="BJ202" s="150">
        <v>1.6088822383288821E-3</v>
      </c>
      <c r="BK202" s="150">
        <v>1.6334970695923812E-3</v>
      </c>
      <c r="BL202" s="150">
        <v>1.6580975742741359E-3</v>
      </c>
      <c r="BM202" s="150">
        <v>1.6827314636187766E-3</v>
      </c>
      <c r="BN202" s="150">
        <v>1.7073791774343337E-3</v>
      </c>
      <c r="BO202" s="150">
        <v>1.7320216727219216E-3</v>
      </c>
      <c r="BP202" s="114"/>
    </row>
    <row r="203" spans="1:81" x14ac:dyDescent="0.3">
      <c r="A203" s="388"/>
      <c r="D203" s="359"/>
      <c r="E203" s="115"/>
      <c r="F203" s="117" t="s">
        <v>406</v>
      </c>
      <c r="G203" s="122">
        <v>3.0000000000000001E-6</v>
      </c>
      <c r="H203" s="122">
        <v>3.0000000000000001E-6</v>
      </c>
      <c r="I203" s="122">
        <v>5.0000000000000004E-6</v>
      </c>
      <c r="J203" s="122">
        <v>3.9999999999999998E-6</v>
      </c>
      <c r="K203" s="122">
        <v>9.0000000000000002E-6</v>
      </c>
      <c r="L203" s="123">
        <v>0</v>
      </c>
      <c r="M203" s="123">
        <v>9.9999999999999995E-7</v>
      </c>
      <c r="N203" s="123">
        <v>0</v>
      </c>
      <c r="O203" s="123">
        <v>1.0000000000000001E-5</v>
      </c>
      <c r="P203" s="123">
        <v>6.4999999999999994E-5</v>
      </c>
      <c r="Q203" s="123">
        <v>1.5999999999999999E-5</v>
      </c>
      <c r="R203" s="123">
        <v>4.3000000000000002E-5</v>
      </c>
      <c r="S203" s="150">
        <v>4.9927375458835177E-5</v>
      </c>
      <c r="T203" s="150">
        <v>5.4589087102095178E-5</v>
      </c>
      <c r="U203" s="150">
        <v>5.925079874535518E-5</v>
      </c>
      <c r="V203" s="150">
        <v>6.3912510388615181E-5</v>
      </c>
      <c r="W203" s="150">
        <v>6.8574222031875183E-5</v>
      </c>
      <c r="X203" s="150">
        <v>7.3235933675135198E-5</v>
      </c>
      <c r="Y203" s="150">
        <v>7.78976453183952E-5</v>
      </c>
      <c r="Z203" s="150">
        <v>8.2559356961655201E-5</v>
      </c>
      <c r="AA203" s="150">
        <v>8.7221068604915203E-5</v>
      </c>
      <c r="AB203" s="150">
        <v>9.1882780248175205E-5</v>
      </c>
      <c r="AC203" s="150">
        <v>9.654449189143522E-5</v>
      </c>
      <c r="AD203" s="150">
        <v>1.0120620353469521E-4</v>
      </c>
      <c r="AE203" s="150">
        <v>1.0586791517795522E-4</v>
      </c>
      <c r="AF203" s="150">
        <v>1.1052962682121522E-4</v>
      </c>
      <c r="AG203" s="150">
        <v>1.1100924001663122E-4</v>
      </c>
      <c r="AH203" s="150">
        <v>1.1458417285252243E-4</v>
      </c>
      <c r="AI203" s="150">
        <v>1.1774923473869871E-4</v>
      </c>
      <c r="AJ203" s="150">
        <v>1.2073762184416742E-4</v>
      </c>
      <c r="AK203" s="150">
        <v>1.2322251641657777E-4</v>
      </c>
      <c r="AL203" s="150">
        <v>1.2579551296279688E-4</v>
      </c>
      <c r="AM203" s="150">
        <v>1.2884208618445405E-4</v>
      </c>
      <c r="AN203" s="150">
        <v>1.3115238422611942E-4</v>
      </c>
      <c r="AO203" s="150">
        <v>1.3398644929168638E-4</v>
      </c>
      <c r="AP203" s="150">
        <v>1.3642356744690014E-4</v>
      </c>
      <c r="AQ203" s="150">
        <v>1.3953473719740904E-4</v>
      </c>
      <c r="AR203" s="150">
        <v>1.4215111331106699E-4</v>
      </c>
      <c r="AS203" s="150">
        <v>1.4469830527693734E-4</v>
      </c>
      <c r="AT203" s="150">
        <v>1.4732664024285928E-4</v>
      </c>
      <c r="AU203" s="150">
        <v>1.4998066082151472E-4</v>
      </c>
      <c r="AV203" s="150">
        <v>1.5300505509119203E-4</v>
      </c>
      <c r="AW203" s="150">
        <v>1.5576319296097874E-4</v>
      </c>
      <c r="AX203" s="150">
        <v>1.5851432385988445E-4</v>
      </c>
      <c r="AY203" s="150">
        <v>1.6135348263683242E-4</v>
      </c>
      <c r="AZ203" s="150">
        <v>1.6422138201824168E-4</v>
      </c>
      <c r="BA203" s="150">
        <v>1.6716985531296089E-4</v>
      </c>
      <c r="BB203" s="150">
        <v>1.7002534436610087E-4</v>
      </c>
      <c r="BC203" s="150">
        <v>1.7290699100210827E-4</v>
      </c>
      <c r="BD203" s="150">
        <v>1.7581525714648456E-4</v>
      </c>
      <c r="BE203" s="150">
        <v>1.7873705367369588E-4</v>
      </c>
      <c r="BF203" s="150">
        <v>1.8165965279281566E-4</v>
      </c>
      <c r="BG203" s="150">
        <v>1.8459038185440069E-4</v>
      </c>
      <c r="BH203" s="150">
        <v>1.8753226250558036E-4</v>
      </c>
      <c r="BI203" s="150">
        <v>1.9048599203809913E-4</v>
      </c>
      <c r="BJ203" s="150">
        <v>1.9344305630318603E-4</v>
      </c>
      <c r="BK203" s="150">
        <v>1.9640260677652844E-4</v>
      </c>
      <c r="BL203" s="150">
        <v>1.9936043470132571E-4</v>
      </c>
      <c r="BM203" s="150">
        <v>2.0232227661239771E-4</v>
      </c>
      <c r="BN203" s="150">
        <v>2.0528578070100022E-4</v>
      </c>
      <c r="BO203" s="150">
        <v>2.0824865734281038E-4</v>
      </c>
      <c r="BP203" s="114"/>
    </row>
    <row r="204" spans="1:81" x14ac:dyDescent="0.3">
      <c r="A204" s="355"/>
      <c r="B204" s="355"/>
      <c r="C204" s="355"/>
      <c r="D204" s="128"/>
      <c r="E204" s="129"/>
      <c r="F204" s="111" t="s">
        <v>545</v>
      </c>
      <c r="G204" s="130"/>
      <c r="H204" s="130"/>
      <c r="I204" s="130"/>
      <c r="J204" s="130"/>
      <c r="K204" s="130"/>
      <c r="L204" s="131"/>
      <c r="M204" s="131"/>
      <c r="N204" s="131"/>
      <c r="O204" s="131">
        <f t="shared" ref="O204:BO204" si="168">SUM(O190:O203)</f>
        <v>1.2537675051253399</v>
      </c>
      <c r="P204" s="131">
        <f t="shared" si="168"/>
        <v>1.3081233212734358</v>
      </c>
      <c r="Q204" s="131">
        <f t="shared" si="168"/>
        <v>1.4002071376545699</v>
      </c>
      <c r="R204" s="131">
        <f t="shared" si="168"/>
        <v>1.6839062303413503</v>
      </c>
      <c r="S204" s="131">
        <f t="shared" si="168"/>
        <v>1.9551864790633577</v>
      </c>
      <c r="T204" s="131">
        <f t="shared" si="168"/>
        <v>2.1355240322224192</v>
      </c>
      <c r="U204" s="131">
        <f t="shared" si="168"/>
        <v>2.3158615853814806</v>
      </c>
      <c r="V204" s="131">
        <f t="shared" si="168"/>
        <v>2.496199138540542</v>
      </c>
      <c r="W204" s="131">
        <f t="shared" si="168"/>
        <v>2.6765366916996038</v>
      </c>
      <c r="X204" s="131">
        <f t="shared" si="168"/>
        <v>2.8568742448586648</v>
      </c>
      <c r="Y204" s="131">
        <f t="shared" si="168"/>
        <v>3.0372117980177262</v>
      </c>
      <c r="Z204" s="131">
        <f t="shared" si="168"/>
        <v>3.2175493511767876</v>
      </c>
      <c r="AA204" s="131">
        <f t="shared" si="168"/>
        <v>3.3978869043358495</v>
      </c>
      <c r="AB204" s="131">
        <f t="shared" si="168"/>
        <v>3.5782244574949109</v>
      </c>
      <c r="AC204" s="131">
        <f t="shared" si="168"/>
        <v>3.7585620106539719</v>
      </c>
      <c r="AD204" s="131">
        <f t="shared" si="168"/>
        <v>3.9388995638130333</v>
      </c>
      <c r="AE204" s="131">
        <f t="shared" si="168"/>
        <v>4.1192371169720952</v>
      </c>
      <c r="AF204" s="131">
        <f t="shared" si="168"/>
        <v>4.2995746701311566</v>
      </c>
      <c r="AG204" s="131">
        <f t="shared" si="168"/>
        <v>4.3203903174972647</v>
      </c>
      <c r="AH204" s="131">
        <f t="shared" si="168"/>
        <v>4.4602708089232879</v>
      </c>
      <c r="AI204" s="131">
        <f t="shared" si="168"/>
        <v>4.5847692037502235</v>
      </c>
      <c r="AJ204" s="131">
        <f t="shared" si="168"/>
        <v>4.7028517928369382</v>
      </c>
      <c r="AK204" s="131">
        <f t="shared" si="168"/>
        <v>4.8019580060206275</v>
      </c>
      <c r="AL204" s="131">
        <f t="shared" si="168"/>
        <v>4.9048607589908482</v>
      </c>
      <c r="AM204" s="131">
        <f t="shared" si="168"/>
        <v>5.0264625842056061</v>
      </c>
      <c r="AN204" s="131">
        <f t="shared" si="168"/>
        <v>5.120168415264434</v>
      </c>
      <c r="AO204" s="131">
        <f t="shared" si="168"/>
        <v>5.2346051258614832</v>
      </c>
      <c r="AP204" s="131">
        <f t="shared" si="168"/>
        <v>5.3342789172377971</v>
      </c>
      <c r="AQ204" s="131">
        <f t="shared" si="168"/>
        <v>5.4606439833393008</v>
      </c>
      <c r="AR204" s="131">
        <f t="shared" si="168"/>
        <v>5.5685449070753368</v>
      </c>
      <c r="AS204" s="131">
        <f t="shared" si="168"/>
        <v>5.6744834937685775</v>
      </c>
      <c r="AT204" s="131">
        <f t="shared" si="168"/>
        <v>5.7843501045915042</v>
      </c>
      <c r="AU204" s="131">
        <f t="shared" si="168"/>
        <v>5.8960643040249954</v>
      </c>
      <c r="AV204" s="131">
        <f t="shared" si="168"/>
        <v>6.0231365487987318</v>
      </c>
      <c r="AW204" s="131">
        <f t="shared" si="168"/>
        <v>6.1408585383668948</v>
      </c>
      <c r="AX204" s="131">
        <f t="shared" si="168"/>
        <v>6.259401872239021</v>
      </c>
      <c r="AY204" s="131">
        <f t="shared" si="168"/>
        <v>6.3825798140206063</v>
      </c>
      <c r="AZ204" s="131">
        <f t="shared" si="168"/>
        <v>6.508182811977548</v>
      </c>
      <c r="BA204" s="131">
        <f t="shared" si="168"/>
        <v>6.6383652004396749</v>
      </c>
      <c r="BB204" s="131">
        <f t="shared" si="168"/>
        <v>6.7664181824602148</v>
      </c>
      <c r="BC204" s="131">
        <f t="shared" si="168"/>
        <v>6.8971530314185783</v>
      </c>
      <c r="BD204" s="131">
        <f t="shared" si="168"/>
        <v>7.0307314618336951</v>
      </c>
      <c r="BE204" s="131">
        <f t="shared" si="168"/>
        <v>7.1667884863255891</v>
      </c>
      <c r="BF204" s="131">
        <f t="shared" si="168"/>
        <v>7.3049802020030645</v>
      </c>
      <c r="BG204" s="131">
        <f t="shared" si="168"/>
        <v>7.4457721386272375</v>
      </c>
      <c r="BH204" s="131">
        <f t="shared" si="168"/>
        <v>7.5894747985887605</v>
      </c>
      <c r="BI204" s="131">
        <f t="shared" si="168"/>
        <v>7.7363221256302861</v>
      </c>
      <c r="BJ204" s="131">
        <f t="shared" si="168"/>
        <v>7.8861925027380124</v>
      </c>
      <c r="BK204" s="131">
        <f t="shared" si="168"/>
        <v>8.0392881662110387</v>
      </c>
      <c r="BL204" s="131">
        <f t="shared" si="168"/>
        <v>8.1956925649713064</v>
      </c>
      <c r="BM204" s="131">
        <f t="shared" si="168"/>
        <v>8.3559141820490854</v>
      </c>
      <c r="BN204" s="131">
        <f t="shared" si="168"/>
        <v>8.5201545608028084</v>
      </c>
      <c r="BO204" s="131">
        <f t="shared" si="168"/>
        <v>8.6886396161717609</v>
      </c>
      <c r="BP204" s="132"/>
      <c r="BQ204" s="13"/>
      <c r="BR204" s="13"/>
      <c r="BS204" s="13"/>
      <c r="BT204" s="13"/>
      <c r="BU204" s="13"/>
      <c r="BV204" s="13"/>
      <c r="BW204" s="13"/>
      <c r="BX204" s="13"/>
      <c r="BY204" s="13"/>
      <c r="BZ204" s="13"/>
      <c r="CA204" s="13"/>
      <c r="CB204" s="13"/>
      <c r="CC204" s="13"/>
    </row>
    <row r="205" spans="1:81" x14ac:dyDescent="0.3">
      <c r="A205" s="354"/>
      <c r="B205" s="354"/>
      <c r="C205" s="354"/>
      <c r="D205" s="359"/>
      <c r="E205" s="115"/>
      <c r="F205" s="133"/>
      <c r="G205" s="133"/>
      <c r="H205" s="133"/>
      <c r="I205" s="133"/>
      <c r="J205" s="133"/>
      <c r="K205" s="133"/>
      <c r="L205" s="134"/>
      <c r="M205" s="134"/>
      <c r="N205" s="134"/>
      <c r="O205" s="134"/>
      <c r="P205" s="134"/>
      <c r="Q205" s="134"/>
      <c r="R205" s="134"/>
      <c r="S205" s="134"/>
      <c r="T205" s="134"/>
      <c r="U205" s="134"/>
      <c r="V205" s="134"/>
      <c r="W205" s="134"/>
      <c r="X205" s="134"/>
      <c r="Y205" s="134"/>
      <c r="Z205" s="134"/>
      <c r="AA205" s="134"/>
      <c r="AB205" s="134"/>
      <c r="AC205" s="134"/>
      <c r="AD205" s="134"/>
      <c r="AE205" s="134"/>
      <c r="AF205" s="134"/>
      <c r="AG205" s="134"/>
      <c r="AH205" s="134"/>
      <c r="AI205" s="134"/>
      <c r="AJ205" s="134"/>
      <c r="AK205" s="134"/>
      <c r="AL205" s="134"/>
      <c r="AM205" s="134"/>
      <c r="AN205" s="134"/>
      <c r="AO205" s="134"/>
      <c r="AP205" s="134"/>
      <c r="AQ205" s="134"/>
      <c r="AR205" s="134"/>
      <c r="AS205" s="134"/>
      <c r="AT205" s="134"/>
      <c r="AU205" s="134"/>
      <c r="AV205" s="134"/>
      <c r="AW205" s="134"/>
      <c r="AX205" s="134"/>
      <c r="AY205" s="134"/>
      <c r="AZ205" s="134"/>
      <c r="BA205" s="134"/>
      <c r="BB205" s="134"/>
      <c r="BC205" s="134"/>
      <c r="BD205" s="134"/>
      <c r="BE205" s="134"/>
      <c r="BF205" s="134"/>
      <c r="BG205" s="134"/>
      <c r="BH205" s="134"/>
      <c r="BI205" s="134"/>
      <c r="BJ205" s="134"/>
      <c r="BK205" s="134"/>
      <c r="BL205" s="134"/>
      <c r="BM205" s="134"/>
      <c r="BN205" s="134"/>
      <c r="BO205" s="134"/>
      <c r="BP205" s="114"/>
    </row>
    <row r="206" spans="1:81" ht="15.6" x14ac:dyDescent="0.3">
      <c r="A206" s="354"/>
      <c r="B206" s="354"/>
      <c r="C206" s="354"/>
      <c r="D206" s="359"/>
      <c r="E206" s="109"/>
      <c r="F206" s="110" t="s">
        <v>552</v>
      </c>
      <c r="G206" s="111"/>
      <c r="H206" s="111"/>
      <c r="I206" s="111"/>
      <c r="J206" s="111"/>
      <c r="K206" s="111"/>
      <c r="L206" s="112"/>
      <c r="M206" s="113"/>
      <c r="N206" s="113"/>
      <c r="O206" s="113"/>
      <c r="P206" s="113"/>
      <c r="Q206" s="113"/>
      <c r="R206" s="113"/>
      <c r="S206" s="113"/>
      <c r="T206" s="113"/>
      <c r="U206" s="113"/>
      <c r="V206" s="113"/>
      <c r="W206" s="113"/>
      <c r="X206" s="113"/>
      <c r="Y206" s="113"/>
      <c r="Z206" s="113"/>
      <c r="AA206" s="113"/>
      <c r="AB206" s="113"/>
      <c r="AC206" s="113"/>
      <c r="AD206" s="113"/>
      <c r="AE206" s="113"/>
      <c r="AF206" s="113"/>
      <c r="AG206" s="113"/>
      <c r="AH206" s="113"/>
      <c r="AI206" s="113"/>
      <c r="AJ206" s="113"/>
      <c r="AK206" s="113"/>
      <c r="AL206" s="113"/>
      <c r="AM206" s="113"/>
      <c r="AN206" s="113"/>
      <c r="AO206" s="113"/>
      <c r="AP206" s="113"/>
      <c r="AQ206" s="113"/>
      <c r="AR206" s="113"/>
      <c r="AS206" s="113"/>
      <c r="AT206" s="113"/>
      <c r="AU206" s="113"/>
      <c r="AV206" s="113"/>
      <c r="AW206" s="113"/>
      <c r="AX206" s="113"/>
      <c r="AY206" s="113"/>
      <c r="AZ206" s="113"/>
      <c r="BA206" s="113"/>
      <c r="BB206" s="113"/>
      <c r="BC206" s="113"/>
      <c r="BD206" s="113"/>
      <c r="BE206" s="113"/>
      <c r="BF206" s="113"/>
      <c r="BG206" s="113"/>
      <c r="BH206" s="113"/>
      <c r="BI206" s="113"/>
      <c r="BJ206" s="113"/>
      <c r="BK206" s="113"/>
      <c r="BL206" s="113"/>
      <c r="BM206" s="113"/>
      <c r="BN206" s="113"/>
      <c r="BO206" s="113"/>
      <c r="BP206" s="114"/>
    </row>
    <row r="207" spans="1:81" ht="15.6" x14ac:dyDescent="0.3">
      <c r="A207" s="354"/>
      <c r="B207" s="354"/>
      <c r="C207" s="354"/>
      <c r="D207" s="359"/>
      <c r="E207" s="115"/>
      <c r="F207" s="116" t="s">
        <v>553</v>
      </c>
      <c r="G207" s="111"/>
      <c r="H207" s="111"/>
      <c r="I207" s="111"/>
      <c r="J207" s="111"/>
      <c r="K207" s="111"/>
      <c r="L207" s="112"/>
      <c r="M207" s="113"/>
      <c r="N207" s="113"/>
      <c r="O207" s="113"/>
      <c r="P207" s="113"/>
      <c r="Q207" s="113"/>
      <c r="R207" s="113"/>
      <c r="S207" s="113"/>
      <c r="T207" s="113"/>
      <c r="U207" s="113"/>
      <c r="V207" s="113"/>
      <c r="W207" s="113"/>
      <c r="X207" s="113"/>
      <c r="Y207" s="113"/>
      <c r="Z207" s="113"/>
      <c r="AA207" s="113"/>
      <c r="AB207" s="113"/>
      <c r="AC207" s="113"/>
      <c r="AD207" s="113"/>
      <c r="AE207" s="113"/>
      <c r="AF207" s="113"/>
      <c r="AG207" s="113"/>
      <c r="AH207" s="113"/>
      <c r="AI207" s="113"/>
      <c r="AJ207" s="113"/>
      <c r="AK207" s="113"/>
      <c r="AL207" s="113"/>
      <c r="AM207" s="113"/>
      <c r="AN207" s="113"/>
      <c r="AO207" s="113"/>
      <c r="AP207" s="113"/>
      <c r="AQ207" s="113"/>
      <c r="AR207" s="113"/>
      <c r="AS207" s="113"/>
      <c r="AT207" s="113"/>
      <c r="AU207" s="113"/>
      <c r="AV207" s="113"/>
      <c r="AW207" s="113"/>
      <c r="AX207" s="113"/>
      <c r="AY207" s="113"/>
      <c r="AZ207" s="113"/>
      <c r="BA207" s="113"/>
      <c r="BB207" s="113"/>
      <c r="BC207" s="113"/>
      <c r="BD207" s="113"/>
      <c r="BE207" s="113"/>
      <c r="BF207" s="113"/>
      <c r="BG207" s="113"/>
      <c r="BH207" s="113"/>
      <c r="BI207" s="113"/>
      <c r="BJ207" s="113"/>
      <c r="BK207" s="113"/>
      <c r="BL207" s="113"/>
      <c r="BM207" s="113"/>
      <c r="BN207" s="113"/>
      <c r="BO207" s="113"/>
      <c r="BP207" s="114"/>
    </row>
    <row r="208" spans="1:81" x14ac:dyDescent="0.3">
      <c r="A208" s="395" t="s">
        <v>554</v>
      </c>
      <c r="B208" s="361"/>
      <c r="C208" s="361"/>
      <c r="D208" s="359" t="s">
        <v>525</v>
      </c>
      <c r="E208" s="115"/>
      <c r="F208" s="117" t="s">
        <v>393</v>
      </c>
      <c r="G208" s="153">
        <f t="shared" ref="G208:AL208" si="169">G98+G190-G155</f>
        <v>3.0355418750299954</v>
      </c>
      <c r="H208" s="153">
        <f t="shared" si="169"/>
        <v>2.0898253236999977</v>
      </c>
      <c r="I208" s="153">
        <f t="shared" si="169"/>
        <v>2.0887378642099987</v>
      </c>
      <c r="J208" s="153">
        <f t="shared" si="169"/>
        <v>0.85220044646999593</v>
      </c>
      <c r="K208" s="153">
        <f t="shared" si="169"/>
        <v>1.24876423064</v>
      </c>
      <c r="L208" s="154">
        <f t="shared" si="169"/>
        <v>1.2151987671799986</v>
      </c>
      <c r="M208" s="154">
        <f t="shared" ref="M208:R208" si="170">M98+M190-M155</f>
        <v>0.65759655677000151</v>
      </c>
      <c r="N208" s="154">
        <f t="shared" si="170"/>
        <v>0.24781392254975998</v>
      </c>
      <c r="O208" s="154">
        <f t="shared" si="170"/>
        <v>6.4340652089819983E-2</v>
      </c>
      <c r="P208" s="154">
        <f t="shared" si="170"/>
        <v>0.16104310482325079</v>
      </c>
      <c r="Q208" s="154">
        <f t="shared" si="170"/>
        <v>4.5879808318369797E-2</v>
      </c>
      <c r="R208" s="154">
        <f t="shared" si="170"/>
        <v>0.12615682334746037</v>
      </c>
      <c r="S208" s="155">
        <f t="shared" si="169"/>
        <v>0.12099380420706041</v>
      </c>
      <c r="T208" s="155">
        <f t="shared" si="169"/>
        <v>0.60024386329620949</v>
      </c>
      <c r="U208" s="155">
        <f t="shared" si="169"/>
        <v>0.94331515642818431</v>
      </c>
      <c r="V208" s="155">
        <f t="shared" si="169"/>
        <v>0.89466247686261813</v>
      </c>
      <c r="W208" s="155">
        <f t="shared" si="169"/>
        <v>0.92982978720220988</v>
      </c>
      <c r="X208" s="155">
        <f t="shared" si="169"/>
        <v>0.96517292200065441</v>
      </c>
      <c r="Y208" s="155">
        <f t="shared" si="169"/>
        <v>1.0006927603802431</v>
      </c>
      <c r="Z208" s="155">
        <f t="shared" si="169"/>
        <v>1.0363901858588855</v>
      </c>
      <c r="AA208" s="155">
        <f t="shared" si="169"/>
        <v>1.0722660863720739</v>
      </c>
      <c r="AB208" s="155">
        <f t="shared" si="169"/>
        <v>1.1083213542949819</v>
      </c>
      <c r="AC208" s="155">
        <f t="shared" si="169"/>
        <v>1.1445568864646578</v>
      </c>
      <c r="AD208" s="155">
        <f t="shared" si="169"/>
        <v>1.180973584202337</v>
      </c>
      <c r="AE208" s="155">
        <f t="shared" si="169"/>
        <v>1.2175723533358571</v>
      </c>
      <c r="AF208" s="155">
        <f t="shared" si="169"/>
        <v>1.2543541042221991</v>
      </c>
      <c r="AG208" s="155">
        <f t="shared" si="169"/>
        <v>1.2913175820317244</v>
      </c>
      <c r="AH208" s="155">
        <f t="shared" si="169"/>
        <v>1.3284674818866185</v>
      </c>
      <c r="AI208" s="155">
        <f t="shared" si="169"/>
        <v>1.3658029093196413</v>
      </c>
      <c r="AJ208" s="155">
        <f t="shared" si="169"/>
        <v>1.4033249140177562</v>
      </c>
      <c r="AK208" s="155">
        <f t="shared" si="169"/>
        <v>1.4410342597674113</v>
      </c>
      <c r="AL208" s="155">
        <f t="shared" si="169"/>
        <v>1.4789321915084903</v>
      </c>
      <c r="AM208" s="155">
        <f t="shared" ref="AM208:BO208" si="171">AM98+AM190-AM155</f>
        <v>1.5170198519327434</v>
      </c>
      <c r="AN208" s="155">
        <f t="shared" si="171"/>
        <v>1.5552975607649326</v>
      </c>
      <c r="AO208" s="155">
        <f t="shared" si="171"/>
        <v>1.5937669238867516</v>
      </c>
      <c r="AP208" s="155">
        <f t="shared" si="171"/>
        <v>1.632428420530097</v>
      </c>
      <c r="AQ208" s="155">
        <f t="shared" si="171"/>
        <v>1.6712835680431439</v>
      </c>
      <c r="AR208" s="155">
        <f t="shared" si="171"/>
        <v>1.7103327265164223</v>
      </c>
      <c r="AS208" s="155">
        <f t="shared" si="171"/>
        <v>1.7495770881011588</v>
      </c>
      <c r="AT208" s="155">
        <f t="shared" si="171"/>
        <v>1.7890177069844659</v>
      </c>
      <c r="AU208" s="155">
        <f t="shared" si="171"/>
        <v>1.8286555354701814</v>
      </c>
      <c r="AV208" s="155">
        <f t="shared" si="171"/>
        <v>1.8684917383692801</v>
      </c>
      <c r="AW208" s="155">
        <f t="shared" si="171"/>
        <v>1.9085269762993518</v>
      </c>
      <c r="AX208" s="155">
        <f t="shared" si="171"/>
        <v>1.9487623796289233</v>
      </c>
      <c r="AY208" s="155">
        <f t="shared" si="171"/>
        <v>1.9891989985087379</v>
      </c>
      <c r="AZ208" s="155">
        <f t="shared" si="171"/>
        <v>2.0298378080290282</v>
      </c>
      <c r="BA208" s="155">
        <f t="shared" si="171"/>
        <v>2.0706798459603748</v>
      </c>
      <c r="BB208" s="155">
        <f t="shared" si="171"/>
        <v>2.1117260381911214</v>
      </c>
      <c r="BC208" s="155">
        <f t="shared" si="171"/>
        <v>2.1529774675466262</v>
      </c>
      <c r="BD208" s="155">
        <f t="shared" si="171"/>
        <v>2.194435160384308</v>
      </c>
      <c r="BE208" s="155">
        <f t="shared" si="171"/>
        <v>2.2361001411616828</v>
      </c>
      <c r="BF208" s="155">
        <f t="shared" si="171"/>
        <v>2.2779734396799727</v>
      </c>
      <c r="BG208" s="155">
        <f t="shared" si="171"/>
        <v>2.3200561013273413</v>
      </c>
      <c r="BH208" s="155">
        <f t="shared" si="171"/>
        <v>2.3623491744660283</v>
      </c>
      <c r="BI208" s="155">
        <f t="shared" si="171"/>
        <v>2.4048537114863242</v>
      </c>
      <c r="BJ208" s="155">
        <f t="shared" si="171"/>
        <v>2.4475707652596261</v>
      </c>
      <c r="BK208" s="155">
        <f t="shared" si="171"/>
        <v>2.4905013979208226</v>
      </c>
      <c r="BL208" s="155">
        <f t="shared" si="171"/>
        <v>2.5336466751743307</v>
      </c>
      <c r="BM208" s="155">
        <f t="shared" si="171"/>
        <v>2.5770076732237905</v>
      </c>
      <c r="BN208" s="155">
        <f t="shared" si="171"/>
        <v>2.6205854694426085</v>
      </c>
      <c r="BO208" s="155">
        <f t="shared" si="171"/>
        <v>2.66438114662943</v>
      </c>
      <c r="BP208" s="114"/>
    </row>
    <row r="209" spans="1:68" x14ac:dyDescent="0.3">
      <c r="A209" s="388"/>
      <c r="D209" s="359" t="s">
        <v>525</v>
      </c>
      <c r="E209" s="115"/>
      <c r="F209" s="117" t="s">
        <v>394</v>
      </c>
      <c r="G209" s="156">
        <v>6.7048912000000002E-2</v>
      </c>
      <c r="H209" s="156">
        <v>7.2065723999999998E-2</v>
      </c>
      <c r="I209" s="156">
        <v>6.9083892000000008E-2</v>
      </c>
      <c r="J209" s="156">
        <v>7.0098996000000011E-2</v>
      </c>
      <c r="K209" s="157">
        <v>7.3109863999999997E-2</v>
      </c>
      <c r="L209" s="154">
        <f t="shared" ref="L209:R209" si="172">L99+L191-L156</f>
        <v>7.3274947487936087E-2</v>
      </c>
      <c r="M209" s="154">
        <f t="shared" si="172"/>
        <v>7.4100988637929396E-2</v>
      </c>
      <c r="N209" s="154">
        <f t="shared" si="172"/>
        <v>7.6680143226254299E-2</v>
      </c>
      <c r="O209" s="154">
        <f t="shared" si="172"/>
        <v>8.0857443540089502E-2</v>
      </c>
      <c r="P209" s="154">
        <f t="shared" si="172"/>
        <v>8.2512694285325872E-2</v>
      </c>
      <c r="Q209" s="154">
        <f t="shared" si="172"/>
        <v>8.4007297411843401E-2</v>
      </c>
      <c r="R209" s="154">
        <f t="shared" si="172"/>
        <v>8.7444753199804687E-2</v>
      </c>
      <c r="S209" s="155">
        <f t="shared" ref="S209:AQ209" si="173">S99+S191-S156</f>
        <v>0.12355608765109521</v>
      </c>
      <c r="T209" s="155">
        <f t="shared" si="173"/>
        <v>0.15579980255671827</v>
      </c>
      <c r="U209" s="155">
        <f t="shared" si="173"/>
        <v>0.14218490795545466</v>
      </c>
      <c r="V209" s="155">
        <f t="shared" si="173"/>
        <v>0.14958752058750924</v>
      </c>
      <c r="W209" s="155">
        <f t="shared" si="173"/>
        <v>0.17922294453858431</v>
      </c>
      <c r="X209" s="155">
        <f t="shared" si="173"/>
        <v>0.19659323592763758</v>
      </c>
      <c r="Y209" s="155">
        <f t="shared" si="173"/>
        <v>0.21509581710510223</v>
      </c>
      <c r="Z209" s="155">
        <f t="shared" si="173"/>
        <v>0.23302453887100957</v>
      </c>
      <c r="AA209" s="155">
        <f t="shared" si="173"/>
        <v>0.25337982524649993</v>
      </c>
      <c r="AB209" s="155">
        <f t="shared" si="173"/>
        <v>0.25563592256956069</v>
      </c>
      <c r="AC209" s="155">
        <f t="shared" si="173"/>
        <v>0.27386883109288174</v>
      </c>
      <c r="AD209" s="155">
        <f t="shared" si="173"/>
        <v>0.2947926843070478</v>
      </c>
      <c r="AE209" s="155">
        <f t="shared" si="173"/>
        <v>0.31320770280339055</v>
      </c>
      <c r="AF209" s="155">
        <f t="shared" si="173"/>
        <v>0.33186379413274825</v>
      </c>
      <c r="AG209" s="155">
        <f t="shared" si="173"/>
        <v>0.3468458278452527</v>
      </c>
      <c r="AH209" s="155">
        <f t="shared" si="173"/>
        <v>0.35047500194811132</v>
      </c>
      <c r="AI209" s="155">
        <f t="shared" si="173"/>
        <v>0.35446264279124173</v>
      </c>
      <c r="AJ209" s="155">
        <f t="shared" si="173"/>
        <v>0.35694415324268935</v>
      </c>
      <c r="AK209" s="155">
        <f t="shared" si="173"/>
        <v>0.35960112209219297</v>
      </c>
      <c r="AL209" s="155">
        <f t="shared" si="173"/>
        <v>0.36235139194361121</v>
      </c>
      <c r="AM209" s="155">
        <f t="shared" si="173"/>
        <v>0.36509957365923684</v>
      </c>
      <c r="AN209" s="155">
        <f t="shared" si="173"/>
        <v>0.36828718357681273</v>
      </c>
      <c r="AO209" s="155">
        <f t="shared" si="173"/>
        <v>0.37089157118262317</v>
      </c>
      <c r="AP209" s="155">
        <f t="shared" si="173"/>
        <v>0.37369090739106664</v>
      </c>
      <c r="AQ209" s="155">
        <f t="shared" si="173"/>
        <v>0.37571280817125502</v>
      </c>
      <c r="AR209" s="155">
        <f t="shared" ref="AR209:BO209" si="174">AR99+AR191-AR156</f>
        <v>0.37817063897273012</v>
      </c>
      <c r="AS209" s="155">
        <f t="shared" si="174"/>
        <v>0.3806089121808387</v>
      </c>
      <c r="AT209" s="155">
        <f t="shared" si="174"/>
        <v>0.38288557059954981</v>
      </c>
      <c r="AU209" s="155">
        <f t="shared" si="174"/>
        <v>0.38505322124213215</v>
      </c>
      <c r="AV209" s="155">
        <f t="shared" si="174"/>
        <v>0.38678645342533163</v>
      </c>
      <c r="AW209" s="155">
        <f t="shared" si="174"/>
        <v>0.38864797409512442</v>
      </c>
      <c r="AX209" s="155">
        <f t="shared" si="174"/>
        <v>0.39039512264452902</v>
      </c>
      <c r="AY209" s="155">
        <f t="shared" si="174"/>
        <v>0.39196790623576988</v>
      </c>
      <c r="AZ209" s="155">
        <f t="shared" si="174"/>
        <v>0.39341247202563445</v>
      </c>
      <c r="BA209" s="155">
        <f t="shared" si="174"/>
        <v>0.39466690546658251</v>
      </c>
      <c r="BB209" s="155">
        <f t="shared" si="174"/>
        <v>0.39589076783876137</v>
      </c>
      <c r="BC209" s="155">
        <f t="shared" si="174"/>
        <v>0.39696544101733017</v>
      </c>
      <c r="BD209" s="155">
        <f t="shared" si="174"/>
        <v>0.39788973188419979</v>
      </c>
      <c r="BE209" s="155">
        <f t="shared" si="174"/>
        <v>0.39867575774208497</v>
      </c>
      <c r="BF209" s="155">
        <f t="shared" si="174"/>
        <v>0.39933477246046589</v>
      </c>
      <c r="BG209" s="155">
        <f t="shared" si="174"/>
        <v>0.39985399929077037</v>
      </c>
      <c r="BH209" s="155">
        <f t="shared" si="174"/>
        <v>0.40022620847127927</v>
      </c>
      <c r="BI209" s="155">
        <f t="shared" si="174"/>
        <v>0.40044781017269832</v>
      </c>
      <c r="BJ209" s="155">
        <f t="shared" si="174"/>
        <v>0.40052498221597194</v>
      </c>
      <c r="BK209" s="155">
        <f t="shared" si="174"/>
        <v>0.40045623506617817</v>
      </c>
      <c r="BL209" s="155">
        <f t="shared" si="174"/>
        <v>0.40024365004294155</v>
      </c>
      <c r="BM209" s="155">
        <f t="shared" si="174"/>
        <v>0.39987848962392225</v>
      </c>
      <c r="BN209" s="155">
        <f t="shared" si="174"/>
        <v>0.39936027693211612</v>
      </c>
      <c r="BO209" s="155">
        <f t="shared" si="174"/>
        <v>0.39868885684040373</v>
      </c>
      <c r="BP209" s="114"/>
    </row>
    <row r="210" spans="1:68" x14ac:dyDescent="0.3">
      <c r="A210" s="388"/>
      <c r="D210" s="359" t="s">
        <v>525</v>
      </c>
      <c r="E210" s="115"/>
      <c r="F210" s="117" t="s">
        <v>395</v>
      </c>
      <c r="G210" s="156">
        <v>1.310904872E-2</v>
      </c>
      <c r="H210" s="156">
        <v>1.497646635E-2</v>
      </c>
      <c r="I210" s="156">
        <v>1.319282705E-2</v>
      </c>
      <c r="J210" s="156">
        <v>1.340853665E-2</v>
      </c>
      <c r="K210" s="157">
        <v>1.3623346099999999E-2</v>
      </c>
      <c r="L210" s="154">
        <f t="shared" ref="L210:R210" si="175">L100+L192-L157</f>
        <v>1.181703804369536E-2</v>
      </c>
      <c r="M210" s="154">
        <f t="shared" si="175"/>
        <v>1.1740167477728772E-2</v>
      </c>
      <c r="N210" s="154">
        <f t="shared" si="175"/>
        <v>1.1771677554897744E-2</v>
      </c>
      <c r="O210" s="154">
        <f t="shared" si="175"/>
        <v>1.3036462955000005E-2</v>
      </c>
      <c r="P210" s="154">
        <f t="shared" si="175"/>
        <v>1.1455800454000013E-2</v>
      </c>
      <c r="Q210" s="154">
        <f t="shared" si="175"/>
        <v>1.1833009661200012E-2</v>
      </c>
      <c r="R210" s="154">
        <f t="shared" si="175"/>
        <v>1.0036416577336411E-2</v>
      </c>
      <c r="S210" s="155">
        <f t="shared" ref="S210:AQ210" si="176">S100+S192-S157</f>
        <v>1.4577936494230691E-2</v>
      </c>
      <c r="T210" s="155">
        <f t="shared" si="176"/>
        <v>1.6152717498448512E-2</v>
      </c>
      <c r="U210" s="155">
        <f t="shared" si="176"/>
        <v>1.7839416652700467E-2</v>
      </c>
      <c r="V210" s="155">
        <f t="shared" si="176"/>
        <v>1.9877290121424557E-2</v>
      </c>
      <c r="W210" s="155">
        <f t="shared" si="176"/>
        <v>2.1494449780853103E-2</v>
      </c>
      <c r="X210" s="155">
        <f t="shared" si="176"/>
        <v>2.332857648821756E-2</v>
      </c>
      <c r="Y210" s="155">
        <f t="shared" si="176"/>
        <v>2.5143779618186278E-2</v>
      </c>
      <c r="Z210" s="155">
        <f t="shared" si="176"/>
        <v>2.6979295164410638E-2</v>
      </c>
      <c r="AA210" s="155">
        <f t="shared" si="176"/>
        <v>2.8765611404909366E-2</v>
      </c>
      <c r="AB210" s="155">
        <f t="shared" si="176"/>
        <v>3.1008604631582261E-2</v>
      </c>
      <c r="AC210" s="155">
        <f t="shared" si="176"/>
        <v>3.2869831050841458E-2</v>
      </c>
      <c r="AD210" s="155">
        <f t="shared" si="176"/>
        <v>3.4681016093650908E-2</v>
      </c>
      <c r="AE210" s="155">
        <f t="shared" si="176"/>
        <v>3.6557219237237773E-2</v>
      </c>
      <c r="AF210" s="155">
        <f t="shared" si="176"/>
        <v>3.8438303934876961E-2</v>
      </c>
      <c r="AG210" s="155">
        <f t="shared" si="176"/>
        <v>4.1058409214955842E-2</v>
      </c>
      <c r="AH210" s="155">
        <f t="shared" si="176"/>
        <v>4.5027845796247253E-2</v>
      </c>
      <c r="AI210" s="155">
        <f t="shared" si="176"/>
        <v>4.9224198686005846E-2</v>
      </c>
      <c r="AJ210" s="155">
        <f t="shared" si="176"/>
        <v>5.3656571423277427E-2</v>
      </c>
      <c r="AK210" s="155">
        <f t="shared" si="176"/>
        <v>5.8275171502849332E-2</v>
      </c>
      <c r="AL210" s="155">
        <f t="shared" si="176"/>
        <v>6.3345881026415654E-2</v>
      </c>
      <c r="AM210" s="155">
        <f t="shared" si="176"/>
        <v>6.910421442979392E-2</v>
      </c>
      <c r="AN210" s="155">
        <f t="shared" si="176"/>
        <v>7.4994512433484276E-2</v>
      </c>
      <c r="AO210" s="155">
        <f t="shared" si="176"/>
        <v>8.1669085111243905E-2</v>
      </c>
      <c r="AP210" s="155">
        <f t="shared" si="176"/>
        <v>8.8690546629275571E-2</v>
      </c>
      <c r="AQ210" s="155">
        <f t="shared" si="176"/>
        <v>9.6732299678168238E-2</v>
      </c>
      <c r="AR210" s="155">
        <f t="shared" ref="AR210:BO210" si="177">AR100+AR192-AR157</f>
        <v>0.1051521256753485</v>
      </c>
      <c r="AS210" s="155">
        <f t="shared" si="177"/>
        <v>0.11424270591450231</v>
      </c>
      <c r="AT210" s="155">
        <f t="shared" si="177"/>
        <v>0.12417021175779312</v>
      </c>
      <c r="AU210" s="155">
        <f t="shared" si="177"/>
        <v>0.13496595239825379</v>
      </c>
      <c r="AV210" s="155">
        <f t="shared" si="177"/>
        <v>0.14701567251131228</v>
      </c>
      <c r="AW210" s="155">
        <f t="shared" si="177"/>
        <v>0.15985082576521956</v>
      </c>
      <c r="AX210" s="155">
        <f t="shared" si="177"/>
        <v>0.17377159263335368</v>
      </c>
      <c r="AY210" s="155">
        <f t="shared" si="177"/>
        <v>0.18897394652467636</v>
      </c>
      <c r="AZ210" s="155">
        <f t="shared" si="177"/>
        <v>0.20550549629279799</v>
      </c>
      <c r="BA210" s="155">
        <f t="shared" si="177"/>
        <v>0.22354652061668945</v>
      </c>
      <c r="BB210" s="155">
        <f t="shared" si="177"/>
        <v>0.24299654863467676</v>
      </c>
      <c r="BC210" s="155">
        <f t="shared" si="177"/>
        <v>0.26413021241590867</v>
      </c>
      <c r="BD210" s="155">
        <f t="shared" si="177"/>
        <v>0.28709169602497719</v>
      </c>
      <c r="BE210" s="155">
        <f t="shared" si="177"/>
        <v>0.3120144586256704</v>
      </c>
      <c r="BF210" s="155">
        <f t="shared" si="177"/>
        <v>0.33903925098821946</v>
      </c>
      <c r="BG210" s="155">
        <f t="shared" si="177"/>
        <v>0.36835244690484925</v>
      </c>
      <c r="BH210" s="155">
        <f t="shared" si="177"/>
        <v>0.40014939663739474</v>
      </c>
      <c r="BI210" s="155">
        <f t="shared" si="177"/>
        <v>0.43463744941902904</v>
      </c>
      <c r="BJ210" s="155">
        <f t="shared" si="177"/>
        <v>0.47201915350194318</v>
      </c>
      <c r="BK210" s="155">
        <f t="shared" si="177"/>
        <v>0.51252902438458814</v>
      </c>
      <c r="BL210" s="155">
        <f t="shared" si="177"/>
        <v>0.55641074072978325</v>
      </c>
      <c r="BM210" s="155">
        <f t="shared" si="177"/>
        <v>0.6039543020237701</v>
      </c>
      <c r="BN210" s="155">
        <f t="shared" si="177"/>
        <v>0.65545074718296803</v>
      </c>
      <c r="BO210" s="155">
        <f t="shared" si="177"/>
        <v>0.71121313096451055</v>
      </c>
      <c r="BP210" s="114"/>
    </row>
    <row r="211" spans="1:68" x14ac:dyDescent="0.3">
      <c r="A211" s="388"/>
      <c r="D211" s="359"/>
      <c r="E211" s="115"/>
      <c r="F211" s="117" t="s">
        <v>396</v>
      </c>
      <c r="G211" s="153">
        <f t="shared" ref="G211:L213" si="178">G101+G193-G158</f>
        <v>8.3692369536899989</v>
      </c>
      <c r="H211" s="153">
        <f t="shared" si="178"/>
        <v>8.1712395644800004</v>
      </c>
      <c r="I211" s="153">
        <f t="shared" si="178"/>
        <v>7.4059731342199999</v>
      </c>
      <c r="J211" s="153">
        <f t="shared" si="178"/>
        <v>7.1484037951300001</v>
      </c>
      <c r="K211" s="153">
        <f t="shared" si="178"/>
        <v>8.2643146960299987</v>
      </c>
      <c r="L211" s="154">
        <f t="shared" si="178"/>
        <v>10.14730262438</v>
      </c>
      <c r="M211" s="154">
        <f t="shared" ref="M211:R211" si="179">M101+M193-M158</f>
        <v>8.6018827207499999</v>
      </c>
      <c r="N211" s="154">
        <f t="shared" si="179"/>
        <v>9.3564275053518404</v>
      </c>
      <c r="O211" s="154">
        <f t="shared" si="179"/>
        <v>7.8752339030052596</v>
      </c>
      <c r="P211" s="154">
        <f t="shared" si="179"/>
        <v>10.058060403835071</v>
      </c>
      <c r="Q211" s="154">
        <f t="shared" si="179"/>
        <v>11.383800597439361</v>
      </c>
      <c r="R211" s="154">
        <f t="shared" si="179"/>
        <v>11.689188693991341</v>
      </c>
      <c r="S211" s="155">
        <f t="shared" ref="S211:AQ211" si="180">S101+S193-S158</f>
        <v>8.137195131641846</v>
      </c>
      <c r="T211" s="155">
        <f t="shared" si="180"/>
        <v>9.2253121368809765</v>
      </c>
      <c r="U211" s="155">
        <f t="shared" si="180"/>
        <v>9.8127065578420005</v>
      </c>
      <c r="V211" s="155">
        <f t="shared" si="180"/>
        <v>9.8608479204554342</v>
      </c>
      <c r="W211" s="155">
        <f t="shared" si="180"/>
        <v>10.47950809310038</v>
      </c>
      <c r="X211" s="155">
        <f t="shared" si="180"/>
        <v>10.512137859668075</v>
      </c>
      <c r="Y211" s="155">
        <f t="shared" si="180"/>
        <v>10.544862368798878</v>
      </c>
      <c r="Z211" s="155">
        <f t="shared" si="180"/>
        <v>10.577681905818547</v>
      </c>
      <c r="AA211" s="155">
        <f t="shared" si="180"/>
        <v>10.610596756911683</v>
      </c>
      <c r="AB211" s="155">
        <f t="shared" si="180"/>
        <v>10.643607209124303</v>
      </c>
      <c r="AC211" s="155">
        <f t="shared" si="180"/>
        <v>10.676713550366442</v>
      </c>
      <c r="AD211" s="155">
        <f t="shared" si="180"/>
        <v>10.709916069414753</v>
      </c>
      <c r="AE211" s="155">
        <f t="shared" si="180"/>
        <v>10.743215055915121</v>
      </c>
      <c r="AF211" s="155">
        <f t="shared" si="180"/>
        <v>10.776610800385271</v>
      </c>
      <c r="AG211" s="155">
        <f t="shared" si="180"/>
        <v>10.808922299328724</v>
      </c>
      <c r="AH211" s="155">
        <f t="shared" si="180"/>
        <v>10.841331199936944</v>
      </c>
      <c r="AI211" s="155">
        <f t="shared" si="180"/>
        <v>10.873837795298934</v>
      </c>
      <c r="AJ211" s="155">
        <f t="shared" si="180"/>
        <v>10.906442379386149</v>
      </c>
      <c r="AK211" s="155">
        <f t="shared" si="180"/>
        <v>10.939145247055151</v>
      </c>
      <c r="AL211" s="155">
        <f t="shared" si="180"/>
        <v>10.971946694050279</v>
      </c>
      <c r="AM211" s="155">
        <f t="shared" si="180"/>
        <v>11.004847017006306</v>
      </c>
      <c r="AN211" s="155">
        <f t="shared" si="180"/>
        <v>11.037846513451136</v>
      </c>
      <c r="AO211" s="155">
        <f t="shared" si="180"/>
        <v>11.070945481808483</v>
      </c>
      <c r="AP211" s="155">
        <f t="shared" si="180"/>
        <v>11.104144221400574</v>
      </c>
      <c r="AQ211" s="155">
        <f t="shared" si="180"/>
        <v>11.13744303245085</v>
      </c>
      <c r="AR211" s="155">
        <f t="shared" ref="AR211:BO211" si="181">AR101+AR193-AR158</f>
        <v>11.170842216086672</v>
      </c>
      <c r="AS211" s="155">
        <f t="shared" si="181"/>
        <v>11.204342074342058</v>
      </c>
      <c r="AT211" s="155">
        <f t="shared" si="181"/>
        <v>11.237942910160399</v>
      </c>
      <c r="AU211" s="155">
        <f t="shared" si="181"/>
        <v>11.271645027397206</v>
      </c>
      <c r="AV211" s="155">
        <f t="shared" si="181"/>
        <v>11.305448730822841</v>
      </c>
      <c r="AW211" s="155">
        <f t="shared" si="181"/>
        <v>11.339354326125289</v>
      </c>
      <c r="AX211" s="155">
        <f t="shared" si="181"/>
        <v>11.37336211991291</v>
      </c>
      <c r="AY211" s="155">
        <f t="shared" si="181"/>
        <v>11.407472419717211</v>
      </c>
      <c r="AZ211" s="155">
        <f t="shared" si="181"/>
        <v>11.441685533995624</v>
      </c>
      <c r="BA211" s="155">
        <f t="shared" si="181"/>
        <v>11.476001772134298</v>
      </c>
      <c r="BB211" s="155">
        <f t="shared" si="181"/>
        <v>11.510421444450891</v>
      </c>
      <c r="BC211" s="155">
        <f t="shared" si="181"/>
        <v>11.54494486219737</v>
      </c>
      <c r="BD211" s="155">
        <f t="shared" si="181"/>
        <v>11.579572337562835</v>
      </c>
      <c r="BE211" s="155">
        <f t="shared" si="181"/>
        <v>11.614304183676328</v>
      </c>
      <c r="BF211" s="155">
        <f t="shared" si="181"/>
        <v>11.64914071460967</v>
      </c>
      <c r="BG211" s="155">
        <f t="shared" si="181"/>
        <v>11.684082245380294</v>
      </c>
      <c r="BH211" s="155">
        <f t="shared" si="181"/>
        <v>11.719129091954098</v>
      </c>
      <c r="BI211" s="155">
        <f t="shared" si="181"/>
        <v>11.754281571248296</v>
      </c>
      <c r="BJ211" s="155">
        <f t="shared" si="181"/>
        <v>11.789540001134279</v>
      </c>
      <c r="BK211" s="155">
        <f t="shared" si="181"/>
        <v>11.824904700440491</v>
      </c>
      <c r="BL211" s="155">
        <f t="shared" si="181"/>
        <v>11.86037598895531</v>
      </c>
      <c r="BM211" s="155">
        <f t="shared" si="181"/>
        <v>11.895954187429943</v>
      </c>
      <c r="BN211" s="155">
        <f t="shared" si="181"/>
        <v>11.931639617581308</v>
      </c>
      <c r="BO211" s="155">
        <f t="shared" si="181"/>
        <v>11.967432602094958</v>
      </c>
      <c r="BP211" s="114"/>
    </row>
    <row r="212" spans="1:68" x14ac:dyDescent="0.3">
      <c r="A212" s="388"/>
      <c r="D212" s="359"/>
      <c r="E212" s="115"/>
      <c r="F212" s="117" t="s">
        <v>397</v>
      </c>
      <c r="G212" s="153">
        <f t="shared" si="178"/>
        <v>1.4512284899999999</v>
      </c>
      <c r="H212" s="153">
        <f t="shared" si="178"/>
        <v>1.4889460600000002</v>
      </c>
      <c r="I212" s="153">
        <f t="shared" si="178"/>
        <v>1.6287515800000001</v>
      </c>
      <c r="J212" s="153">
        <f t="shared" si="178"/>
        <v>1.30813424</v>
      </c>
      <c r="K212" s="153">
        <f t="shared" si="178"/>
        <v>1.7813965900000002</v>
      </c>
      <c r="L212" s="154">
        <f t="shared" si="178"/>
        <v>2.0502380499999999</v>
      </c>
      <c r="M212" s="154">
        <f t="shared" ref="M212:R212" si="182">M102+M194-M159</f>
        <v>1.2617954599999999</v>
      </c>
      <c r="N212" s="154">
        <f t="shared" si="182"/>
        <v>1.6500167700000001</v>
      </c>
      <c r="O212" s="154">
        <f t="shared" si="182"/>
        <v>1.50595736</v>
      </c>
      <c r="P212" s="154">
        <f t="shared" si="182"/>
        <v>1.65063659</v>
      </c>
      <c r="Q212" s="154">
        <f t="shared" si="182"/>
        <v>1.5120563</v>
      </c>
      <c r="R212" s="154">
        <f t="shared" si="182"/>
        <v>1.9016245300000001</v>
      </c>
      <c r="S212" s="155">
        <f t="shared" ref="S212:AQ212" si="183">S102+S194-S159</f>
        <v>1.7977939060497783</v>
      </c>
      <c r="T212" s="155">
        <f t="shared" si="183"/>
        <v>1.9507085179514867</v>
      </c>
      <c r="U212" s="155">
        <f t="shared" si="183"/>
        <v>2.0802735514784509</v>
      </c>
      <c r="V212" s="155">
        <f t="shared" si="183"/>
        <v>2.0995351202509229</v>
      </c>
      <c r="W212" s="155">
        <f t="shared" si="183"/>
        <v>2.2361791024902344</v>
      </c>
      <c r="X212" s="155">
        <f t="shared" si="183"/>
        <v>2.305928298603972</v>
      </c>
      <c r="Y212" s="155">
        <f t="shared" si="183"/>
        <v>2.3786356908923127</v>
      </c>
      <c r="Z212" s="155">
        <f t="shared" si="183"/>
        <v>2.4457648572604405</v>
      </c>
      <c r="AA212" s="155">
        <f t="shared" si="183"/>
        <v>2.5219143518400786</v>
      </c>
      <c r="AB212" s="155">
        <f t="shared" si="183"/>
        <v>2.5099003294100473</v>
      </c>
      <c r="AC212" s="155">
        <f t="shared" si="183"/>
        <v>2.5718998100774377</v>
      </c>
      <c r="AD212" s="155">
        <f t="shared" si="183"/>
        <v>2.6436827018156666</v>
      </c>
      <c r="AE212" s="155">
        <f t="shared" si="183"/>
        <v>2.7014221377402072</v>
      </c>
      <c r="AF212" s="155">
        <f t="shared" si="183"/>
        <v>2.7578649419706278</v>
      </c>
      <c r="AG212" s="155">
        <f t="shared" si="183"/>
        <v>2.8079105838027156</v>
      </c>
      <c r="AH212" s="155">
        <f t="shared" si="183"/>
        <v>2.8574094385517124</v>
      </c>
      <c r="AI212" s="155">
        <f t="shared" si="183"/>
        <v>2.9026311271334886</v>
      </c>
      <c r="AJ212" s="155">
        <f t="shared" si="183"/>
        <v>2.9602080578426215</v>
      </c>
      <c r="AK212" s="155">
        <f t="shared" si="183"/>
        <v>3.0145820018414309</v>
      </c>
      <c r="AL212" s="155">
        <f t="shared" si="183"/>
        <v>3.0674133288958556</v>
      </c>
      <c r="AM212" s="155">
        <f t="shared" si="183"/>
        <v>3.1200654233707419</v>
      </c>
      <c r="AN212" s="155">
        <f t="shared" si="183"/>
        <v>3.1674560797836131</v>
      </c>
      <c r="AO212" s="155">
        <f t="shared" si="183"/>
        <v>3.2193896976582157</v>
      </c>
      <c r="AP212" s="155">
        <f t="shared" si="183"/>
        <v>3.2684527552760363</v>
      </c>
      <c r="AQ212" s="155">
        <f t="shared" si="183"/>
        <v>3.3235102211503706</v>
      </c>
      <c r="AR212" s="155">
        <f t="shared" ref="AR212:BO212" si="184">AR102+AR194-AR159</f>
        <v>3.3737158174793271</v>
      </c>
      <c r="AS212" s="155">
        <f t="shared" si="184"/>
        <v>3.4231202300786192</v>
      </c>
      <c r="AT212" s="155">
        <f t="shared" si="184"/>
        <v>3.4729636839865363</v>
      </c>
      <c r="AU212" s="155">
        <f t="shared" si="184"/>
        <v>3.5227775170100406</v>
      </c>
      <c r="AV212" s="155">
        <f t="shared" si="184"/>
        <v>3.5752562495035836</v>
      </c>
      <c r="AW212" s="155">
        <f t="shared" si="184"/>
        <v>3.6255313968716467</v>
      </c>
      <c r="AX212" s="155">
        <f t="shared" si="184"/>
        <v>3.6756312809680844</v>
      </c>
      <c r="AY212" s="155">
        <f t="shared" si="184"/>
        <v>3.7260435192108252</v>
      </c>
      <c r="AZ212" s="155">
        <f t="shared" si="184"/>
        <v>3.7763297961016598</v>
      </c>
      <c r="BA212" s="155">
        <f t="shared" si="184"/>
        <v>3.8269202153023301</v>
      </c>
      <c r="BB212" s="155">
        <f t="shared" si="184"/>
        <v>3.8765069227071347</v>
      </c>
      <c r="BC212" s="155">
        <f t="shared" si="184"/>
        <v>3.9259848770224224</v>
      </c>
      <c r="BD212" s="155">
        <f t="shared" si="184"/>
        <v>3.9753193554479522</v>
      </c>
      <c r="BE212" s="155">
        <f t="shared" si="184"/>
        <v>4.024376967229502</v>
      </c>
      <c r="BF212" s="155">
        <f t="shared" si="184"/>
        <v>4.0730354827326698</v>
      </c>
      <c r="BG212" s="155">
        <f t="shared" si="184"/>
        <v>4.1213475073927297</v>
      </c>
      <c r="BH212" s="155">
        <f t="shared" si="184"/>
        <v>4.1693241812181547</v>
      </c>
      <c r="BI212" s="155">
        <f t="shared" si="184"/>
        <v>4.2169512681318917</v>
      </c>
      <c r="BJ212" s="155">
        <f t="shared" si="184"/>
        <v>4.2641464239978086</v>
      </c>
      <c r="BK212" s="155">
        <f t="shared" si="184"/>
        <v>4.3108838560996432</v>
      </c>
      <c r="BL212" s="155">
        <f t="shared" si="184"/>
        <v>4.3571140429454811</v>
      </c>
      <c r="BM212" s="155">
        <f t="shared" si="184"/>
        <v>4.4028618880082586</v>
      </c>
      <c r="BN212" s="155">
        <f t="shared" si="184"/>
        <v>4.4480952306914494</v>
      </c>
      <c r="BO212" s="155">
        <f t="shared" si="184"/>
        <v>4.4927812234754487</v>
      </c>
      <c r="BP212" s="114"/>
    </row>
    <row r="213" spans="1:68" x14ac:dyDescent="0.3">
      <c r="A213" s="388"/>
      <c r="D213" s="359"/>
      <c r="E213" s="115"/>
      <c r="F213" s="117" t="s">
        <v>398</v>
      </c>
      <c r="G213" s="153">
        <f t="shared" si="178"/>
        <v>2.7214882613399998</v>
      </c>
      <c r="H213" s="153">
        <f t="shared" si="178"/>
        <v>1.8616817074100003</v>
      </c>
      <c r="I213" s="153">
        <f t="shared" si="178"/>
        <v>2.3757865370999998</v>
      </c>
      <c r="J213" s="153">
        <f t="shared" si="178"/>
        <v>2.1191380690000003</v>
      </c>
      <c r="K213" s="153">
        <f t="shared" si="178"/>
        <v>3.25588158477</v>
      </c>
      <c r="L213" s="154">
        <f t="shared" si="178"/>
        <v>3.9148116526899992</v>
      </c>
      <c r="M213" s="154">
        <f t="shared" ref="M213:R213" si="185">M103+M195-M160</f>
        <v>2.8144638636100003</v>
      </c>
      <c r="N213" s="154">
        <f t="shared" si="185"/>
        <v>2.9973004022252003</v>
      </c>
      <c r="O213" s="154">
        <f t="shared" si="185"/>
        <v>2.51192250271012</v>
      </c>
      <c r="P213" s="154">
        <f t="shared" si="185"/>
        <v>2.1091796952468402</v>
      </c>
      <c r="Q213" s="154">
        <f t="shared" si="185"/>
        <v>2.2901977546689998</v>
      </c>
      <c r="R213" s="154">
        <f t="shared" si="185"/>
        <v>2.3209891366443003</v>
      </c>
      <c r="S213" s="155">
        <f t="shared" ref="S213:AQ213" si="186">S103+S195-S160</f>
        <v>2.201361538967078</v>
      </c>
      <c r="T213" s="155">
        <f t="shared" si="186"/>
        <v>1.9434969646397779</v>
      </c>
      <c r="U213" s="155">
        <f t="shared" si="186"/>
        <v>2.0559541309389888</v>
      </c>
      <c r="V213" s="155">
        <f t="shared" si="186"/>
        <v>2.0704082076739772</v>
      </c>
      <c r="W213" s="155">
        <f t="shared" si="186"/>
        <v>2.1871858339303714</v>
      </c>
      <c r="X213" s="155">
        <f t="shared" si="186"/>
        <v>2.2446794038376363</v>
      </c>
      <c r="Y213" s="155">
        <f t="shared" si="186"/>
        <v>2.3043005832001668</v>
      </c>
      <c r="Z213" s="155">
        <f t="shared" si="186"/>
        <v>2.3588666263335996</v>
      </c>
      <c r="AA213" s="155">
        <f t="shared" si="186"/>
        <v>2.4205749372389329</v>
      </c>
      <c r="AB213" s="155">
        <f t="shared" si="186"/>
        <v>2.409706760882155</v>
      </c>
      <c r="AC213" s="155">
        <f t="shared" si="186"/>
        <v>2.4595503751110228</v>
      </c>
      <c r="AD213" s="155">
        <f t="shared" si="186"/>
        <v>2.5172145081956052</v>
      </c>
      <c r="AE213" s="155">
        <f t="shared" si="186"/>
        <v>2.5630012058110361</v>
      </c>
      <c r="AF213" s="155">
        <f t="shared" si="186"/>
        <v>2.6075112680626091</v>
      </c>
      <c r="AG213" s="155">
        <f t="shared" si="186"/>
        <v>2.6497302752707679</v>
      </c>
      <c r="AH213" s="155">
        <f t="shared" si="186"/>
        <v>2.6890156583919826</v>
      </c>
      <c r="AI213" s="155">
        <f t="shared" si="186"/>
        <v>2.724979692702743</v>
      </c>
      <c r="AJ213" s="155">
        <f t="shared" si="186"/>
        <v>2.77081790757659</v>
      </c>
      <c r="AK213" s="155">
        <f t="shared" si="186"/>
        <v>2.8142149849929847</v>
      </c>
      <c r="AL213" s="155">
        <f t="shared" si="186"/>
        <v>2.8560928634539606</v>
      </c>
      <c r="AM213" s="155">
        <f t="shared" si="186"/>
        <v>2.897269153408903</v>
      </c>
      <c r="AN213" s="155">
        <f t="shared" si="186"/>
        <v>2.9346086190010254</v>
      </c>
      <c r="AO213" s="155">
        <f t="shared" si="186"/>
        <v>2.9749467927368562</v>
      </c>
      <c r="AP213" s="155">
        <f t="shared" si="186"/>
        <v>3.0130994583278179</v>
      </c>
      <c r="AQ213" s="155">
        <f t="shared" si="186"/>
        <v>3.0552391153009228</v>
      </c>
      <c r="AR213" s="155">
        <f t="shared" ref="AR213:BO213" si="187">AR103+AR195-AR160</f>
        <v>3.0937186707976299</v>
      </c>
      <c r="AS213" s="155">
        <f t="shared" si="187"/>
        <v>3.1314071436083237</v>
      </c>
      <c r="AT213" s="155">
        <f t="shared" si="187"/>
        <v>3.1691605593342</v>
      </c>
      <c r="AU213" s="155">
        <f t="shared" si="187"/>
        <v>3.2066543621309362</v>
      </c>
      <c r="AV213" s="155">
        <f t="shared" si="187"/>
        <v>3.2457072248247183</v>
      </c>
      <c r="AW213" s="155">
        <f t="shared" si="187"/>
        <v>3.2830240074994572</v>
      </c>
      <c r="AX213" s="155">
        <f t="shared" si="187"/>
        <v>3.319978805933681</v>
      </c>
      <c r="AY213" s="155">
        <f t="shared" si="187"/>
        <v>3.3568726317751256</v>
      </c>
      <c r="AZ213" s="155">
        <f t="shared" si="187"/>
        <v>3.3934091778501516</v>
      </c>
      <c r="BA213" s="155">
        <f t="shared" si="187"/>
        <v>3.4298724052307805</v>
      </c>
      <c r="BB213" s="155">
        <f t="shared" si="187"/>
        <v>3.4653955747963816</v>
      </c>
      <c r="BC213" s="155">
        <f t="shared" si="187"/>
        <v>3.5005676134858161</v>
      </c>
      <c r="BD213" s="155">
        <f t="shared" si="187"/>
        <v>3.535358664912355</v>
      </c>
      <c r="BE213" s="155">
        <f t="shared" si="187"/>
        <v>3.5696753893330513</v>
      </c>
      <c r="BF213" s="155">
        <f t="shared" si="187"/>
        <v>3.6034337349201278</v>
      </c>
      <c r="BG213" s="155">
        <f t="shared" si="187"/>
        <v>3.6366655351109967</v>
      </c>
      <c r="BH213" s="155">
        <f t="shared" si="187"/>
        <v>3.669374608250116</v>
      </c>
      <c r="BI213" s="155">
        <f t="shared" si="187"/>
        <v>3.7015477058671848</v>
      </c>
      <c r="BJ213" s="155">
        <f t="shared" si="187"/>
        <v>3.7331284245319933</v>
      </c>
      <c r="BK213" s="155">
        <f t="shared" si="187"/>
        <v>3.7640969205020438</v>
      </c>
      <c r="BL213" s="155">
        <f t="shared" si="187"/>
        <v>3.7944187236372748</v>
      </c>
      <c r="BM213" s="155">
        <f t="shared" si="187"/>
        <v>3.8241065831969112</v>
      </c>
      <c r="BN213" s="155">
        <f t="shared" si="187"/>
        <v>3.8531375334041598</v>
      </c>
      <c r="BO213" s="155">
        <f t="shared" si="187"/>
        <v>3.8814883817004757</v>
      </c>
      <c r="BP213" s="114"/>
    </row>
    <row r="214" spans="1:68" x14ac:dyDescent="0.3">
      <c r="A214" s="388"/>
      <c r="D214" s="359"/>
      <c r="E214" s="115"/>
      <c r="F214" s="117" t="s">
        <v>399</v>
      </c>
      <c r="G214" s="158">
        <v>0</v>
      </c>
      <c r="H214" s="158">
        <f>H105/1000000</f>
        <v>0</v>
      </c>
      <c r="I214" s="158">
        <f>I105/1000000</f>
        <v>0</v>
      </c>
      <c r="J214" s="158">
        <f>J105/1000000</f>
        <v>0</v>
      </c>
      <c r="K214" s="153">
        <f>K104+K196-K161</f>
        <v>3.2683261159999998E-2</v>
      </c>
      <c r="L214" s="154">
        <f t="shared" ref="L214:R214" si="188">L104+L196-L161</f>
        <v>3.2699863079999995E-2</v>
      </c>
      <c r="M214" s="154">
        <f t="shared" si="188"/>
        <v>4.1791973859999998E-2</v>
      </c>
      <c r="N214" s="154">
        <f t="shared" si="188"/>
        <v>3.5028787622000006E-2</v>
      </c>
      <c r="O214" s="154">
        <f t="shared" si="188"/>
        <v>2.5507092710500001E-2</v>
      </c>
      <c r="P214" s="154">
        <f t="shared" si="188"/>
        <v>3.9510345079400003E-2</v>
      </c>
      <c r="Q214" s="154">
        <f t="shared" si="188"/>
        <v>2.7237504999999999E-2</v>
      </c>
      <c r="R214" s="154">
        <f t="shared" si="188"/>
        <v>2.0068082921500002E-2</v>
      </c>
      <c r="S214" s="155">
        <f t="shared" ref="S214:AQ214" si="189">S104+S196-S161</f>
        <v>2.9444852451209817E-2</v>
      </c>
      <c r="T214" s="155">
        <f t="shared" si="189"/>
        <v>2.6945836427731906E-2</v>
      </c>
      <c r="U214" s="155">
        <f t="shared" si="189"/>
        <v>2.8556993746044021E-2</v>
      </c>
      <c r="V214" s="155">
        <f t="shared" si="189"/>
        <v>2.8576749400626423E-2</v>
      </c>
      <c r="W214" s="155">
        <f t="shared" si="189"/>
        <v>3.0259190470528254E-2</v>
      </c>
      <c r="X214" s="155">
        <f t="shared" si="189"/>
        <v>3.097887308920777E-2</v>
      </c>
      <c r="Y214" s="155">
        <f t="shared" si="189"/>
        <v>3.1730829411955666E-2</v>
      </c>
      <c r="Z214" s="155">
        <f t="shared" si="189"/>
        <v>3.2395384074900592E-2</v>
      </c>
      <c r="AA214" s="155">
        <f t="shared" si="189"/>
        <v>3.3176402687466064E-2</v>
      </c>
      <c r="AB214" s="155">
        <f t="shared" si="189"/>
        <v>3.273134903330014E-2</v>
      </c>
      <c r="AC214" s="155">
        <f t="shared" si="189"/>
        <v>3.3305264559828587E-2</v>
      </c>
      <c r="AD214" s="155">
        <f t="shared" si="189"/>
        <v>3.400486653492054E-2</v>
      </c>
      <c r="AE214" s="155">
        <f t="shared" si="189"/>
        <v>3.4505043443046571E-2</v>
      </c>
      <c r="AF214" s="155">
        <f t="shared" si="189"/>
        <v>3.498088338432806E-2</v>
      </c>
      <c r="AG214" s="155">
        <f t="shared" si="189"/>
        <v>3.5438459516565955E-2</v>
      </c>
      <c r="AH214" s="155">
        <f t="shared" si="189"/>
        <v>3.5827841448904142E-2</v>
      </c>
      <c r="AI214" s="155">
        <f t="shared" si="189"/>
        <v>3.6162096676814116E-2</v>
      </c>
      <c r="AJ214" s="155">
        <f t="shared" si="189"/>
        <v>3.6657145118591541E-2</v>
      </c>
      <c r="AK214" s="155">
        <f t="shared" si="189"/>
        <v>3.7112095322188773E-2</v>
      </c>
      <c r="AL214" s="155">
        <f t="shared" si="189"/>
        <v>3.7539017364722482E-2</v>
      </c>
      <c r="AM214" s="155">
        <f t="shared" si="189"/>
        <v>3.7949397464214454E-2</v>
      </c>
      <c r="AN214" s="155">
        <f t="shared" si="189"/>
        <v>3.829862669230346E-2</v>
      </c>
      <c r="AO214" s="155">
        <f t="shared" si="189"/>
        <v>3.8691893675946276E-2</v>
      </c>
      <c r="AP214" s="155">
        <f t="shared" si="189"/>
        <v>3.9049535738693332E-2</v>
      </c>
      <c r="AQ214" s="155">
        <f t="shared" si="189"/>
        <v>3.946638967035683E-2</v>
      </c>
      <c r="AR214" s="155">
        <f t="shared" ref="AR214:BO214" si="190">AR104+AR196-AR161</f>
        <v>3.9824364792176825E-2</v>
      </c>
      <c r="AS214" s="155">
        <f t="shared" si="190"/>
        <v>4.016806300993489E-2</v>
      </c>
      <c r="AT214" s="155">
        <f t="shared" si="190"/>
        <v>4.051064309869247E-2</v>
      </c>
      <c r="AU214" s="155">
        <f t="shared" si="190"/>
        <v>4.0847193503309162E-2</v>
      </c>
      <c r="AV214" s="155">
        <f t="shared" si="190"/>
        <v>4.1205311499773307E-2</v>
      </c>
      <c r="AW214" s="155">
        <f t="shared" si="190"/>
        <v>4.1535349881358589E-2</v>
      </c>
      <c r="AX214" s="155">
        <f t="shared" si="190"/>
        <v>4.1858242355610781E-2</v>
      </c>
      <c r="AY214" s="155">
        <f t="shared" si="190"/>
        <v>4.21784494624085E-2</v>
      </c>
      <c r="AZ214" s="155">
        <f t="shared" si="190"/>
        <v>4.2491653748256995E-2</v>
      </c>
      <c r="BA214" s="155">
        <f t="shared" si="190"/>
        <v>4.2802259312112498E-2</v>
      </c>
      <c r="BB214" s="155">
        <f t="shared" si="190"/>
        <v>4.3097460206323025E-2</v>
      </c>
      <c r="BC214" s="155">
        <f t="shared" si="190"/>
        <v>4.3386196979863359E-2</v>
      </c>
      <c r="BD214" s="155">
        <f t="shared" si="190"/>
        <v>4.3668130717855275E-2</v>
      </c>
      <c r="BE214" s="155">
        <f t="shared" si="190"/>
        <v>4.3941988085471805E-2</v>
      </c>
      <c r="BF214" s="155">
        <f t="shared" si="190"/>
        <v>4.4206650006536605E-2</v>
      </c>
      <c r="BG214" s="155">
        <f t="shared" si="190"/>
        <v>4.4462736972829646E-2</v>
      </c>
      <c r="BH214" s="155">
        <f t="shared" si="190"/>
        <v>4.4710446173062163E-2</v>
      </c>
      <c r="BI214" s="155">
        <f t="shared" si="190"/>
        <v>4.494971715811804E-2</v>
      </c>
      <c r="BJ214" s="155">
        <f t="shared" si="190"/>
        <v>4.5179857463044384E-2</v>
      </c>
      <c r="BK214" s="155">
        <f t="shared" si="190"/>
        <v>4.5400715724895339E-2</v>
      </c>
      <c r="BL214" s="155">
        <f t="shared" si="190"/>
        <v>4.5611929206162638E-2</v>
      </c>
      <c r="BM214" s="155">
        <f t="shared" si="190"/>
        <v>4.5813828734550359E-2</v>
      </c>
      <c r="BN214" s="155">
        <f t="shared" si="190"/>
        <v>4.6006224866047461E-2</v>
      </c>
      <c r="BO214" s="155">
        <f t="shared" si="190"/>
        <v>4.6188925633893707E-2</v>
      </c>
      <c r="BP214" s="114"/>
    </row>
    <row r="215" spans="1:68" x14ac:dyDescent="0.3">
      <c r="A215" s="388"/>
      <c r="D215" s="359" t="s">
        <v>525</v>
      </c>
      <c r="E215" s="115"/>
      <c r="F215" s="117" t="s">
        <v>400</v>
      </c>
      <c r="G215" s="158">
        <v>0</v>
      </c>
      <c r="H215" s="158">
        <v>0</v>
      </c>
      <c r="I215" s="158">
        <v>0</v>
      </c>
      <c r="J215" s="158">
        <v>0</v>
      </c>
      <c r="K215" s="159">
        <v>0</v>
      </c>
      <c r="L215" s="154">
        <f t="shared" ref="L215:R215" si="191">L105+L197-L162</f>
        <v>3.287521718570674E-2</v>
      </c>
      <c r="M215" s="154">
        <f t="shared" si="191"/>
        <v>8.7102896079817582E-3</v>
      </c>
      <c r="N215" s="154">
        <f t="shared" si="191"/>
        <v>4.6232829607068676E-3</v>
      </c>
      <c r="O215" s="154">
        <f t="shared" si="191"/>
        <v>1.3011316471616012E-2</v>
      </c>
      <c r="P215" s="154">
        <f t="shared" si="191"/>
        <v>1.480502655650285E-2</v>
      </c>
      <c r="Q215" s="154">
        <f t="shared" si="191"/>
        <v>1.0287478899201868E-2</v>
      </c>
      <c r="R215" s="154">
        <f t="shared" si="191"/>
        <v>1.0681776222006889E-2</v>
      </c>
      <c r="S215" s="155">
        <f t="shared" ref="S215:AQ215" si="192">S105+S197-S162</f>
        <v>1.4507649369902037E-2</v>
      </c>
      <c r="T215" s="155">
        <f t="shared" si="192"/>
        <v>2.5043799746410106E-2</v>
      </c>
      <c r="U215" s="155">
        <f t="shared" si="192"/>
        <v>2.0786360156828998E-2</v>
      </c>
      <c r="V215" s="155">
        <f t="shared" si="192"/>
        <v>2.7794900322111404E-2</v>
      </c>
      <c r="W215" s="155">
        <f t="shared" si="192"/>
        <v>2.20887866712456E-2</v>
      </c>
      <c r="X215" s="155">
        <f t="shared" si="192"/>
        <v>2.3277789330652304E-2</v>
      </c>
      <c r="Y215" s="155">
        <f t="shared" si="192"/>
        <v>2.4023392612830097E-2</v>
      </c>
      <c r="Z215" s="155">
        <f t="shared" si="192"/>
        <v>2.5389071617752598E-2</v>
      </c>
      <c r="AA215" s="155">
        <f t="shared" si="192"/>
        <v>2.5518173413265843E-2</v>
      </c>
      <c r="AB215" s="155">
        <f t="shared" si="192"/>
        <v>3.7453766781845282E-2</v>
      </c>
      <c r="AC215" s="155">
        <f t="shared" si="192"/>
        <v>3.9518013942295246E-2</v>
      </c>
      <c r="AD215" s="155">
        <f t="shared" si="192"/>
        <v>4.0295730018486797E-2</v>
      </c>
      <c r="AE215" s="155">
        <f t="shared" si="192"/>
        <v>4.2834787974771568E-2</v>
      </c>
      <c r="AF215" s="155">
        <f t="shared" si="192"/>
        <v>4.5526391402746016E-2</v>
      </c>
      <c r="AG215" s="155">
        <f t="shared" si="192"/>
        <v>4.3662358121576733E-2</v>
      </c>
      <c r="AH215" s="155">
        <f t="shared" si="192"/>
        <v>4.5851767059062964E-2</v>
      </c>
      <c r="AI215" s="155">
        <f t="shared" si="192"/>
        <v>4.8078080911448315E-2</v>
      </c>
      <c r="AJ215" s="155">
        <f t="shared" si="192"/>
        <v>4.8388724127667412E-2</v>
      </c>
      <c r="AK215" s="155">
        <f t="shared" si="192"/>
        <v>4.8452003621858808E-2</v>
      </c>
      <c r="AL215" s="155">
        <f t="shared" si="192"/>
        <v>4.8814067255666643E-2</v>
      </c>
      <c r="AM215" s="155">
        <f t="shared" si="192"/>
        <v>4.9788717356801071E-2</v>
      </c>
      <c r="AN215" s="155">
        <f t="shared" si="192"/>
        <v>5.0516910292342621E-2</v>
      </c>
      <c r="AO215" s="155">
        <f t="shared" si="192"/>
        <v>5.1263972238150435E-2</v>
      </c>
      <c r="AP215" s="155">
        <f t="shared" si="192"/>
        <v>5.1869783801487157E-2</v>
      </c>
      <c r="AQ215" s="155">
        <f t="shared" si="192"/>
        <v>5.2473555111215819E-2</v>
      </c>
      <c r="AR215" s="155">
        <f t="shared" ref="AR215:BO215" si="193">AR105+AR197-AR162</f>
        <v>5.3087940524013444E-2</v>
      </c>
      <c r="AS215" s="155">
        <f t="shared" si="193"/>
        <v>5.3693151714875709E-2</v>
      </c>
      <c r="AT215" s="155">
        <f t="shared" si="193"/>
        <v>5.4306999039757275E-2</v>
      </c>
      <c r="AU215" s="155">
        <f t="shared" si="193"/>
        <v>5.4923846255090641E-2</v>
      </c>
      <c r="AV215" s="155">
        <f t="shared" si="193"/>
        <v>5.5598968729367565E-2</v>
      </c>
      <c r="AW215" s="155">
        <f t="shared" si="193"/>
        <v>5.6204914571708342E-2</v>
      </c>
      <c r="AX215" s="155">
        <f t="shared" si="193"/>
        <v>5.6783631113042715E-2</v>
      </c>
      <c r="AY215" s="155">
        <f t="shared" si="193"/>
        <v>5.7384680895631035E-2</v>
      </c>
      <c r="AZ215" s="155">
        <f t="shared" si="193"/>
        <v>5.7991988038939735E-2</v>
      </c>
      <c r="BA215" s="155">
        <f t="shared" si="193"/>
        <v>5.8606376606698707E-2</v>
      </c>
      <c r="BB215" s="155">
        <f t="shared" si="193"/>
        <v>5.9192899463103354E-2</v>
      </c>
      <c r="BC215" s="155">
        <f t="shared" si="193"/>
        <v>5.9771505604095471E-2</v>
      </c>
      <c r="BD215" s="155">
        <f t="shared" si="193"/>
        <v>6.0344979094462237E-2</v>
      </c>
      <c r="BE215" s="155">
        <f t="shared" si="193"/>
        <v>6.0913384144381411E-2</v>
      </c>
      <c r="BF215" s="155">
        <f t="shared" si="193"/>
        <v>6.1475854245176653E-2</v>
      </c>
      <c r="BG215" s="155">
        <f t="shared" si="193"/>
        <v>6.2031249906502967E-2</v>
      </c>
      <c r="BH215" s="155">
        <f t="shared" si="193"/>
        <v>6.257898813074983E-2</v>
      </c>
      <c r="BI215" s="155">
        <f t="shared" si="193"/>
        <v>6.3119293999172099E-2</v>
      </c>
      <c r="BJ215" s="155">
        <f t="shared" si="193"/>
        <v>6.3650896387846073E-2</v>
      </c>
      <c r="BK215" s="155">
        <f t="shared" si="193"/>
        <v>6.4173928025352517E-2</v>
      </c>
      <c r="BL215" s="155">
        <f t="shared" si="193"/>
        <v>6.4687868316952862E-2</v>
      </c>
      <c r="BM215" s="155">
        <f t="shared" si="193"/>
        <v>6.5193612822851021E-2</v>
      </c>
      <c r="BN215" s="155">
        <f t="shared" si="193"/>
        <v>6.5690373184197376E-2</v>
      </c>
      <c r="BO215" s="155">
        <f t="shared" si="193"/>
        <v>6.6177611126452207E-2</v>
      </c>
      <c r="BP215" s="114"/>
    </row>
    <row r="216" spans="1:68" x14ac:dyDescent="0.3">
      <c r="A216" s="388"/>
      <c r="D216" s="359"/>
      <c r="E216" s="115"/>
      <c r="F216" s="117" t="s">
        <v>401</v>
      </c>
      <c r="G216" s="153">
        <f t="shared" ref="G216:L218" si="194">G106+G198-G163</f>
        <v>4.2137569999999999E-2</v>
      </c>
      <c r="H216" s="153">
        <f t="shared" si="194"/>
        <v>4.9416439999999992E-2</v>
      </c>
      <c r="I216" s="153">
        <f t="shared" si="194"/>
        <v>2.8047090000000004E-2</v>
      </c>
      <c r="J216" s="153">
        <f t="shared" si="194"/>
        <v>1.7736079999999998E-2</v>
      </c>
      <c r="K216" s="153">
        <f t="shared" si="194"/>
        <v>5.7078709999999998E-2</v>
      </c>
      <c r="L216" s="154">
        <f t="shared" si="194"/>
        <v>5.3838319999999995E-2</v>
      </c>
      <c r="M216" s="154">
        <f t="shared" ref="M216:R216" si="195">M106+M198-M163</f>
        <v>6.9878900000000008E-2</v>
      </c>
      <c r="N216" s="154">
        <f t="shared" si="195"/>
        <v>5.6292460000000002E-2</v>
      </c>
      <c r="O216" s="154">
        <f t="shared" si="195"/>
        <v>6.205811E-2</v>
      </c>
      <c r="P216" s="154">
        <f t="shared" si="195"/>
        <v>7.0931419999999995E-2</v>
      </c>
      <c r="Q216" s="154">
        <f t="shared" si="195"/>
        <v>7.2699089999999994E-2</v>
      </c>
      <c r="R216" s="154">
        <f t="shared" si="195"/>
        <v>8.1058329999999998E-2</v>
      </c>
      <c r="S216" s="155">
        <f t="shared" ref="S216:AQ216" si="196">S106+S198-S163</f>
        <v>6.2233284529595478E-2</v>
      </c>
      <c r="T216" s="155">
        <f t="shared" si="196"/>
        <v>7.8666180913407602E-2</v>
      </c>
      <c r="U216" s="155">
        <f t="shared" si="196"/>
        <v>8.2447103482477149E-2</v>
      </c>
      <c r="V216" s="155">
        <f t="shared" si="196"/>
        <v>8.3461641943106624E-2</v>
      </c>
      <c r="W216" s="155">
        <f t="shared" si="196"/>
        <v>8.7239338045921808E-2</v>
      </c>
      <c r="X216" s="155">
        <f t="shared" si="196"/>
        <v>8.9353888793080982E-2</v>
      </c>
      <c r="Y216" s="155">
        <f t="shared" si="196"/>
        <v>9.1498807151742134E-2</v>
      </c>
      <c r="Z216" s="155">
        <f t="shared" si="196"/>
        <v>9.3498846931245355E-2</v>
      </c>
      <c r="AA216" s="155">
        <f t="shared" si="196"/>
        <v>9.5645645838647653E-2</v>
      </c>
      <c r="AB216" s="155">
        <f t="shared" si="196"/>
        <v>9.6140113140628827E-2</v>
      </c>
      <c r="AC216" s="155">
        <f t="shared" si="196"/>
        <v>9.8007943370025954E-2</v>
      </c>
      <c r="AD216" s="155">
        <f t="shared" si="196"/>
        <v>0.10004296485990399</v>
      </c>
      <c r="AE216" s="155">
        <f t="shared" si="196"/>
        <v>0.10178615441889768</v>
      </c>
      <c r="AF216" s="155">
        <f t="shared" si="196"/>
        <v>0.10348885734912237</v>
      </c>
      <c r="AG216" s="155">
        <f t="shared" si="196"/>
        <v>0.10474692624129889</v>
      </c>
      <c r="AH216" s="155">
        <f t="shared" si="196"/>
        <v>0.10621378464042737</v>
      </c>
      <c r="AI216" s="155">
        <f t="shared" si="196"/>
        <v>0.10756209223396783</v>
      </c>
      <c r="AJ216" s="155">
        <f t="shared" si="196"/>
        <v>0.10909549791282033</v>
      </c>
      <c r="AK216" s="155">
        <f t="shared" si="196"/>
        <v>0.11051708233495591</v>
      </c>
      <c r="AL216" s="155">
        <f t="shared" si="196"/>
        <v>0.11190232309011044</v>
      </c>
      <c r="AM216" s="155">
        <f t="shared" si="196"/>
        <v>0.1133043731900403</v>
      </c>
      <c r="AN216" s="155">
        <f t="shared" si="196"/>
        <v>0.11454924155576893</v>
      </c>
      <c r="AO216" s="155">
        <f t="shared" si="196"/>
        <v>0.11589078808327129</v>
      </c>
      <c r="AP216" s="155">
        <f t="shared" si="196"/>
        <v>0.11714010756474741</v>
      </c>
      <c r="AQ216" s="155">
        <f t="shared" si="196"/>
        <v>0.11851663098488162</v>
      </c>
      <c r="AR216" s="155">
        <f t="shared" ref="AR216:BO216" si="197">AR106+AR198-AR163</f>
        <v>0.11976337924107107</v>
      </c>
      <c r="AS216" s="155">
        <f t="shared" si="197"/>
        <v>0.12097587621637329</v>
      </c>
      <c r="AT216" s="155">
        <f t="shared" si="197"/>
        <v>0.12218424658192423</v>
      </c>
      <c r="AU216" s="155">
        <f t="shared" si="197"/>
        <v>0.12337721559622004</v>
      </c>
      <c r="AV216" s="155">
        <f t="shared" si="197"/>
        <v>0.1246191923475139</v>
      </c>
      <c r="AW216" s="155">
        <f t="shared" si="197"/>
        <v>0.12579096096584719</v>
      </c>
      <c r="AX216" s="155">
        <f t="shared" si="197"/>
        <v>0.1269413890183668</v>
      </c>
      <c r="AY216" s="155">
        <f t="shared" si="197"/>
        <v>0.12808421257903205</v>
      </c>
      <c r="AZ216" s="155">
        <f t="shared" si="197"/>
        <v>0.12920840041092327</v>
      </c>
      <c r="BA216" s="155">
        <f t="shared" si="197"/>
        <v>0.13032319610424581</v>
      </c>
      <c r="BB216" s="155">
        <f t="shared" si="197"/>
        <v>0.13139774418256239</v>
      </c>
      <c r="BC216" s="155">
        <f t="shared" si="197"/>
        <v>0.13245274084109362</v>
      </c>
      <c r="BD216" s="155">
        <f t="shared" si="197"/>
        <v>0.13348741725861288</v>
      </c>
      <c r="BE216" s="155">
        <f t="shared" si="197"/>
        <v>0.1344987781034695</v>
      </c>
      <c r="BF216" s="155">
        <f t="shared" si="197"/>
        <v>0.13548409416638191</v>
      </c>
      <c r="BG216" s="155">
        <f t="shared" si="197"/>
        <v>0.13644431577280774</v>
      </c>
      <c r="BH216" s="155">
        <f t="shared" si="197"/>
        <v>0.13737953507811046</v>
      </c>
      <c r="BI216" s="155">
        <f t="shared" si="197"/>
        <v>0.1382893678326465</v>
      </c>
      <c r="BJ216" s="155">
        <f t="shared" si="197"/>
        <v>0.13917196862096345</v>
      </c>
      <c r="BK216" s="155">
        <f t="shared" si="197"/>
        <v>0.14002676544114856</v>
      </c>
      <c r="BL216" s="155">
        <f t="shared" si="197"/>
        <v>0.14085268969332659</v>
      </c>
      <c r="BM216" s="155">
        <f t="shared" si="197"/>
        <v>0.14165025362815473</v>
      </c>
      <c r="BN216" s="155">
        <f t="shared" si="197"/>
        <v>0.14241873136567623</v>
      </c>
      <c r="BO216" s="155">
        <f t="shared" si="197"/>
        <v>0.14315741953275152</v>
      </c>
      <c r="BP216" s="114"/>
    </row>
    <row r="217" spans="1:68" x14ac:dyDescent="0.3">
      <c r="A217" s="388"/>
      <c r="D217" s="359"/>
      <c r="E217" s="115"/>
      <c r="F217" s="117" t="s">
        <v>402</v>
      </c>
      <c r="G217" s="153">
        <f t="shared" si="194"/>
        <v>0.6321879455799998</v>
      </c>
      <c r="H217" s="153">
        <f t="shared" si="194"/>
        <v>0.59055831554000016</v>
      </c>
      <c r="I217" s="153">
        <f t="shared" si="194"/>
        <v>0.57765784803999998</v>
      </c>
      <c r="J217" s="153">
        <f t="shared" si="194"/>
        <v>0.61226024516000011</v>
      </c>
      <c r="K217" s="153">
        <f t="shared" si="194"/>
        <v>2.8445957019999999E-2</v>
      </c>
      <c r="L217" s="154">
        <f t="shared" si="194"/>
        <v>1.0778693746981665</v>
      </c>
      <c r="M217" s="154">
        <f t="shared" ref="M217:R217" si="198">M107+M199-M164</f>
        <v>0.9612849378599998</v>
      </c>
      <c r="N217" s="154">
        <f t="shared" si="198"/>
        <v>1.1364256014309999</v>
      </c>
      <c r="O217" s="154">
        <f t="shared" si="198"/>
        <v>1.1358975848035</v>
      </c>
      <c r="P217" s="154">
        <f t="shared" si="198"/>
        <v>1.1918002202970002</v>
      </c>
      <c r="Q217" s="154">
        <f t="shared" si="198"/>
        <v>1.2854633564094</v>
      </c>
      <c r="R217" s="154">
        <f t="shared" si="198"/>
        <v>1.5159054211035998</v>
      </c>
      <c r="S217" s="155">
        <f t="shared" ref="S217:AQ217" si="199">S107+S199-S164</f>
        <v>1.7484062297790823</v>
      </c>
      <c r="T217" s="155">
        <f t="shared" si="199"/>
        <v>1.913717130026751</v>
      </c>
      <c r="U217" s="155">
        <f t="shared" si="199"/>
        <v>2.0764753521247767</v>
      </c>
      <c r="V217" s="155">
        <f t="shared" si="199"/>
        <v>2.238145839879992</v>
      </c>
      <c r="W217" s="155">
        <f t="shared" si="199"/>
        <v>2.4009415337439433</v>
      </c>
      <c r="X217" s="155">
        <f t="shared" si="199"/>
        <v>2.5630800519417014</v>
      </c>
      <c r="Y217" s="155">
        <f t="shared" si="199"/>
        <v>2.7252389550295106</v>
      </c>
      <c r="Z217" s="155">
        <f t="shared" si="199"/>
        <v>2.887340033679914</v>
      </c>
      <c r="AA217" s="155">
        <f t="shared" si="199"/>
        <v>3.0495157513993352</v>
      </c>
      <c r="AB217" s="155">
        <f t="shared" si="199"/>
        <v>3.2109066959694452</v>
      </c>
      <c r="AC217" s="155">
        <f t="shared" si="199"/>
        <v>3.3729513868329053</v>
      </c>
      <c r="AD217" s="155">
        <f t="shared" si="199"/>
        <v>3.535077848299971</v>
      </c>
      <c r="AE217" s="155">
        <f t="shared" si="199"/>
        <v>3.6970743105487749</v>
      </c>
      <c r="AF217" s="155">
        <f t="shared" si="199"/>
        <v>3.8590551401692093</v>
      </c>
      <c r="AG217" s="155">
        <f t="shared" si="199"/>
        <v>3.8760835083455101</v>
      </c>
      <c r="AH217" s="155">
        <f t="shared" si="199"/>
        <v>4.0003438895093462</v>
      </c>
      <c r="AI217" s="155">
        <f t="shared" si="199"/>
        <v>4.1103638227096893</v>
      </c>
      <c r="AJ217" s="155">
        <f t="shared" si="199"/>
        <v>4.214363988599156</v>
      </c>
      <c r="AK217" s="155">
        <f t="shared" si="199"/>
        <v>4.3008883546079888</v>
      </c>
      <c r="AL217" s="155">
        <f t="shared" si="199"/>
        <v>4.3904479087790156</v>
      </c>
      <c r="AM217" s="155">
        <f t="shared" si="199"/>
        <v>4.4964095728773952</v>
      </c>
      <c r="AN217" s="155">
        <f t="shared" si="199"/>
        <v>4.5768145234195989</v>
      </c>
      <c r="AO217" s="155">
        <f t="shared" si="199"/>
        <v>4.6753996434509437</v>
      </c>
      <c r="AP217" s="155">
        <f t="shared" si="199"/>
        <v>4.7602044910278778</v>
      </c>
      <c r="AQ217" s="155">
        <f t="shared" si="199"/>
        <v>4.8684074444262206</v>
      </c>
      <c r="AR217" s="155">
        <f t="shared" ref="AR217:BO217" si="200">AR107+AR199-AR164</f>
        <v>4.959424147584615</v>
      </c>
      <c r="AS217" s="155">
        <f t="shared" si="200"/>
        <v>5.0480334698708633</v>
      </c>
      <c r="AT217" s="155">
        <f t="shared" si="200"/>
        <v>5.1394536844069316</v>
      </c>
      <c r="AU217" s="155">
        <f t="shared" si="200"/>
        <v>5.2317596415377494</v>
      </c>
      <c r="AV217" s="155">
        <f t="shared" si="200"/>
        <v>5.336914706368276</v>
      </c>
      <c r="AW217" s="155">
        <f t="shared" si="200"/>
        <v>5.43282345188174</v>
      </c>
      <c r="AX217" s="155">
        <f t="shared" si="200"/>
        <v>5.5284839674863564</v>
      </c>
      <c r="AY217" s="155">
        <f t="shared" si="200"/>
        <v>5.6271926482537076</v>
      </c>
      <c r="AZ217" s="155">
        <f t="shared" si="200"/>
        <v>5.7268919528904307</v>
      </c>
      <c r="BA217" s="155">
        <f t="shared" si="200"/>
        <v>5.8293809749376679</v>
      </c>
      <c r="BB217" s="155">
        <f t="shared" si="200"/>
        <v>5.9286365342722354</v>
      </c>
      <c r="BC217" s="155">
        <f t="shared" si="200"/>
        <v>6.0287933128846571</v>
      </c>
      <c r="BD217" s="155">
        <f t="shared" si="200"/>
        <v>6.1298670293024626</v>
      </c>
      <c r="BE217" s="155">
        <f t="shared" si="200"/>
        <v>6.2314031767958591</v>
      </c>
      <c r="BF217" s="155">
        <f t="shared" si="200"/>
        <v>6.3329598726716068</v>
      </c>
      <c r="BG217" s="155">
        <f t="shared" si="200"/>
        <v>6.4347913767807503</v>
      </c>
      <c r="BH217" s="155">
        <f t="shared" si="200"/>
        <v>6.5370024592319442</v>
      </c>
      <c r="BI217" s="155">
        <f t="shared" si="200"/>
        <v>6.6396171736519412</v>
      </c>
      <c r="BJ217" s="155">
        <f t="shared" si="200"/>
        <v>6.7423399397217398</v>
      </c>
      <c r="BK217" s="155">
        <f t="shared" si="200"/>
        <v>6.8451411839863425</v>
      </c>
      <c r="BL217" s="155">
        <f t="shared" si="200"/>
        <v>6.9478747472778233</v>
      </c>
      <c r="BM217" s="155">
        <f t="shared" si="200"/>
        <v>7.0507395749808346</v>
      </c>
      <c r="BN217" s="155">
        <f t="shared" si="200"/>
        <v>7.1536539722287893</v>
      </c>
      <c r="BO217" s="155">
        <f t="shared" si="200"/>
        <v>7.2565383991932793</v>
      </c>
      <c r="BP217" s="114"/>
    </row>
    <row r="218" spans="1:68" x14ac:dyDescent="0.3">
      <c r="A218" s="388"/>
      <c r="D218" s="359"/>
      <c r="E218" s="115"/>
      <c r="F218" s="117" t="s">
        <v>403</v>
      </c>
      <c r="G218" s="153">
        <f t="shared" si="194"/>
        <v>0.44258848000000001</v>
      </c>
      <c r="H218" s="153">
        <f t="shared" si="194"/>
        <v>0.38116450999999996</v>
      </c>
      <c r="I218" s="153">
        <f t="shared" si="194"/>
        <v>0.35676077999999994</v>
      </c>
      <c r="J218" s="153">
        <f t="shared" si="194"/>
        <v>0.39978326000000003</v>
      </c>
      <c r="K218" s="153">
        <f t="shared" si="194"/>
        <v>1.32256869043</v>
      </c>
      <c r="L218" s="154">
        <f t="shared" si="194"/>
        <v>0.45542080666666673</v>
      </c>
      <c r="M218" s="154">
        <f t="shared" ref="M218:R218" si="201">M108+M200-M165</f>
        <v>0.52122907000000007</v>
      </c>
      <c r="N218" s="154">
        <f t="shared" si="201"/>
        <v>0.48889779000000005</v>
      </c>
      <c r="O218" s="154">
        <f t="shared" si="201"/>
        <v>0.35613556000000002</v>
      </c>
      <c r="P218" s="154">
        <f t="shared" si="201"/>
        <v>0.35728204999999996</v>
      </c>
      <c r="Q218" s="154">
        <f t="shared" si="201"/>
        <v>0.48066439999999999</v>
      </c>
      <c r="R218" s="154">
        <f t="shared" si="201"/>
        <v>0.35422895999999998</v>
      </c>
      <c r="S218" s="155">
        <f t="shared" ref="S218:AQ218" si="202">S108+S200-S165</f>
        <v>0.41322952625484877</v>
      </c>
      <c r="T218" s="155">
        <f t="shared" si="202"/>
        <v>0.44412708293298853</v>
      </c>
      <c r="U218" s="155">
        <f t="shared" si="202"/>
        <v>0.47203112628862354</v>
      </c>
      <c r="V218" s="155">
        <f t="shared" si="202"/>
        <v>0.47479879403821479</v>
      </c>
      <c r="W218" s="155">
        <f t="shared" si="202"/>
        <v>0.50399512527479207</v>
      </c>
      <c r="X218" s="155">
        <f t="shared" si="202"/>
        <v>0.51796926494501638</v>
      </c>
      <c r="Y218" s="155">
        <f t="shared" si="202"/>
        <v>0.53250741234814836</v>
      </c>
      <c r="Z218" s="155">
        <f t="shared" si="202"/>
        <v>0.5456998497344806</v>
      </c>
      <c r="AA218" s="155">
        <f t="shared" si="202"/>
        <v>0.56080348010440018</v>
      </c>
      <c r="AB218" s="155">
        <f t="shared" si="202"/>
        <v>0.55628521577569667</v>
      </c>
      <c r="AC218" s="155">
        <f t="shared" si="202"/>
        <v>0.56812613075359542</v>
      </c>
      <c r="AD218" s="155">
        <f t="shared" si="202"/>
        <v>0.58203311038632932</v>
      </c>
      <c r="AE218" s="155">
        <f t="shared" si="202"/>
        <v>0.59276809514145057</v>
      </c>
      <c r="AF218" s="155">
        <f t="shared" si="202"/>
        <v>0.60314498074506995</v>
      </c>
      <c r="AG218" s="155">
        <f t="shared" si="202"/>
        <v>0.61191741345079542</v>
      </c>
      <c r="AH218" s="155">
        <f t="shared" si="202"/>
        <v>0.62060851495456271</v>
      </c>
      <c r="AI218" s="155">
        <f t="shared" si="202"/>
        <v>0.62829907862846013</v>
      </c>
      <c r="AJ218" s="155">
        <f t="shared" si="202"/>
        <v>0.63858135053602072</v>
      </c>
      <c r="AK218" s="155">
        <f t="shared" si="202"/>
        <v>0.64808223129082732</v>
      </c>
      <c r="AL218" s="155">
        <f t="shared" si="202"/>
        <v>0.65718544798074929</v>
      </c>
      <c r="AM218" s="155">
        <f t="shared" si="202"/>
        <v>0.66620056307994446</v>
      </c>
      <c r="AN218" s="155">
        <f t="shared" si="202"/>
        <v>0.67400380555601014</v>
      </c>
      <c r="AO218" s="155">
        <f t="shared" si="202"/>
        <v>0.68272740546922828</v>
      </c>
      <c r="AP218" s="155">
        <f t="shared" si="202"/>
        <v>0.69076452377741382</v>
      </c>
      <c r="AQ218" s="155">
        <f t="shared" si="202"/>
        <v>0.70002508675923092</v>
      </c>
      <c r="AR218" s="155">
        <f t="shared" ref="AR218:BO218" si="203">AR108+AR200-AR165</f>
        <v>0.70818141748610552</v>
      </c>
      <c r="AS218" s="155">
        <f t="shared" si="203"/>
        <v>0.71610545213295917</v>
      </c>
      <c r="AT218" s="155">
        <f t="shared" si="203"/>
        <v>0.72406319604313674</v>
      </c>
      <c r="AU218" s="155">
        <f t="shared" si="203"/>
        <v>0.73195484085260132</v>
      </c>
      <c r="AV218" s="155">
        <f t="shared" si="203"/>
        <v>0.74035195519772945</v>
      </c>
      <c r="AW218" s="155">
        <f t="shared" si="203"/>
        <v>0.74822054508839619</v>
      </c>
      <c r="AX218" s="155">
        <f t="shared" si="203"/>
        <v>0.75599248728266821</v>
      </c>
      <c r="AY218" s="155">
        <f t="shared" si="203"/>
        <v>0.76377265355767654</v>
      </c>
      <c r="AZ218" s="155">
        <f t="shared" si="203"/>
        <v>0.7714689952578011</v>
      </c>
      <c r="BA218" s="155">
        <f t="shared" si="203"/>
        <v>0.77917188012793204</v>
      </c>
      <c r="BB218" s="155">
        <f t="shared" si="203"/>
        <v>0.78660858275756451</v>
      </c>
      <c r="BC218" s="155">
        <f t="shared" si="203"/>
        <v>0.79396745743954733</v>
      </c>
      <c r="BD218" s="155">
        <f t="shared" si="203"/>
        <v>0.80124226240861984</v>
      </c>
      <c r="BE218" s="155">
        <f t="shared" si="203"/>
        <v>0.808406439521697</v>
      </c>
      <c r="BF218" s="155">
        <f t="shared" si="203"/>
        <v>0.81543599871449957</v>
      </c>
      <c r="BG218" s="155">
        <f t="shared" si="203"/>
        <v>0.8223429798869295</v>
      </c>
      <c r="BH218" s="155">
        <f t="shared" si="203"/>
        <v>0.82913086918121859</v>
      </c>
      <c r="BI218" s="155">
        <f t="shared" si="203"/>
        <v>0.83579800612843091</v>
      </c>
      <c r="BJ218" s="155">
        <f t="shared" si="203"/>
        <v>0.84232888512935211</v>
      </c>
      <c r="BK218" s="155">
        <f t="shared" si="203"/>
        <v>0.84871969073704434</v>
      </c>
      <c r="BL218" s="155">
        <f t="shared" si="203"/>
        <v>0.85496185121403201</v>
      </c>
      <c r="BM218" s="155">
        <f t="shared" si="203"/>
        <v>0.86106194081905474</v>
      </c>
      <c r="BN218" s="155">
        <f t="shared" si="203"/>
        <v>0.86701495352786451</v>
      </c>
      <c r="BO218" s="155">
        <f t="shared" si="203"/>
        <v>0.87281582857450379</v>
      </c>
      <c r="BP218" s="114"/>
    </row>
    <row r="219" spans="1:68" x14ac:dyDescent="0.3">
      <c r="A219" s="388"/>
      <c r="D219" s="359" t="s">
        <v>525</v>
      </c>
      <c r="E219" s="115"/>
      <c r="F219" s="117" t="s">
        <v>404</v>
      </c>
      <c r="G219" s="156">
        <v>0.11372715868</v>
      </c>
      <c r="H219" s="156">
        <v>7.3707109180000008E-2</v>
      </c>
      <c r="I219" s="156">
        <v>0.12587076235</v>
      </c>
      <c r="J219" s="156">
        <v>0.16428543829</v>
      </c>
      <c r="K219" s="153">
        <v>0.24405024168</v>
      </c>
      <c r="L219" s="154">
        <f t="shared" ref="L219:R219" si="204">L109+L201-L166</f>
        <v>0.86233049620666691</v>
      </c>
      <c r="M219" s="154">
        <f t="shared" si="204"/>
        <v>0.74313893859999991</v>
      </c>
      <c r="N219" s="154">
        <f t="shared" si="204"/>
        <v>0.97986343769000006</v>
      </c>
      <c r="O219" s="154">
        <f t="shared" si="204"/>
        <v>0.81041011424000009</v>
      </c>
      <c r="P219" s="154">
        <f t="shared" si="204"/>
        <v>0.94249586699999999</v>
      </c>
      <c r="Q219" s="154">
        <f t="shared" si="204"/>
        <v>0.91618988825000036</v>
      </c>
      <c r="R219" s="154">
        <f t="shared" si="204"/>
        <v>0.94511519049370374</v>
      </c>
      <c r="S219" s="155">
        <f>S109+S201-S166</f>
        <v>1.1656097110748405</v>
      </c>
      <c r="T219" s="155">
        <f t="shared" ref="T219:AQ219" si="205">T109+T201-T166</f>
        <v>0.86192715459303659</v>
      </c>
      <c r="U219" s="155">
        <f t="shared" si="205"/>
        <v>0.88747830617921841</v>
      </c>
      <c r="V219" s="155">
        <f t="shared" si="205"/>
        <v>0.90180141269646763</v>
      </c>
      <c r="W219" s="155">
        <f t="shared" si="205"/>
        <v>0.9247506545520503</v>
      </c>
      <c r="X219" s="155">
        <f t="shared" si="205"/>
        <v>0.94116948910550946</v>
      </c>
      <c r="Y219" s="155">
        <f t="shared" si="205"/>
        <v>0.95720286734146809</v>
      </c>
      <c r="Z219" s="155">
        <f t="shared" si="205"/>
        <v>0.97282000838682436</v>
      </c>
      <c r="AA219" s="155">
        <f t="shared" si="205"/>
        <v>0.9879046986147979</v>
      </c>
      <c r="AB219" s="155">
        <f t="shared" si="205"/>
        <v>1.0062337477853429</v>
      </c>
      <c r="AC219" s="155">
        <f t="shared" si="205"/>
        <v>1.0219122555796616</v>
      </c>
      <c r="AD219" s="155">
        <f t="shared" si="205"/>
        <v>1.0372390396153293</v>
      </c>
      <c r="AE219" s="155">
        <f t="shared" si="205"/>
        <v>1.0525358185891112</v>
      </c>
      <c r="AF219" s="155">
        <f t="shared" si="205"/>
        <v>1.0677309513605926</v>
      </c>
      <c r="AG219" s="155">
        <f t="shared" si="205"/>
        <v>1.0820417918811371</v>
      </c>
      <c r="AH219" s="155">
        <f t="shared" si="205"/>
        <v>1.0970089602931083</v>
      </c>
      <c r="AI219" s="155">
        <f t="shared" si="205"/>
        <v>1.1119703747930458</v>
      </c>
      <c r="AJ219" s="155">
        <f t="shared" si="205"/>
        <v>1.1261682444055634</v>
      </c>
      <c r="AK219" s="155">
        <f t="shared" si="205"/>
        <v>1.1402012764555063</v>
      </c>
      <c r="AL219" s="155">
        <f t="shared" si="205"/>
        <v>1.154168916991662</v>
      </c>
      <c r="AM219" s="155">
        <f t="shared" si="205"/>
        <v>1.1681045888330313</v>
      </c>
      <c r="AN219" s="155">
        <f t="shared" si="205"/>
        <v>1.1820300875074561</v>
      </c>
      <c r="AO219" s="155">
        <f t="shared" si="205"/>
        <v>1.1956162908257024</v>
      </c>
      <c r="AP219" s="155">
        <f t="shared" si="205"/>
        <v>1.2091191207368581</v>
      </c>
      <c r="AQ219" s="155">
        <f t="shared" si="205"/>
        <v>1.2221586559057891</v>
      </c>
      <c r="AR219" s="155">
        <f t="shared" ref="AR219:BO219" si="206">AR109+AR201-AR166</f>
        <v>1.2352384073146787</v>
      </c>
      <c r="AS219" s="155">
        <f t="shared" si="206"/>
        <v>1.2481655249542771</v>
      </c>
      <c r="AT219" s="155">
        <f t="shared" si="206"/>
        <v>1.2608759947460517</v>
      </c>
      <c r="AU219" s="155">
        <f t="shared" si="206"/>
        <v>1.2733917261247911</v>
      </c>
      <c r="AV219" s="155">
        <f t="shared" si="206"/>
        <v>1.2855440580438739</v>
      </c>
      <c r="AW219" s="155">
        <f t="shared" si="206"/>
        <v>1.2975916983042555</v>
      </c>
      <c r="AX219" s="155">
        <f t="shared" si="206"/>
        <v>1.3094115270218851</v>
      </c>
      <c r="AY219" s="155">
        <f t="shared" si="206"/>
        <v>1.3209700375436575</v>
      </c>
      <c r="AZ219" s="155">
        <f t="shared" si="206"/>
        <v>1.3322819761259788</v>
      </c>
      <c r="BA219" s="155">
        <f t="shared" si="206"/>
        <v>1.3433023038026803</v>
      </c>
      <c r="BB219" s="155">
        <f t="shared" si="206"/>
        <v>1.3541148276724551</v>
      </c>
      <c r="BC219" s="155">
        <f t="shared" si="206"/>
        <v>1.3646443896115654</v>
      </c>
      <c r="BD219" s="155">
        <f t="shared" si="206"/>
        <v>1.3748828763388281</v>
      </c>
      <c r="BE219" s="155">
        <f t="shared" si="206"/>
        <v>1.38483079362488</v>
      </c>
      <c r="BF219" s="155">
        <f t="shared" si="206"/>
        <v>1.3944888174475789</v>
      </c>
      <c r="BG219" s="155">
        <f t="shared" si="206"/>
        <v>1.4038416052523779</v>
      </c>
      <c r="BH219" s="155">
        <f t="shared" si="206"/>
        <v>1.4128773306323579</v>
      </c>
      <c r="BI219" s="155">
        <f t="shared" si="206"/>
        <v>1.4215867458950027</v>
      </c>
      <c r="BJ219" s="155">
        <f t="shared" si="206"/>
        <v>1.4299675786758086</v>
      </c>
      <c r="BK219" s="155">
        <f t="shared" si="206"/>
        <v>1.4380125419576659</v>
      </c>
      <c r="BL219" s="155">
        <f t="shared" si="206"/>
        <v>1.4457170778918464</v>
      </c>
      <c r="BM219" s="155">
        <f t="shared" si="206"/>
        <v>1.4530687441095878</v>
      </c>
      <c r="BN219" s="155">
        <f t="shared" si="206"/>
        <v>1.4600610874115767</v>
      </c>
      <c r="BO219" s="155">
        <f t="shared" si="206"/>
        <v>1.4666881175331843</v>
      </c>
      <c r="BP219" s="114"/>
    </row>
    <row r="220" spans="1:68" x14ac:dyDescent="0.3">
      <c r="A220" s="388"/>
      <c r="D220" s="359" t="s">
        <v>525</v>
      </c>
      <c r="E220" s="115"/>
      <c r="F220" s="117" t="s">
        <v>405</v>
      </c>
      <c r="G220" s="156">
        <v>0.10207825920000001</v>
      </c>
      <c r="H220" s="156">
        <v>6.5676381239999998E-2</v>
      </c>
      <c r="I220" s="156">
        <v>8.5380913650000001E-2</v>
      </c>
      <c r="J220" s="156">
        <v>3.9332640070000001E-2</v>
      </c>
      <c r="K220" s="153">
        <v>0.11314017696000001</v>
      </c>
      <c r="L220" s="154">
        <f t="shared" ref="L220:R220" si="207">L110+L202-L167</f>
        <v>0.11523932673532772</v>
      </c>
      <c r="M220" s="154">
        <f t="shared" si="207"/>
        <v>8.7653019702018234E-2</v>
      </c>
      <c r="N220" s="154">
        <f t="shared" si="207"/>
        <v>0.20980732070745314</v>
      </c>
      <c r="O220" s="154">
        <f t="shared" si="207"/>
        <v>0.18250613814913397</v>
      </c>
      <c r="P220" s="154">
        <f t="shared" si="207"/>
        <v>0.19112520351487278</v>
      </c>
      <c r="Q220" s="154">
        <f t="shared" si="207"/>
        <v>0.15689085289981208</v>
      </c>
      <c r="R220" s="154">
        <f t="shared" si="207"/>
        <v>0.14502291746577867</v>
      </c>
      <c r="S220" s="155">
        <f t="shared" ref="S220:AQ220" si="208">S110+S202-S167</f>
        <v>0.15313606994131015</v>
      </c>
      <c r="T220" s="155">
        <f t="shared" si="208"/>
        <v>0.11202173983846433</v>
      </c>
      <c r="U220" s="155">
        <f t="shared" si="208"/>
        <v>0.11371868433315646</v>
      </c>
      <c r="V220" s="155">
        <f t="shared" si="208"/>
        <v>0.11622745983670546</v>
      </c>
      <c r="W220" s="155">
        <f t="shared" si="208"/>
        <v>0.11729428501429927</v>
      </c>
      <c r="X220" s="155">
        <f t="shared" si="208"/>
        <v>0.11890309804674101</v>
      </c>
      <c r="Y220" s="155">
        <f t="shared" si="208"/>
        <v>0.12037798354925565</v>
      </c>
      <c r="Z220" s="155">
        <f t="shared" si="208"/>
        <v>0.12193496769292118</v>
      </c>
      <c r="AA220" s="155">
        <f t="shared" si="208"/>
        <v>0.12317415630071481</v>
      </c>
      <c r="AB220" s="155">
        <f t="shared" si="208"/>
        <v>0.12730341200508116</v>
      </c>
      <c r="AC220" s="155">
        <f t="shared" si="208"/>
        <v>0.12903934701898268</v>
      </c>
      <c r="AD220" s="155">
        <f t="shared" si="208"/>
        <v>0.13047452343321606</v>
      </c>
      <c r="AE220" s="155">
        <f t="shared" si="208"/>
        <v>0.13227436406080334</v>
      </c>
      <c r="AF220" s="155">
        <f t="shared" si="208"/>
        <v>0.13410010493844776</v>
      </c>
      <c r="AG220" s="155">
        <f t="shared" si="208"/>
        <v>0.13590579665513233</v>
      </c>
      <c r="AH220" s="155">
        <f t="shared" si="208"/>
        <v>0.13787897421656115</v>
      </c>
      <c r="AI220" s="155">
        <f t="shared" si="208"/>
        <v>0.13996523454488122</v>
      </c>
      <c r="AJ220" s="155">
        <f t="shared" si="208"/>
        <v>0.14161204179032272</v>
      </c>
      <c r="AK220" s="155">
        <f t="shared" si="208"/>
        <v>0.1433162763388518</v>
      </c>
      <c r="AL220" s="155">
        <f t="shared" si="208"/>
        <v>0.14505835138428827</v>
      </c>
      <c r="AM220" s="155">
        <f t="shared" si="208"/>
        <v>0.1468128063944987</v>
      </c>
      <c r="AN220" s="155">
        <f t="shared" si="208"/>
        <v>0.14870009951230811</v>
      </c>
      <c r="AO220" s="155">
        <f t="shared" si="208"/>
        <v>0.15042714961913342</v>
      </c>
      <c r="AP220" s="155">
        <f t="shared" si="208"/>
        <v>0.15221643147025027</v>
      </c>
      <c r="AQ220" s="155">
        <f t="shared" si="208"/>
        <v>0.15378950502892597</v>
      </c>
      <c r="AR220" s="155">
        <f t="shared" ref="AR220:BO220" si="209">AR110+AR202-AR167</f>
        <v>0.15549455102552148</v>
      </c>
      <c r="AS220" s="155">
        <f t="shared" si="209"/>
        <v>0.15720010622772257</v>
      </c>
      <c r="AT220" s="155">
        <f t="shared" si="209"/>
        <v>0.15886538103470982</v>
      </c>
      <c r="AU220" s="155">
        <f t="shared" si="209"/>
        <v>0.16050529061795193</v>
      </c>
      <c r="AV220" s="155">
        <f t="shared" si="209"/>
        <v>0.1620268311594204</v>
      </c>
      <c r="AW220" s="155">
        <f t="shared" si="209"/>
        <v>0.1635894445912599</v>
      </c>
      <c r="AX220" s="155">
        <f t="shared" si="209"/>
        <v>0.16512358506660332</v>
      </c>
      <c r="AY220" s="155">
        <f t="shared" si="209"/>
        <v>0.16661201396723418</v>
      </c>
      <c r="AZ220" s="155">
        <f t="shared" si="209"/>
        <v>0.16806729431570375</v>
      </c>
      <c r="BA220" s="155">
        <f t="shared" si="209"/>
        <v>0.1694712753786714</v>
      </c>
      <c r="BB220" s="155">
        <f t="shared" si="209"/>
        <v>0.17086865316914374</v>
      </c>
      <c r="BC220" s="155">
        <f t="shared" si="209"/>
        <v>0.17222522547968269</v>
      </c>
      <c r="BD220" s="155">
        <f t="shared" si="209"/>
        <v>0.17354013528413328</v>
      </c>
      <c r="BE220" s="155">
        <f t="shared" si="209"/>
        <v>0.17481628186647033</v>
      </c>
      <c r="BF220" s="155">
        <f t="shared" si="209"/>
        <v>0.17605629728100303</v>
      </c>
      <c r="BG220" s="155">
        <f t="shared" si="209"/>
        <v>0.17725596400632812</v>
      </c>
      <c r="BH220" s="155">
        <f t="shared" si="209"/>
        <v>0.1784126412968183</v>
      </c>
      <c r="BI220" s="155">
        <f t="shared" si="209"/>
        <v>0.17952472283337059</v>
      </c>
      <c r="BJ220" s="155">
        <f t="shared" si="209"/>
        <v>0.18059336070056217</v>
      </c>
      <c r="BK220" s="155">
        <f t="shared" si="209"/>
        <v>0.18161753007890583</v>
      </c>
      <c r="BL220" s="155">
        <f t="shared" si="209"/>
        <v>0.18259721014305763</v>
      </c>
      <c r="BM220" s="155">
        <f t="shared" si="209"/>
        <v>0.18352931045336629</v>
      </c>
      <c r="BN220" s="155">
        <f t="shared" si="209"/>
        <v>0.18441307117657948</v>
      </c>
      <c r="BO220" s="155">
        <f t="shared" si="209"/>
        <v>0.18524782129553674</v>
      </c>
      <c r="BP220" s="114"/>
    </row>
    <row r="221" spans="1:68" x14ac:dyDescent="0.3">
      <c r="A221" s="388"/>
      <c r="D221" s="359"/>
      <c r="E221" s="115"/>
      <c r="F221" s="117" t="s">
        <v>406</v>
      </c>
      <c r="G221" s="158">
        <v>0</v>
      </c>
      <c r="H221" s="158">
        <v>0</v>
      </c>
      <c r="I221" s="158">
        <v>0</v>
      </c>
      <c r="J221" s="158">
        <v>0</v>
      </c>
      <c r="K221" s="153">
        <f>K111+K203-K169</f>
        <v>0.31483314089999997</v>
      </c>
      <c r="L221" s="154">
        <f t="shared" ref="L221:R221" si="210">L111+L203-L168</f>
        <v>0.44756851089999994</v>
      </c>
      <c r="M221" s="154">
        <f t="shared" si="210"/>
        <v>0.39219678829999999</v>
      </c>
      <c r="N221" s="154">
        <f t="shared" si="210"/>
        <v>0.45499716839999998</v>
      </c>
      <c r="O221" s="154">
        <f t="shared" si="210"/>
        <v>0.35244185919999993</v>
      </c>
      <c r="P221" s="154">
        <f t="shared" si="210"/>
        <v>0.3674134261</v>
      </c>
      <c r="Q221" s="154">
        <f t="shared" si="210"/>
        <v>0.2407493235</v>
      </c>
      <c r="R221" s="154">
        <f t="shared" si="210"/>
        <v>0.27267457750000001</v>
      </c>
      <c r="S221" s="155">
        <f t="shared" ref="S221:AQ221" si="211">S111+S203-S168</f>
        <v>0.17626938160177008</v>
      </c>
      <c r="T221" s="155">
        <f t="shared" si="211"/>
        <v>0.25307560935042928</v>
      </c>
      <c r="U221" s="155">
        <f t="shared" si="211"/>
        <v>0.25243096921953534</v>
      </c>
      <c r="V221" s="155">
        <f t="shared" si="211"/>
        <v>0.25996063723550611</v>
      </c>
      <c r="W221" s="155">
        <f t="shared" si="211"/>
        <v>0.25707793487445219</v>
      </c>
      <c r="X221" s="155">
        <f t="shared" si="211"/>
        <v>0.25930255608510155</v>
      </c>
      <c r="Y221" s="155">
        <f t="shared" si="211"/>
        <v>0.26099020533721673</v>
      </c>
      <c r="Z221" s="155">
        <f t="shared" si="211"/>
        <v>0.2632422513720028</v>
      </c>
      <c r="AA221" s="155">
        <f t="shared" si="211"/>
        <v>0.2640829649475927</v>
      </c>
      <c r="AB221" s="155">
        <f t="shared" si="211"/>
        <v>0.27832917211462221</v>
      </c>
      <c r="AC221" s="155">
        <f t="shared" si="211"/>
        <v>0.28145994720707318</v>
      </c>
      <c r="AD221" s="155">
        <f t="shared" si="211"/>
        <v>0.28319938054564048</v>
      </c>
      <c r="AE221" s="155">
        <f t="shared" si="211"/>
        <v>0.28679024207098774</v>
      </c>
      <c r="AF221" s="155">
        <f t="shared" si="211"/>
        <v>0.29054838258011767</v>
      </c>
      <c r="AG221" s="155">
        <f t="shared" si="211"/>
        <v>0.29441332223685091</v>
      </c>
      <c r="AH221" s="155">
        <f t="shared" si="211"/>
        <v>0.29896887949501366</v>
      </c>
      <c r="AI221" s="155">
        <f t="shared" si="211"/>
        <v>0.30408646477182244</v>
      </c>
      <c r="AJ221" s="155">
        <f t="shared" si="211"/>
        <v>0.30725741115988942</v>
      </c>
      <c r="AK221" s="155">
        <f t="shared" si="211"/>
        <v>0.31076465494809741</v>
      </c>
      <c r="AL221" s="155">
        <f t="shared" si="211"/>
        <v>0.31448921287267884</v>
      </c>
      <c r="AM221" s="155">
        <f t="shared" si="211"/>
        <v>0.31830085324182045</v>
      </c>
      <c r="AN221" s="155">
        <f t="shared" si="211"/>
        <v>0.32276752402674214</v>
      </c>
      <c r="AO221" s="155">
        <f t="shared" si="211"/>
        <v>0.32656257792665117</v>
      </c>
      <c r="AP221" s="155">
        <f t="shared" si="211"/>
        <v>0.33069197710215548</v>
      </c>
      <c r="AQ221" s="155">
        <f t="shared" si="211"/>
        <v>0.33391623089751638</v>
      </c>
      <c r="AR221" s="155">
        <f t="shared" ref="AR221:BO221" si="212">AR111+AR203-AR168</f>
        <v>0.33777972607068418</v>
      </c>
      <c r="AS221" s="155">
        <f t="shared" si="212"/>
        <v>0.34170004047776487</v>
      </c>
      <c r="AT221" s="155">
        <f t="shared" si="212"/>
        <v>0.34549850084330469</v>
      </c>
      <c r="AU221" s="155">
        <f t="shared" si="212"/>
        <v>0.34924105727619309</v>
      </c>
      <c r="AV221" s="155">
        <f t="shared" si="212"/>
        <v>0.35252851439699112</v>
      </c>
      <c r="AW221" s="155">
        <f t="shared" si="212"/>
        <v>0.35605527364239942</v>
      </c>
      <c r="AX221" s="155">
        <f t="shared" si="212"/>
        <v>0.35952180507300807</v>
      </c>
      <c r="AY221" s="155">
        <f t="shared" si="212"/>
        <v>0.36285583813783695</v>
      </c>
      <c r="AZ221" s="155">
        <f t="shared" si="212"/>
        <v>0.36611396764040632</v>
      </c>
      <c r="BA221" s="155">
        <f t="shared" si="212"/>
        <v>0.36922233946242111</v>
      </c>
      <c r="BB221" s="155">
        <f t="shared" si="212"/>
        <v>0.37237171594012564</v>
      </c>
      <c r="BC221" s="155">
        <f t="shared" si="212"/>
        <v>0.37541990772079226</v>
      </c>
      <c r="BD221" s="155">
        <f t="shared" si="212"/>
        <v>0.37836562845696092</v>
      </c>
      <c r="BE221" s="155">
        <f t="shared" si="212"/>
        <v>0.38122307174867115</v>
      </c>
      <c r="BF221" s="155">
        <f t="shared" si="212"/>
        <v>0.38400502817769105</v>
      </c>
      <c r="BG221" s="155">
        <f t="shared" si="212"/>
        <v>0.38669604407723079</v>
      </c>
      <c r="BH221" s="155">
        <f t="shared" si="212"/>
        <v>0.38928723765973505</v>
      </c>
      <c r="BI221" s="155">
        <f t="shared" si="212"/>
        <v>0.39177395282848143</v>
      </c>
      <c r="BJ221" s="155">
        <f t="shared" si="212"/>
        <v>0.3941626847732852</v>
      </c>
      <c r="BK221" s="155">
        <f t="shared" si="212"/>
        <v>0.39645095862870994</v>
      </c>
      <c r="BL221" s="155">
        <f t="shared" si="212"/>
        <v>0.39864028785211059</v>
      </c>
      <c r="BM221" s="155">
        <f t="shared" si="212"/>
        <v>0.40071981087755715</v>
      </c>
      <c r="BN221" s="155">
        <f t="shared" si="212"/>
        <v>0.40268804412043169</v>
      </c>
      <c r="BO221" s="155">
        <f t="shared" si="212"/>
        <v>0.40454378447419481</v>
      </c>
      <c r="BP221" s="114"/>
    </row>
    <row r="222" spans="1:68" ht="15" thickBot="1" x14ac:dyDescent="0.35">
      <c r="A222" s="354"/>
      <c r="B222" s="354"/>
      <c r="C222" s="354"/>
      <c r="D222" s="359"/>
      <c r="E222" s="135"/>
      <c r="F222" s="136"/>
      <c r="G222" s="136"/>
      <c r="H222" s="136"/>
      <c r="I222" s="136"/>
      <c r="J222" s="136"/>
      <c r="K222" s="136"/>
      <c r="L222" s="137"/>
      <c r="M222" s="137"/>
      <c r="N222" s="137"/>
      <c r="O222" s="137"/>
      <c r="P222" s="137"/>
      <c r="Q222" s="137"/>
      <c r="R222" s="137"/>
      <c r="S222" s="137"/>
      <c r="T222" s="137"/>
      <c r="U222" s="137"/>
      <c r="V222" s="137"/>
      <c r="W222" s="137"/>
      <c r="X222" s="137"/>
      <c r="Y222" s="137"/>
      <c r="Z222" s="137"/>
      <c r="AA222" s="137"/>
      <c r="AB222" s="137"/>
      <c r="AC222" s="137"/>
      <c r="AD222" s="137"/>
      <c r="AE222" s="137"/>
      <c r="AF222" s="137"/>
      <c r="AG222" s="137"/>
      <c r="AH222" s="137"/>
      <c r="AI222" s="137"/>
      <c r="AJ222" s="137"/>
      <c r="AK222" s="137"/>
      <c r="AL222" s="137"/>
      <c r="AM222" s="137"/>
      <c r="AN222" s="137"/>
      <c r="AO222" s="137"/>
      <c r="AP222" s="137"/>
      <c r="AQ222" s="137"/>
      <c r="AR222" s="137"/>
      <c r="AS222" s="137"/>
      <c r="AT222" s="137"/>
      <c r="AU222" s="137"/>
      <c r="AV222" s="137"/>
      <c r="AW222" s="137"/>
      <c r="AX222" s="137"/>
      <c r="AY222" s="137"/>
      <c r="AZ222" s="137"/>
      <c r="BA222" s="137"/>
      <c r="BB222" s="137"/>
      <c r="BC222" s="137"/>
      <c r="BD222" s="137"/>
      <c r="BE222" s="137"/>
      <c r="BF222" s="137"/>
      <c r="BG222" s="137"/>
      <c r="BH222" s="137"/>
      <c r="BI222" s="137"/>
      <c r="BJ222" s="137"/>
      <c r="BK222" s="137"/>
      <c r="BL222" s="137"/>
      <c r="BM222" s="137"/>
      <c r="BN222" s="137"/>
      <c r="BO222" s="137"/>
      <c r="BP222" s="138"/>
    </row>
    <row r="223" spans="1:68" x14ac:dyDescent="0.3">
      <c r="A223" s="354"/>
      <c r="B223" s="354"/>
      <c r="C223" s="354"/>
      <c r="D223" s="359"/>
      <c r="E223" s="359"/>
      <c r="F223" s="103"/>
      <c r="G223" s="103"/>
      <c r="H223" s="103"/>
      <c r="I223" s="103"/>
      <c r="J223" s="103"/>
      <c r="K223" s="103"/>
      <c r="L223" s="359"/>
      <c r="M223" s="359"/>
      <c r="N223" s="359"/>
      <c r="O223" s="359"/>
      <c r="P223" s="359"/>
      <c r="Q223" s="359"/>
      <c r="R223" s="359"/>
      <c r="S223" s="359"/>
      <c r="T223" s="359"/>
      <c r="U223" s="359"/>
      <c r="V223" s="359"/>
      <c r="W223" s="359"/>
      <c r="X223" s="359"/>
      <c r="Y223" s="359"/>
      <c r="Z223" s="359"/>
      <c r="AA223" s="359"/>
      <c r="AB223" s="359"/>
      <c r="AC223" s="359"/>
      <c r="AD223" s="359"/>
      <c r="AE223" s="359"/>
      <c r="AF223" s="359"/>
      <c r="AG223" s="359"/>
      <c r="AH223" s="359"/>
      <c r="AI223" s="359"/>
      <c r="AJ223" s="359"/>
      <c r="AK223" s="359"/>
      <c r="AL223" s="359"/>
      <c r="AM223" s="359"/>
      <c r="AN223" s="359"/>
      <c r="AO223" s="359"/>
      <c r="AP223" s="359"/>
      <c r="AQ223" s="359"/>
      <c r="AR223" s="359"/>
      <c r="AS223" s="359"/>
      <c r="AT223" s="359"/>
      <c r="AU223" s="359"/>
      <c r="AV223" s="359"/>
      <c r="AW223" s="359"/>
      <c r="AX223" s="359"/>
      <c r="AY223" s="359"/>
      <c r="AZ223" s="359"/>
      <c r="BA223" s="359"/>
      <c r="BB223" s="359"/>
      <c r="BC223" s="359"/>
      <c r="BD223" s="359"/>
      <c r="BE223" s="359"/>
      <c r="BF223" s="359"/>
      <c r="BG223" s="359"/>
      <c r="BH223" s="359"/>
      <c r="BI223" s="359"/>
      <c r="BJ223" s="359"/>
      <c r="BK223" s="359"/>
      <c r="BL223" s="359"/>
      <c r="BM223" s="359"/>
      <c r="BN223" s="359"/>
      <c r="BO223" s="359"/>
      <c r="BP223" s="103"/>
    </row>
    <row r="224" spans="1:68" x14ac:dyDescent="0.3">
      <c r="A224" s="354"/>
      <c r="B224" s="354"/>
      <c r="C224" s="354"/>
      <c r="D224" s="359"/>
      <c r="E224" s="359" t="s">
        <v>525</v>
      </c>
      <c r="F224" s="103" t="s">
        <v>533</v>
      </c>
      <c r="G224" s="103"/>
      <c r="H224" s="103"/>
      <c r="I224" s="103"/>
      <c r="J224" s="103"/>
      <c r="K224" s="103"/>
      <c r="L224" s="359"/>
      <c r="M224" s="359"/>
      <c r="N224" s="359"/>
      <c r="O224" s="359"/>
      <c r="P224" s="359"/>
      <c r="Q224" s="359"/>
      <c r="R224" s="359"/>
      <c r="S224" s="359"/>
      <c r="T224" s="359"/>
      <c r="U224" s="359"/>
      <c r="V224" s="359"/>
      <c r="W224" s="359"/>
      <c r="X224" s="359"/>
      <c r="Y224" s="359"/>
      <c r="Z224" s="359"/>
      <c r="AA224" s="359"/>
      <c r="AB224" s="359"/>
      <c r="AC224" s="359"/>
      <c r="AD224" s="359"/>
      <c r="AE224" s="359"/>
      <c r="AF224" s="359"/>
      <c r="AG224" s="359"/>
      <c r="AH224" s="359"/>
      <c r="AI224" s="359"/>
      <c r="AJ224" s="359"/>
      <c r="AK224" s="359"/>
      <c r="AL224" s="359"/>
      <c r="AM224" s="359"/>
      <c r="AN224" s="359"/>
      <c r="AO224" s="359"/>
      <c r="AP224" s="359"/>
      <c r="AQ224" s="359"/>
      <c r="AR224" s="359"/>
      <c r="AS224" s="359"/>
      <c r="AT224" s="359"/>
      <c r="AU224" s="359"/>
      <c r="AV224" s="359"/>
      <c r="AW224" s="359"/>
      <c r="AX224" s="359"/>
      <c r="AY224" s="359"/>
      <c r="AZ224" s="359"/>
      <c r="BA224" s="359"/>
      <c r="BB224" s="359"/>
      <c r="BC224" s="359"/>
      <c r="BD224" s="359"/>
      <c r="BE224" s="359"/>
      <c r="BF224" s="359"/>
      <c r="BG224" s="359"/>
      <c r="BH224" s="359"/>
      <c r="BI224" s="359"/>
      <c r="BJ224" s="359"/>
      <c r="BK224" s="359"/>
      <c r="BL224" s="359"/>
      <c r="BM224" s="359"/>
      <c r="BN224" s="359"/>
      <c r="BO224" s="359"/>
      <c r="BP224" s="103"/>
    </row>
    <row r="225" spans="1:81" x14ac:dyDescent="0.3">
      <c r="A225" s="354"/>
      <c r="B225" s="354"/>
      <c r="C225" s="354"/>
      <c r="D225" s="359"/>
      <c r="E225" s="359" t="s">
        <v>543</v>
      </c>
      <c r="F225" s="103" t="s">
        <v>555</v>
      </c>
      <c r="G225" s="103"/>
      <c r="H225" s="103"/>
      <c r="I225" s="103"/>
      <c r="J225" s="103"/>
      <c r="K225" s="103"/>
      <c r="L225" s="359"/>
      <c r="M225" s="359"/>
      <c r="N225" s="359"/>
      <c r="O225" s="359"/>
      <c r="P225" s="359"/>
      <c r="Q225" s="359"/>
      <c r="R225" s="359"/>
      <c r="S225" s="359"/>
      <c r="T225" s="359"/>
      <c r="U225" s="359"/>
      <c r="V225" s="359"/>
      <c r="W225" s="359"/>
      <c r="X225" s="359"/>
      <c r="Y225" s="359"/>
      <c r="Z225" s="359"/>
      <c r="AA225" s="359"/>
      <c r="AB225" s="359"/>
      <c r="AC225" s="359"/>
      <c r="AD225" s="359"/>
      <c r="AE225" s="359"/>
      <c r="AF225" s="359"/>
      <c r="AG225" s="359"/>
      <c r="AH225" s="359"/>
      <c r="AI225" s="359"/>
      <c r="AJ225" s="359"/>
      <c r="AK225" s="359"/>
      <c r="AL225" s="359"/>
      <c r="AM225" s="359"/>
      <c r="AN225" s="359"/>
      <c r="AO225" s="359"/>
      <c r="AP225" s="359"/>
      <c r="AQ225" s="359"/>
      <c r="AR225" s="359"/>
      <c r="AS225" s="359"/>
      <c r="AT225" s="359"/>
      <c r="AU225" s="359"/>
      <c r="AV225" s="359"/>
      <c r="AW225" s="359"/>
      <c r="AX225" s="359"/>
      <c r="AY225" s="359"/>
      <c r="AZ225" s="359"/>
      <c r="BA225" s="359"/>
      <c r="BB225" s="359"/>
      <c r="BC225" s="359"/>
      <c r="BD225" s="359"/>
      <c r="BE225" s="359"/>
      <c r="BF225" s="359"/>
      <c r="BG225" s="359"/>
      <c r="BH225" s="359"/>
      <c r="BI225" s="359"/>
      <c r="BJ225" s="359"/>
      <c r="BK225" s="359"/>
      <c r="BL225" s="359"/>
      <c r="BM225" s="359"/>
      <c r="BN225" s="359"/>
      <c r="BO225" s="359"/>
      <c r="BP225" s="103"/>
    </row>
    <row r="226" spans="1:81" x14ac:dyDescent="0.3">
      <c r="A226" s="354"/>
      <c r="B226" s="354"/>
      <c r="C226" s="354"/>
      <c r="D226" s="359"/>
      <c r="E226" s="359"/>
      <c r="F226" s="103"/>
      <c r="G226" s="103"/>
      <c r="H226" s="103"/>
      <c r="I226" s="103"/>
      <c r="J226" s="103"/>
      <c r="K226" s="103"/>
      <c r="L226" s="359"/>
      <c r="M226" s="359"/>
      <c r="N226" s="359"/>
      <c r="O226" s="359"/>
      <c r="P226" s="359"/>
      <c r="Q226" s="359"/>
      <c r="R226" s="359"/>
      <c r="S226" s="359"/>
      <c r="T226" s="359"/>
      <c r="U226" s="359"/>
      <c r="V226" s="359"/>
      <c r="W226" s="359"/>
      <c r="X226" s="359"/>
      <c r="Y226" s="359"/>
      <c r="Z226" s="359"/>
      <c r="AA226" s="359"/>
      <c r="AB226" s="359"/>
      <c r="AC226" s="359"/>
      <c r="AD226" s="359"/>
      <c r="AE226" s="359"/>
      <c r="AF226" s="359"/>
      <c r="AG226" s="359"/>
      <c r="AH226" s="359"/>
      <c r="AI226" s="359"/>
      <c r="AJ226" s="359"/>
      <c r="AK226" s="359"/>
      <c r="AL226" s="359"/>
      <c r="AM226" s="359"/>
      <c r="AN226" s="359"/>
      <c r="AO226" s="359"/>
      <c r="AP226" s="359"/>
      <c r="AQ226" s="359"/>
      <c r="AR226" s="359"/>
      <c r="AS226" s="359"/>
      <c r="AT226" s="359"/>
      <c r="AU226" s="359"/>
      <c r="AV226" s="359"/>
      <c r="AW226" s="359"/>
      <c r="AX226" s="359"/>
      <c r="AY226" s="359"/>
      <c r="AZ226" s="359"/>
      <c r="BA226" s="359"/>
      <c r="BB226" s="359"/>
      <c r="BC226" s="359"/>
      <c r="BD226" s="359"/>
      <c r="BE226" s="359"/>
      <c r="BF226" s="359"/>
      <c r="BG226" s="359"/>
      <c r="BH226" s="359"/>
      <c r="BI226" s="359"/>
      <c r="BJ226" s="359"/>
      <c r="BK226" s="359"/>
      <c r="BL226" s="359"/>
      <c r="BM226" s="359"/>
      <c r="BN226" s="359"/>
      <c r="BO226" s="359"/>
      <c r="BP226" s="103"/>
    </row>
    <row r="227" spans="1:81" ht="25.8" x14ac:dyDescent="0.3">
      <c r="A227" s="354"/>
      <c r="B227" s="354"/>
      <c r="C227" s="354"/>
      <c r="D227" s="359"/>
      <c r="E227" s="104"/>
      <c r="F227" s="104" t="s">
        <v>556</v>
      </c>
      <c r="G227" s="104"/>
      <c r="H227" s="103"/>
      <c r="I227" s="103"/>
      <c r="J227" s="103"/>
      <c r="K227" s="103"/>
      <c r="L227" s="359"/>
      <c r="M227" s="359"/>
      <c r="N227" s="359"/>
      <c r="O227" s="359"/>
      <c r="P227" s="359"/>
      <c r="Q227" s="359"/>
      <c r="R227" s="359"/>
      <c r="S227" s="359"/>
      <c r="T227" s="359"/>
      <c r="U227" s="359"/>
      <c r="V227" s="359"/>
      <c r="W227" s="359"/>
      <c r="X227" s="359"/>
      <c r="Y227" s="359"/>
      <c r="Z227" s="359"/>
      <c r="AA227" s="359"/>
      <c r="AB227" s="359"/>
      <c r="AC227" s="359"/>
      <c r="AD227" s="359"/>
      <c r="AE227" s="359"/>
      <c r="AF227" s="359"/>
      <c r="AG227" s="359"/>
      <c r="AH227" s="359"/>
      <c r="AI227" s="359"/>
      <c r="AJ227" s="359"/>
      <c r="AK227" s="359"/>
      <c r="AL227" s="359"/>
      <c r="AM227" s="359"/>
      <c r="AN227" s="359"/>
      <c r="AO227" s="359"/>
      <c r="AP227" s="359"/>
      <c r="AQ227" s="359"/>
      <c r="AR227" s="359"/>
      <c r="AS227" s="359"/>
      <c r="AT227" s="359"/>
      <c r="AU227" s="359"/>
      <c r="AV227" s="359"/>
      <c r="AW227" s="359"/>
      <c r="AX227" s="359"/>
      <c r="AY227" s="359"/>
      <c r="AZ227" s="359"/>
      <c r="BA227" s="359"/>
      <c r="BB227" s="359"/>
      <c r="BC227" s="359"/>
      <c r="BD227" s="359"/>
      <c r="BE227" s="359"/>
      <c r="BF227" s="359"/>
      <c r="BG227" s="359"/>
      <c r="BH227" s="359"/>
      <c r="BI227" s="359"/>
      <c r="BJ227" s="359"/>
      <c r="BK227" s="359"/>
      <c r="BL227" s="359"/>
      <c r="BM227" s="359"/>
      <c r="BN227" s="359"/>
      <c r="BO227" s="359"/>
      <c r="BP227" s="103"/>
    </row>
    <row r="228" spans="1:81" ht="15" thickBot="1" x14ac:dyDescent="0.35">
      <c r="A228" s="354"/>
      <c r="B228" s="354"/>
      <c r="C228" s="354"/>
      <c r="D228" s="359"/>
      <c r="E228" s="359"/>
      <c r="F228" s="103"/>
      <c r="G228" s="103"/>
      <c r="H228" s="103"/>
      <c r="I228" s="103"/>
      <c r="J228" s="103"/>
      <c r="K228" s="103"/>
      <c r="L228" s="359"/>
      <c r="M228" s="359"/>
      <c r="N228" s="359"/>
      <c r="O228" s="359"/>
      <c r="P228" s="359"/>
      <c r="Q228" s="359"/>
      <c r="R228" s="359"/>
      <c r="S228" s="359"/>
      <c r="T228" s="359"/>
      <c r="U228" s="359"/>
      <c r="V228" s="359"/>
      <c r="W228" s="359"/>
      <c r="X228" s="359"/>
      <c r="Y228" s="359"/>
      <c r="Z228" s="359"/>
      <c r="AA228" s="359"/>
      <c r="AB228" s="359"/>
      <c r="AC228" s="359"/>
      <c r="AD228" s="359"/>
      <c r="AE228" s="359"/>
      <c r="AF228" s="359"/>
      <c r="AG228" s="359"/>
      <c r="AH228" s="359"/>
      <c r="AI228" s="359"/>
      <c r="AJ228" s="359"/>
      <c r="AK228" s="359"/>
      <c r="AL228" s="359"/>
      <c r="AM228" s="359"/>
      <c r="AN228" s="359"/>
      <c r="AO228" s="359"/>
      <c r="AP228" s="359"/>
      <c r="AQ228" s="359"/>
      <c r="AR228" s="359"/>
      <c r="AS228" s="359"/>
      <c r="AT228" s="359"/>
      <c r="AU228" s="359"/>
      <c r="AV228" s="359"/>
      <c r="AW228" s="359"/>
      <c r="AX228" s="359"/>
      <c r="AY228" s="359"/>
      <c r="AZ228" s="359"/>
      <c r="BA228" s="359"/>
      <c r="BB228" s="359"/>
      <c r="BC228" s="359"/>
      <c r="BD228" s="359"/>
      <c r="BE228" s="359"/>
      <c r="BF228" s="359"/>
      <c r="BG228" s="359"/>
      <c r="BH228" s="359"/>
      <c r="BI228" s="359"/>
      <c r="BJ228" s="359"/>
      <c r="BK228" s="359"/>
      <c r="BL228" s="359"/>
      <c r="BM228" s="359"/>
      <c r="BN228" s="359"/>
      <c r="BO228" s="359"/>
      <c r="BP228" s="103"/>
    </row>
    <row r="229" spans="1:81" x14ac:dyDescent="0.3">
      <c r="A229" s="354"/>
      <c r="B229" s="354"/>
      <c r="C229" s="354"/>
      <c r="D229" s="359"/>
      <c r="E229" s="105"/>
      <c r="F229" s="106"/>
      <c r="G229" s="106"/>
      <c r="H229" s="106"/>
      <c r="I229" s="106"/>
      <c r="J229" s="106"/>
      <c r="K229" s="106"/>
      <c r="L229" s="107"/>
      <c r="M229" s="107"/>
      <c r="N229" s="107"/>
      <c r="O229" s="107"/>
      <c r="P229" s="107"/>
      <c r="Q229" s="107"/>
      <c r="R229" s="107"/>
      <c r="S229" s="107"/>
      <c r="T229" s="107"/>
      <c r="U229" s="107"/>
      <c r="V229" s="107"/>
      <c r="W229" s="107"/>
      <c r="X229" s="107"/>
      <c r="Y229" s="107"/>
      <c r="Z229" s="107"/>
      <c r="AA229" s="107"/>
      <c r="AB229" s="107"/>
      <c r="AC229" s="107"/>
      <c r="AD229" s="107"/>
      <c r="AE229" s="107"/>
      <c r="AF229" s="107"/>
      <c r="AG229" s="107"/>
      <c r="AH229" s="107"/>
      <c r="AI229" s="107"/>
      <c r="AJ229" s="107"/>
      <c r="AK229" s="107"/>
      <c r="AL229" s="107"/>
      <c r="AM229" s="107"/>
      <c r="AN229" s="107"/>
      <c r="AO229" s="107"/>
      <c r="AP229" s="107"/>
      <c r="AQ229" s="107"/>
      <c r="AR229" s="107"/>
      <c r="AS229" s="107"/>
      <c r="AT229" s="107"/>
      <c r="AU229" s="107"/>
      <c r="AV229" s="107"/>
      <c r="AW229" s="107"/>
      <c r="AX229" s="107"/>
      <c r="AY229" s="107"/>
      <c r="AZ229" s="107"/>
      <c r="BA229" s="107"/>
      <c r="BB229" s="107"/>
      <c r="BC229" s="107"/>
      <c r="BD229" s="107"/>
      <c r="BE229" s="107"/>
      <c r="BF229" s="107"/>
      <c r="BG229" s="107"/>
      <c r="BH229" s="107"/>
      <c r="BI229" s="107"/>
      <c r="BJ229" s="107"/>
      <c r="BK229" s="107"/>
      <c r="BL229" s="107"/>
      <c r="BM229" s="107"/>
      <c r="BN229" s="107"/>
      <c r="BO229" s="107"/>
      <c r="BP229" s="108"/>
    </row>
    <row r="230" spans="1:81" ht="15.6" x14ac:dyDescent="0.3">
      <c r="A230" s="354"/>
      <c r="B230" s="354"/>
      <c r="C230" s="354"/>
      <c r="D230" s="359"/>
      <c r="E230" s="115"/>
      <c r="F230" s="110" t="s">
        <v>557</v>
      </c>
      <c r="G230" s="111"/>
      <c r="H230" s="111"/>
      <c r="I230" s="111"/>
      <c r="J230" s="111"/>
      <c r="K230" s="111"/>
      <c r="L230" s="112"/>
      <c r="M230" s="113"/>
      <c r="N230" s="113"/>
      <c r="O230" s="113"/>
      <c r="P230" s="113"/>
      <c r="Q230" s="113"/>
      <c r="R230" s="113"/>
      <c r="S230" s="113"/>
      <c r="T230" s="113"/>
      <c r="U230" s="113"/>
      <c r="V230" s="113"/>
      <c r="W230" s="113"/>
      <c r="X230" s="113"/>
      <c r="Y230" s="113"/>
      <c r="Z230" s="113"/>
      <c r="AA230" s="113"/>
      <c r="AB230" s="113"/>
      <c r="AC230" s="113"/>
      <c r="AD230" s="113"/>
      <c r="AE230" s="113"/>
      <c r="AF230" s="113"/>
      <c r="AG230" s="113"/>
      <c r="AH230" s="113"/>
      <c r="AI230" s="113"/>
      <c r="AJ230" s="113"/>
      <c r="AK230" s="113"/>
      <c r="AL230" s="113"/>
      <c r="AM230" s="113"/>
      <c r="AN230" s="113"/>
      <c r="AO230" s="113"/>
      <c r="AP230" s="113"/>
      <c r="AQ230" s="113"/>
      <c r="AR230" s="113"/>
      <c r="AS230" s="113"/>
      <c r="AT230" s="113"/>
      <c r="AU230" s="113"/>
      <c r="AV230" s="113"/>
      <c r="AW230" s="113"/>
      <c r="AX230" s="113"/>
      <c r="AY230" s="113"/>
      <c r="AZ230" s="113"/>
      <c r="BA230" s="113"/>
      <c r="BB230" s="113"/>
      <c r="BC230" s="113"/>
      <c r="BD230" s="113"/>
      <c r="BE230" s="113"/>
      <c r="BF230" s="113"/>
      <c r="BG230" s="113"/>
      <c r="BH230" s="113"/>
      <c r="BI230" s="113"/>
      <c r="BJ230" s="113"/>
      <c r="BK230" s="113"/>
      <c r="BL230" s="113"/>
      <c r="BM230" s="113"/>
      <c r="BN230" s="113"/>
      <c r="BO230" s="113"/>
      <c r="BP230" s="114"/>
    </row>
    <row r="231" spans="1:81" ht="15.6" x14ac:dyDescent="0.3">
      <c r="A231" s="354"/>
      <c r="B231" s="354"/>
      <c r="C231" s="354"/>
      <c r="D231" s="359"/>
      <c r="E231" s="115"/>
      <c r="F231" s="116" t="s">
        <v>558</v>
      </c>
      <c r="G231" s="111"/>
      <c r="H231" s="111"/>
      <c r="I231" s="111"/>
      <c r="J231" s="111"/>
      <c r="K231" s="111"/>
      <c r="L231" s="112"/>
      <c r="M231" s="113"/>
      <c r="N231" s="113"/>
      <c r="O231" s="113"/>
      <c r="P231" s="113"/>
      <c r="Q231" s="113"/>
      <c r="R231" s="113"/>
      <c r="S231" s="113"/>
      <c r="T231" s="113"/>
      <c r="U231" s="113"/>
      <c r="V231" s="113"/>
      <c r="W231" s="113"/>
      <c r="X231" s="113"/>
      <c r="Y231" s="113"/>
      <c r="Z231" s="113"/>
      <c r="AA231" s="113"/>
      <c r="AB231" s="113"/>
      <c r="AC231" s="113"/>
      <c r="AD231" s="113"/>
      <c r="AE231" s="113"/>
      <c r="AF231" s="113"/>
      <c r="AG231" s="113"/>
      <c r="AH231" s="113"/>
      <c r="AI231" s="113"/>
      <c r="AJ231" s="113"/>
      <c r="AK231" s="113"/>
      <c r="AL231" s="113"/>
      <c r="AM231" s="113"/>
      <c r="AN231" s="113"/>
      <c r="AO231" s="113"/>
      <c r="AP231" s="113"/>
      <c r="AQ231" s="113"/>
      <c r="AR231" s="113"/>
      <c r="AS231" s="113"/>
      <c r="AT231" s="113"/>
      <c r="AU231" s="113"/>
      <c r="AV231" s="113"/>
      <c r="AW231" s="113"/>
      <c r="AX231" s="113"/>
      <c r="AY231" s="113"/>
      <c r="AZ231" s="113"/>
      <c r="BA231" s="113"/>
      <c r="BB231" s="113"/>
      <c r="BC231" s="113"/>
      <c r="BD231" s="113"/>
      <c r="BE231" s="113"/>
      <c r="BF231" s="113"/>
      <c r="BG231" s="113"/>
      <c r="BH231" s="113"/>
      <c r="BI231" s="113"/>
      <c r="BJ231" s="113"/>
      <c r="BK231" s="113"/>
      <c r="BL231" s="113"/>
      <c r="BM231" s="113"/>
      <c r="BN231" s="113"/>
      <c r="BO231" s="113"/>
      <c r="BP231" s="114"/>
    </row>
    <row r="232" spans="1:81" x14ac:dyDescent="0.3">
      <c r="A232" s="354" t="s">
        <v>487</v>
      </c>
      <c r="B232" s="354"/>
      <c r="C232" s="354"/>
      <c r="D232" s="359"/>
      <c r="E232" s="115"/>
      <c r="F232" s="117" t="s">
        <v>559</v>
      </c>
      <c r="G232" s="118">
        <v>393137</v>
      </c>
      <c r="H232" s="118">
        <v>329957</v>
      </c>
      <c r="I232" s="118">
        <v>371170</v>
      </c>
      <c r="J232" s="118">
        <v>396770</v>
      </c>
      <c r="K232" s="118">
        <v>354136</v>
      </c>
      <c r="L232" s="119">
        <v>375117</v>
      </c>
      <c r="M232" s="119">
        <v>366194</v>
      </c>
      <c r="N232" s="119">
        <v>358100</v>
      </c>
      <c r="O232" s="119">
        <v>298298</v>
      </c>
      <c r="P232" s="119">
        <v>257273</v>
      </c>
      <c r="Q232" s="119">
        <v>312876</v>
      </c>
      <c r="R232" s="119">
        <v>340281</v>
      </c>
      <c r="S232" s="119">
        <v>337783.21094381332</v>
      </c>
      <c r="T232" s="119"/>
      <c r="U232" s="119"/>
      <c r="V232" s="119"/>
      <c r="W232" s="119"/>
      <c r="X232" s="119"/>
      <c r="Y232" s="119"/>
      <c r="Z232" s="119"/>
      <c r="AA232" s="119"/>
      <c r="AB232" s="119"/>
      <c r="AC232" s="119"/>
      <c r="AD232" s="119"/>
      <c r="AE232" s="119"/>
      <c r="AF232" s="119"/>
      <c r="AG232" s="119"/>
      <c r="AH232" s="119"/>
      <c r="AI232" s="119"/>
      <c r="AJ232" s="119"/>
      <c r="AK232" s="119"/>
      <c r="AL232" s="119"/>
      <c r="AM232" s="119"/>
      <c r="AN232" s="119"/>
      <c r="AO232" s="119"/>
      <c r="AP232" s="119"/>
      <c r="AQ232" s="119"/>
      <c r="AR232" s="119"/>
      <c r="AS232" s="119"/>
      <c r="AT232" s="119"/>
      <c r="AU232" s="119"/>
      <c r="AV232" s="119"/>
      <c r="AW232" s="119"/>
      <c r="AX232" s="119"/>
      <c r="AY232" s="119"/>
      <c r="AZ232" s="119"/>
      <c r="BA232" s="119"/>
      <c r="BB232" s="119"/>
      <c r="BC232" s="119"/>
      <c r="BD232" s="119"/>
      <c r="BE232" s="119"/>
      <c r="BF232" s="119"/>
      <c r="BG232" s="119"/>
      <c r="BH232" s="119"/>
      <c r="BI232" s="119"/>
      <c r="BJ232" s="119"/>
      <c r="BK232" s="119"/>
      <c r="BL232" s="119"/>
      <c r="BM232" s="119"/>
      <c r="BN232" s="119"/>
      <c r="BO232" s="119"/>
      <c r="BP232" s="114"/>
    </row>
    <row r="233" spans="1:81" x14ac:dyDescent="0.3">
      <c r="A233" s="354" t="s">
        <v>487</v>
      </c>
      <c r="B233" s="354"/>
      <c r="C233" s="354"/>
      <c r="D233" s="359"/>
      <c r="E233" s="115"/>
      <c r="F233" s="117" t="s">
        <v>560</v>
      </c>
      <c r="G233" s="122">
        <v>0.39313700000000001</v>
      </c>
      <c r="H233" s="122">
        <v>0.329957</v>
      </c>
      <c r="I233" s="122">
        <v>0.37117</v>
      </c>
      <c r="J233" s="122">
        <v>0.39677000000000001</v>
      </c>
      <c r="K233" s="122">
        <v>0.35413600000000001</v>
      </c>
      <c r="L233" s="123">
        <v>0.37511699999999998</v>
      </c>
      <c r="M233" s="123">
        <v>0.36619400000000002</v>
      </c>
      <c r="N233" s="123">
        <v>0.35809999999999997</v>
      </c>
      <c r="O233" s="123">
        <v>0.29829800000000001</v>
      </c>
      <c r="P233" s="123">
        <v>0.25727299999999997</v>
      </c>
      <c r="Q233" s="123">
        <v>0.31287599999999999</v>
      </c>
      <c r="R233" s="123">
        <v>0.340281</v>
      </c>
      <c r="S233" s="123">
        <v>0.340281</v>
      </c>
      <c r="T233" s="124">
        <v>0.33859540986483794</v>
      </c>
      <c r="U233" s="124">
        <v>0.35922764475832381</v>
      </c>
      <c r="V233" s="124">
        <v>0.35984780646797282</v>
      </c>
      <c r="W233" s="124">
        <v>0.3814453976990142</v>
      </c>
      <c r="X233" s="124">
        <v>0.39092957084561686</v>
      </c>
      <c r="Y233" s="124">
        <v>0.40084146531978199</v>
      </c>
      <c r="Z233" s="124">
        <v>0.40966757278575539</v>
      </c>
      <c r="AA233" s="124">
        <v>0.41998770510330397</v>
      </c>
      <c r="AB233" s="124">
        <v>0.41477568425165773</v>
      </c>
      <c r="AC233" s="124">
        <v>0.42249196126021155</v>
      </c>
      <c r="AD233" s="124">
        <v>0.43182172337255709</v>
      </c>
      <c r="AE233" s="124">
        <v>0.43863304948159249</v>
      </c>
      <c r="AF233" s="124">
        <v>0.44514823968595341</v>
      </c>
      <c r="AG233" s="124">
        <v>0.45144378020778564</v>
      </c>
      <c r="AH233" s="124">
        <v>0.45688155264641533</v>
      </c>
      <c r="AI233" s="124">
        <v>0.46162581547748266</v>
      </c>
      <c r="AJ233" s="124">
        <v>0.46843658032993646</v>
      </c>
      <c r="AK233" s="124">
        <v>0.47474771904696406</v>
      </c>
      <c r="AL233" s="124">
        <v>0.48071235807010104</v>
      </c>
      <c r="AM233" s="124">
        <v>0.48647678896714791</v>
      </c>
      <c r="AN233" s="124">
        <v>0.49146726033208182</v>
      </c>
      <c r="AO233" s="124">
        <v>0.49703411428322952</v>
      </c>
      <c r="AP233" s="124">
        <v>0.50215355947799367</v>
      </c>
      <c r="AQ233" s="124">
        <v>0.50804642375346609</v>
      </c>
      <c r="AR233" s="124">
        <v>0.5131915804444831</v>
      </c>
      <c r="AS233" s="124">
        <v>0.51816269234086765</v>
      </c>
      <c r="AT233" s="124">
        <v>0.52312932460733552</v>
      </c>
      <c r="AU233" s="124">
        <v>0.52802788086331975</v>
      </c>
      <c r="AV233" s="124">
        <v>0.53321570015102482</v>
      </c>
      <c r="AW233" s="124">
        <v>0.53804975791690113</v>
      </c>
      <c r="AX233" s="124">
        <v>0.54280072296284143</v>
      </c>
      <c r="AY233" s="124">
        <v>0.5475263003063201</v>
      </c>
      <c r="AZ233" s="124">
        <v>0.55217022491524825</v>
      </c>
      <c r="BA233" s="124">
        <v>0.55678959491834024</v>
      </c>
      <c r="BB233" s="124">
        <v>0.56121734583580873</v>
      </c>
      <c r="BC233" s="124">
        <v>0.56556956255982382</v>
      </c>
      <c r="BD233" s="124">
        <v>0.56984157018117521</v>
      </c>
      <c r="BE233" s="124">
        <v>0.57401645154903447</v>
      </c>
      <c r="BF233" s="124">
        <v>0.57807923820371854</v>
      </c>
      <c r="BG233" s="124">
        <v>0.58203770212001837</v>
      </c>
      <c r="BH233" s="124">
        <v>0.58589409427496797</v>
      </c>
      <c r="BI233" s="124">
        <v>0.58964729148791362</v>
      </c>
      <c r="BJ233" s="124">
        <v>0.5932878552001648</v>
      </c>
      <c r="BK233" s="124">
        <v>0.59681343073730131</v>
      </c>
      <c r="BL233" s="124">
        <v>0.60021886857068851</v>
      </c>
      <c r="BM233" s="124">
        <v>0.60350814788707896</v>
      </c>
      <c r="BN233" s="124">
        <v>0.60667839461163886</v>
      </c>
      <c r="BO233" s="124">
        <v>0.6097266898413447</v>
      </c>
      <c r="BP233" s="114"/>
    </row>
    <row r="234" spans="1:81" ht="15.6" x14ac:dyDescent="0.3">
      <c r="A234" s="354"/>
      <c r="B234" s="354"/>
      <c r="C234" s="354"/>
      <c r="D234" s="359"/>
      <c r="E234" s="115"/>
      <c r="F234" s="116" t="s">
        <v>561</v>
      </c>
      <c r="G234" s="130"/>
      <c r="H234" s="130"/>
      <c r="I234" s="130"/>
      <c r="J234" s="130"/>
      <c r="K234" s="130"/>
      <c r="L234" s="131"/>
      <c r="M234" s="123"/>
      <c r="N234" s="123"/>
      <c r="O234" s="123"/>
      <c r="P234" s="123"/>
      <c r="Q234" s="123"/>
      <c r="R234" s="123"/>
      <c r="S234" s="113"/>
      <c r="T234" s="113"/>
      <c r="U234" s="113"/>
      <c r="V234" s="113"/>
      <c r="W234" s="113"/>
      <c r="X234" s="113"/>
      <c r="Y234" s="113"/>
      <c r="Z234" s="113"/>
      <c r="AA234" s="113"/>
      <c r="AB234" s="113"/>
      <c r="AC234" s="113"/>
      <c r="AD234" s="113"/>
      <c r="AE234" s="113"/>
      <c r="AF234" s="113"/>
      <c r="AG234" s="113"/>
      <c r="AH234" s="113"/>
      <c r="AI234" s="113"/>
      <c r="AJ234" s="113"/>
      <c r="AK234" s="113"/>
      <c r="AL234" s="113"/>
      <c r="AM234" s="113"/>
      <c r="AN234" s="113"/>
      <c r="AO234" s="113"/>
      <c r="AP234" s="113"/>
      <c r="AQ234" s="113"/>
      <c r="AR234" s="113"/>
      <c r="AS234" s="113"/>
      <c r="AT234" s="113"/>
      <c r="AU234" s="113"/>
      <c r="AV234" s="113"/>
      <c r="AW234" s="113"/>
      <c r="AX234" s="113"/>
      <c r="AY234" s="113"/>
      <c r="AZ234" s="113"/>
      <c r="BA234" s="113"/>
      <c r="BB234" s="113"/>
      <c r="BC234" s="113"/>
      <c r="BD234" s="113"/>
      <c r="BE234" s="113"/>
      <c r="BF234" s="113"/>
      <c r="BG234" s="113"/>
      <c r="BH234" s="113"/>
      <c r="BI234" s="113"/>
      <c r="BJ234" s="113"/>
      <c r="BK234" s="113"/>
      <c r="BL234" s="113"/>
      <c r="BM234" s="113"/>
      <c r="BN234" s="113"/>
      <c r="BO234" s="113"/>
      <c r="BP234" s="114"/>
    </row>
    <row r="235" spans="1:81" x14ac:dyDescent="0.3">
      <c r="A235" s="354" t="s">
        <v>487</v>
      </c>
      <c r="B235" s="354"/>
      <c r="C235" s="354"/>
      <c r="D235" s="359"/>
      <c r="E235" s="115"/>
      <c r="F235" s="117" t="s">
        <v>562</v>
      </c>
      <c r="G235" s="122">
        <v>1706193</v>
      </c>
      <c r="H235" s="122">
        <v>1477941</v>
      </c>
      <c r="I235" s="122">
        <v>1565535</v>
      </c>
      <c r="J235" s="122">
        <v>1516046</v>
      </c>
      <c r="K235" s="122">
        <v>1379954</v>
      </c>
      <c r="L235" s="123">
        <v>1652793</v>
      </c>
      <c r="M235" s="123">
        <v>1534537</v>
      </c>
      <c r="N235" s="123">
        <v>1066614</v>
      </c>
      <c r="O235" s="123">
        <v>1350093</v>
      </c>
      <c r="P235" s="123">
        <v>1099686</v>
      </c>
      <c r="Q235" s="123">
        <v>1336502</v>
      </c>
      <c r="R235" s="123">
        <v>1504214</v>
      </c>
      <c r="S235" s="142">
        <v>1561211.3866836196</v>
      </c>
      <c r="T235" s="142"/>
      <c r="U235" s="142"/>
      <c r="V235" s="142"/>
      <c r="W235" s="142"/>
      <c r="X235" s="142"/>
      <c r="Y235" s="142"/>
      <c r="Z235" s="142"/>
      <c r="AA235" s="142"/>
      <c r="AB235" s="142"/>
      <c r="AC235" s="142"/>
      <c r="AD235" s="142"/>
      <c r="AE235" s="142"/>
      <c r="AF235" s="142"/>
      <c r="AG235" s="142"/>
      <c r="AH235" s="142"/>
      <c r="AI235" s="142"/>
      <c r="AJ235" s="142"/>
      <c r="AK235" s="142"/>
      <c r="AL235" s="142"/>
      <c r="AM235" s="142"/>
      <c r="AN235" s="142"/>
      <c r="AO235" s="142"/>
      <c r="AP235" s="142"/>
      <c r="AQ235" s="142"/>
      <c r="AR235" s="142"/>
      <c r="AS235" s="142"/>
      <c r="AT235" s="142"/>
      <c r="AU235" s="142"/>
      <c r="AV235" s="142"/>
      <c r="AW235" s="142"/>
      <c r="AX235" s="142"/>
      <c r="AY235" s="142"/>
      <c r="AZ235" s="142"/>
      <c r="BA235" s="142"/>
      <c r="BB235" s="142"/>
      <c r="BC235" s="142"/>
      <c r="BD235" s="142"/>
      <c r="BE235" s="142"/>
      <c r="BF235" s="142"/>
      <c r="BG235" s="142"/>
      <c r="BH235" s="142"/>
      <c r="BI235" s="142"/>
      <c r="BJ235" s="142"/>
      <c r="BK235" s="142"/>
      <c r="BL235" s="142"/>
      <c r="BM235" s="142"/>
      <c r="BN235" s="142"/>
      <c r="BO235" s="142"/>
      <c r="BP235" s="114"/>
    </row>
    <row r="236" spans="1:81" x14ac:dyDescent="0.3">
      <c r="A236" s="354" t="s">
        <v>487</v>
      </c>
      <c r="B236" s="354"/>
      <c r="C236" s="354"/>
      <c r="D236" s="359"/>
      <c r="E236" s="115"/>
      <c r="F236" s="117" t="s">
        <v>563</v>
      </c>
      <c r="G236" s="122">
        <f t="shared" ref="G236:S236" si="213">G235/1000000</f>
        <v>1.7061930000000001</v>
      </c>
      <c r="H236" s="122">
        <f t="shared" si="213"/>
        <v>1.4779409999999999</v>
      </c>
      <c r="I236" s="122">
        <f t="shared" si="213"/>
        <v>1.5655349999999999</v>
      </c>
      <c r="J236" s="122">
        <f t="shared" si="213"/>
        <v>1.516046</v>
      </c>
      <c r="K236" s="122">
        <f t="shared" si="213"/>
        <v>1.3799539999999999</v>
      </c>
      <c r="L236" s="123">
        <f t="shared" si="213"/>
        <v>1.652793</v>
      </c>
      <c r="M236" s="123">
        <f t="shared" si="213"/>
        <v>1.534537</v>
      </c>
      <c r="N236" s="123">
        <f t="shared" si="213"/>
        <v>1.066614</v>
      </c>
      <c r="O236" s="123">
        <f t="shared" si="213"/>
        <v>1.350093</v>
      </c>
      <c r="P236" s="123">
        <f t="shared" si="213"/>
        <v>1.0996859999999999</v>
      </c>
      <c r="Q236" s="123">
        <f t="shared" si="213"/>
        <v>1.3365020000000001</v>
      </c>
      <c r="R236" s="123">
        <f t="shared" si="213"/>
        <v>1.5042139999999999</v>
      </c>
      <c r="S236" s="123">
        <f t="shared" si="213"/>
        <v>1.5612113866836195</v>
      </c>
      <c r="T236" s="332">
        <f>T238*T233</f>
        <v>1.4549106166482213</v>
      </c>
      <c r="U236" s="332">
        <f t="shared" ref="U236:BO236" si="214">U238*U233</f>
        <v>1.5548204301655137</v>
      </c>
      <c r="V236" s="332">
        <f t="shared" si="214"/>
        <v>1.5688614382714432</v>
      </c>
      <c r="W236" s="332">
        <f t="shared" si="214"/>
        <v>1.6751486400153748</v>
      </c>
      <c r="X236" s="332">
        <f t="shared" si="214"/>
        <v>1.7293174887618592</v>
      </c>
      <c r="Y236" s="332">
        <f t="shared" si="214"/>
        <v>1.7860931008886309</v>
      </c>
      <c r="Z236" s="332">
        <f t="shared" si="214"/>
        <v>1.8387313537811096</v>
      </c>
      <c r="AA236" s="332">
        <f t="shared" si="214"/>
        <v>1.8987968860083173</v>
      </c>
      <c r="AB236" s="332">
        <f t="shared" si="214"/>
        <v>1.8889065102693328</v>
      </c>
      <c r="AC236" s="332">
        <f t="shared" si="214"/>
        <v>1.9380762791597177</v>
      </c>
      <c r="AD236" s="332">
        <f t="shared" si="214"/>
        <v>1.9953181056707046</v>
      </c>
      <c r="AE236" s="332">
        <f t="shared" si="214"/>
        <v>2.0415698776126852</v>
      </c>
      <c r="AF236" s="332">
        <f t="shared" si="214"/>
        <v>2.0870016839476611</v>
      </c>
      <c r="AG236" s="332">
        <f t="shared" si="214"/>
        <v>2.1319501914466938</v>
      </c>
      <c r="AH236" s="332">
        <f t="shared" si="214"/>
        <v>2.1733628752583578</v>
      </c>
      <c r="AI236" s="332">
        <f t="shared" si="214"/>
        <v>2.2119430957237136</v>
      </c>
      <c r="AJ236" s="332">
        <f t="shared" si="214"/>
        <v>2.2609445181820713</v>
      </c>
      <c r="AK236" s="332">
        <f t="shared" si="214"/>
        <v>2.3081138722439887</v>
      </c>
      <c r="AL236" s="332">
        <f t="shared" si="214"/>
        <v>2.3541540167930437</v>
      </c>
      <c r="AM236" s="332">
        <f t="shared" si="214"/>
        <v>2.3997552490044156</v>
      </c>
      <c r="AN236" s="332">
        <f t="shared" si="214"/>
        <v>2.442050606731669</v>
      </c>
      <c r="AO236" s="332">
        <f t="shared" si="214"/>
        <v>2.4877200500238876</v>
      </c>
      <c r="AP236" s="332">
        <f t="shared" si="214"/>
        <v>2.5316699988760414</v>
      </c>
      <c r="AQ236" s="332">
        <f t="shared" si="214"/>
        <v>2.5800563377612966</v>
      </c>
      <c r="AR236" s="332">
        <f t="shared" si="214"/>
        <v>2.6251888699111752</v>
      </c>
      <c r="AS236" s="332">
        <f t="shared" si="214"/>
        <v>2.6699456038118266</v>
      </c>
      <c r="AT236" s="332">
        <f t="shared" si="214"/>
        <v>2.7151922124102059</v>
      </c>
      <c r="AU236" s="332">
        <f t="shared" si="214"/>
        <v>2.7606008000992133</v>
      </c>
      <c r="AV236" s="332">
        <f t="shared" si="214"/>
        <v>2.8080505672033342</v>
      </c>
      <c r="AW236" s="332">
        <f t="shared" si="214"/>
        <v>2.8541689501148229</v>
      </c>
      <c r="AX236" s="332">
        <f t="shared" si="214"/>
        <v>2.9003666008983275</v>
      </c>
      <c r="AY236" s="332">
        <f t="shared" si="214"/>
        <v>2.9469495716443714</v>
      </c>
      <c r="AZ236" s="332">
        <f t="shared" si="214"/>
        <v>2.9936149856549767</v>
      </c>
      <c r="BA236" s="332">
        <f t="shared" si="214"/>
        <v>3.0406701577888251</v>
      </c>
      <c r="BB236" s="332">
        <f t="shared" si="214"/>
        <v>3.0871983087749113</v>
      </c>
      <c r="BC236" s="332">
        <f t="shared" si="214"/>
        <v>3.1338247922409601</v>
      </c>
      <c r="BD236" s="332">
        <f t="shared" si="214"/>
        <v>3.1805194239687276</v>
      </c>
      <c r="BE236" s="332">
        <f t="shared" si="214"/>
        <v>3.2271823443539951</v>
      </c>
      <c r="BF236" s="332">
        <f t="shared" si="214"/>
        <v>3.2737218586966947</v>
      </c>
      <c r="BG236" s="332">
        <f t="shared" si="214"/>
        <v>3.3201733919744547</v>
      </c>
      <c r="BH236" s="332">
        <f t="shared" si="214"/>
        <v>3.366541781533035</v>
      </c>
      <c r="BI236" s="332">
        <f t="shared" si="214"/>
        <v>3.4128125676751129</v>
      </c>
      <c r="BJ236" s="332">
        <f t="shared" si="214"/>
        <v>3.4589224788512056</v>
      </c>
      <c r="BK236" s="332">
        <f t="shared" si="214"/>
        <v>3.5048480925850032</v>
      </c>
      <c r="BL236" s="332">
        <f t="shared" si="214"/>
        <v>3.5505488840561235</v>
      </c>
      <c r="BM236" s="332">
        <f t="shared" si="214"/>
        <v>3.596037661090568</v>
      </c>
      <c r="BN236" s="332">
        <f t="shared" si="214"/>
        <v>3.6412866049289554</v>
      </c>
      <c r="BO236" s="332">
        <f t="shared" si="214"/>
        <v>3.6862669430078379</v>
      </c>
      <c r="BP236" s="114"/>
    </row>
    <row r="237" spans="1:81" ht="15.6" x14ac:dyDescent="0.3">
      <c r="A237" s="354"/>
      <c r="B237" s="354"/>
      <c r="C237" s="354"/>
      <c r="D237" s="359"/>
      <c r="E237" s="115"/>
      <c r="F237" s="116" t="s">
        <v>564</v>
      </c>
      <c r="G237" s="130"/>
      <c r="H237" s="130"/>
      <c r="I237" s="130"/>
      <c r="J237" s="130"/>
      <c r="K237" s="130"/>
      <c r="L237" s="131"/>
      <c r="M237" s="123"/>
      <c r="N237" s="123"/>
      <c r="O237" s="123"/>
      <c r="P237" s="123"/>
      <c r="Q237" s="123"/>
      <c r="R237" s="123"/>
      <c r="S237" s="113"/>
      <c r="T237" s="113"/>
      <c r="U237" s="113"/>
      <c r="V237" s="113"/>
      <c r="W237" s="113"/>
      <c r="X237" s="113"/>
      <c r="Y237" s="113"/>
      <c r="Z237" s="113"/>
      <c r="AA237" s="113"/>
      <c r="AB237" s="113"/>
      <c r="AC237" s="113"/>
      <c r="AD237" s="113"/>
      <c r="AE237" s="113"/>
      <c r="AF237" s="113"/>
      <c r="AG237" s="113"/>
      <c r="AH237" s="113"/>
      <c r="AI237" s="113"/>
      <c r="AJ237" s="113"/>
      <c r="AK237" s="113"/>
      <c r="AL237" s="113"/>
      <c r="AM237" s="113"/>
      <c r="AN237" s="113"/>
      <c r="AO237" s="113"/>
      <c r="AP237" s="113"/>
      <c r="AQ237" s="113"/>
      <c r="AR237" s="113"/>
      <c r="AS237" s="113"/>
      <c r="AT237" s="113"/>
      <c r="AU237" s="113"/>
      <c r="AV237" s="113"/>
      <c r="AW237" s="113"/>
      <c r="AX237" s="113"/>
      <c r="AY237" s="113"/>
      <c r="AZ237" s="113"/>
      <c r="BA237" s="113"/>
      <c r="BB237" s="113"/>
      <c r="BC237" s="113"/>
      <c r="BD237" s="113"/>
      <c r="BE237" s="113"/>
      <c r="BF237" s="113"/>
      <c r="BG237" s="113"/>
      <c r="BH237" s="113"/>
      <c r="BI237" s="113"/>
      <c r="BJ237" s="113"/>
      <c r="BK237" s="113"/>
      <c r="BL237" s="113"/>
      <c r="BM237" s="113"/>
      <c r="BN237" s="113"/>
      <c r="BO237" s="113"/>
      <c r="BP237" s="114"/>
    </row>
    <row r="238" spans="1:81" ht="27.6" x14ac:dyDescent="0.3">
      <c r="A238" s="352" t="s">
        <v>565</v>
      </c>
      <c r="B238" s="144">
        <v>35</v>
      </c>
      <c r="C238" s="84">
        <f>B238/(2070-2022)/100</f>
        <v>7.2916666666666659E-3</v>
      </c>
      <c r="D238" s="359"/>
      <c r="E238" s="115"/>
      <c r="F238" s="117" t="s">
        <v>566</v>
      </c>
      <c r="G238" s="160">
        <f>G236/G233</f>
        <v>4.3399451081938354</v>
      </c>
      <c r="H238" s="160">
        <f t="shared" ref="H238:S238" si="215">H236/H233</f>
        <v>4.4791927432968537</v>
      </c>
      <c r="I238" s="160">
        <f t="shared" si="215"/>
        <v>4.2178381873535038</v>
      </c>
      <c r="J238" s="160">
        <f t="shared" si="215"/>
        <v>3.8209693273180934</v>
      </c>
      <c r="K238" s="160">
        <f t="shared" si="215"/>
        <v>3.8966781123636114</v>
      </c>
      <c r="L238" s="160">
        <f t="shared" si="215"/>
        <v>4.4060733051287997</v>
      </c>
      <c r="M238" s="160">
        <f t="shared" si="215"/>
        <v>4.190502848217065</v>
      </c>
      <c r="N238" s="160">
        <f t="shared" si="215"/>
        <v>2.9785367215861491</v>
      </c>
      <c r="O238" s="160">
        <f t="shared" si="215"/>
        <v>4.5259874353834082</v>
      </c>
      <c r="P238" s="160">
        <f t="shared" si="215"/>
        <v>4.2743933486996308</v>
      </c>
      <c r="Q238" s="160">
        <f t="shared" si="215"/>
        <v>4.2716667305897547</v>
      </c>
      <c r="R238" s="160">
        <f t="shared" si="215"/>
        <v>4.4205054058263613</v>
      </c>
      <c r="S238" s="160">
        <f t="shared" si="215"/>
        <v>4.5880063438264829</v>
      </c>
      <c r="T238" s="331">
        <f>'Rendimientos Tendencial'!R16</f>
        <v>4.2968999999999973</v>
      </c>
      <c r="U238" s="331">
        <f t="shared" ref="U238:BO238" si="216">T238*(1+$C$238)</f>
        <v>4.3282315624999974</v>
      </c>
      <c r="V238" s="331">
        <f t="shared" si="216"/>
        <v>4.3597915843098933</v>
      </c>
      <c r="W238" s="331">
        <f t="shared" si="216"/>
        <v>4.3915817312788201</v>
      </c>
      <c r="X238" s="331">
        <f t="shared" si="216"/>
        <v>4.423603681402728</v>
      </c>
      <c r="Y238" s="331">
        <f t="shared" si="216"/>
        <v>4.4558591249129567</v>
      </c>
      <c r="Z238" s="331">
        <f t="shared" si="216"/>
        <v>4.4883497643654469</v>
      </c>
      <c r="AA238" s="331">
        <f t="shared" si="216"/>
        <v>4.5210773147306114</v>
      </c>
      <c r="AB238" s="331">
        <f t="shared" si="216"/>
        <v>4.5540435034838556</v>
      </c>
      <c r="AC238" s="331">
        <f t="shared" si="216"/>
        <v>4.5872500706967587</v>
      </c>
      <c r="AD238" s="331">
        <f t="shared" si="216"/>
        <v>4.6206987691289223</v>
      </c>
      <c r="AE238" s="331">
        <f t="shared" si="216"/>
        <v>4.6543913643204871</v>
      </c>
      <c r="AF238" s="331">
        <f t="shared" si="216"/>
        <v>4.6883296346853243</v>
      </c>
      <c r="AG238" s="331">
        <f t="shared" si="216"/>
        <v>4.7225153716049046</v>
      </c>
      <c r="AH238" s="331">
        <f t="shared" si="216"/>
        <v>4.7569503795228574</v>
      </c>
      <c r="AI238" s="331">
        <f t="shared" si="216"/>
        <v>4.7916364760402113</v>
      </c>
      <c r="AJ238" s="331">
        <f t="shared" si="216"/>
        <v>4.8265754920113375</v>
      </c>
      <c r="AK238" s="331">
        <f t="shared" si="216"/>
        <v>4.8617692716405871</v>
      </c>
      <c r="AL238" s="331">
        <f t="shared" si="216"/>
        <v>4.8972196725796335</v>
      </c>
      <c r="AM238" s="331">
        <f t="shared" si="216"/>
        <v>4.9329285660255264</v>
      </c>
      <c r="AN238" s="331">
        <f t="shared" si="216"/>
        <v>4.9688978368194627</v>
      </c>
      <c r="AO238" s="331">
        <f t="shared" si="216"/>
        <v>5.0051293835462713</v>
      </c>
      <c r="AP238" s="331">
        <f t="shared" si="216"/>
        <v>5.0416251186346299</v>
      </c>
      <c r="AQ238" s="331">
        <f t="shared" si="216"/>
        <v>5.0783869684580072</v>
      </c>
      <c r="AR238" s="331">
        <f t="shared" si="216"/>
        <v>5.115416873436347</v>
      </c>
      <c r="AS238" s="331">
        <f t="shared" si="216"/>
        <v>5.1527167881384868</v>
      </c>
      <c r="AT238" s="331">
        <f t="shared" si="216"/>
        <v>5.1902886813853302</v>
      </c>
      <c r="AU238" s="331">
        <f t="shared" si="216"/>
        <v>5.2281345363537648</v>
      </c>
      <c r="AV238" s="331">
        <f t="shared" si="216"/>
        <v>5.2662563506813447</v>
      </c>
      <c r="AW238" s="331">
        <f t="shared" si="216"/>
        <v>5.3046561365717295</v>
      </c>
      <c r="AX238" s="331">
        <f t="shared" si="216"/>
        <v>5.3433359209008984</v>
      </c>
      <c r="AY238" s="331">
        <f t="shared" si="216"/>
        <v>5.3822977453241343</v>
      </c>
      <c r="AZ238" s="331">
        <f t="shared" si="216"/>
        <v>5.4215436663837897</v>
      </c>
      <c r="BA238" s="331">
        <f t="shared" si="216"/>
        <v>5.4610757556178386</v>
      </c>
      <c r="BB238" s="331">
        <f t="shared" si="216"/>
        <v>5.5008960996692187</v>
      </c>
      <c r="BC238" s="331">
        <f t="shared" si="216"/>
        <v>5.5410068003959738</v>
      </c>
      <c r="BD238" s="331">
        <f t="shared" si="216"/>
        <v>5.5814099749821944</v>
      </c>
      <c r="BE238" s="331">
        <f t="shared" si="216"/>
        <v>5.6221077560497728</v>
      </c>
      <c r="BF238" s="331">
        <f t="shared" si="216"/>
        <v>5.6631022917709695</v>
      </c>
      <c r="BG238" s="331">
        <f t="shared" si="216"/>
        <v>5.7043957459817998</v>
      </c>
      <c r="BH238" s="331">
        <f t="shared" si="216"/>
        <v>5.7459902982962507</v>
      </c>
      <c r="BI238" s="331">
        <f t="shared" si="216"/>
        <v>5.7878881442213279</v>
      </c>
      <c r="BJ238" s="331">
        <f t="shared" si="216"/>
        <v>5.8300914952729421</v>
      </c>
      <c r="BK238" s="331">
        <f t="shared" si="216"/>
        <v>5.8726025790926411</v>
      </c>
      <c r="BL238" s="331">
        <f t="shared" si="216"/>
        <v>5.9154236395651916</v>
      </c>
      <c r="BM238" s="331">
        <f t="shared" si="216"/>
        <v>5.958556936937021</v>
      </c>
      <c r="BN238" s="331">
        <f t="shared" si="216"/>
        <v>6.0020047479355201</v>
      </c>
      <c r="BO238" s="331">
        <f t="shared" si="216"/>
        <v>6.0457693658892167</v>
      </c>
      <c r="BP238" s="161"/>
      <c r="BQ238" s="82"/>
      <c r="BR238" s="82"/>
      <c r="BS238" s="82"/>
      <c r="BT238" s="82"/>
      <c r="BU238" s="82"/>
      <c r="BV238" s="82"/>
      <c r="BW238" s="82"/>
      <c r="BX238" s="82"/>
      <c r="BY238" s="82"/>
      <c r="BZ238" s="82"/>
      <c r="CA238" s="82"/>
      <c r="CB238" s="82"/>
      <c r="CC238" s="82"/>
    </row>
    <row r="239" spans="1:81" ht="15.6" x14ac:dyDescent="0.3">
      <c r="A239" s="354"/>
      <c r="B239" s="354"/>
      <c r="C239" s="354"/>
      <c r="D239" s="359"/>
      <c r="E239" s="115"/>
      <c r="F239" s="116" t="s">
        <v>567</v>
      </c>
      <c r="G239" s="130"/>
      <c r="H239" s="130"/>
      <c r="I239" s="130"/>
      <c r="J239" s="130"/>
      <c r="K239" s="130"/>
      <c r="L239" s="131"/>
      <c r="M239" s="123"/>
      <c r="N239" s="123"/>
      <c r="O239" s="123"/>
      <c r="P239" s="123"/>
      <c r="Q239" s="123"/>
      <c r="R239" s="123"/>
      <c r="S239" s="113"/>
      <c r="T239" s="113"/>
      <c r="U239" s="113"/>
      <c r="V239" s="113"/>
      <c r="W239" s="113"/>
      <c r="X239" s="113"/>
      <c r="Y239" s="113"/>
      <c r="Z239" s="113"/>
      <c r="AA239" s="113"/>
      <c r="AB239" s="113"/>
      <c r="AC239" s="113"/>
      <c r="AD239" s="113"/>
      <c r="AE239" s="113"/>
      <c r="AF239" s="113"/>
      <c r="AG239" s="113"/>
      <c r="AH239" s="113"/>
      <c r="AI239" s="113"/>
      <c r="AJ239" s="113"/>
      <c r="AK239" s="113"/>
      <c r="AL239" s="113"/>
      <c r="AM239" s="113"/>
      <c r="AN239" s="113"/>
      <c r="AO239" s="113"/>
      <c r="AP239" s="113"/>
      <c r="AQ239" s="113"/>
      <c r="AR239" s="113"/>
      <c r="AS239" s="113"/>
      <c r="AT239" s="113"/>
      <c r="AU239" s="113"/>
      <c r="AV239" s="113"/>
      <c r="AW239" s="113"/>
      <c r="AX239" s="113"/>
      <c r="AY239" s="113"/>
      <c r="AZ239" s="113"/>
      <c r="BA239" s="113"/>
      <c r="BB239" s="113"/>
      <c r="BC239" s="113"/>
      <c r="BD239" s="113"/>
      <c r="BE239" s="113"/>
      <c r="BF239" s="113"/>
      <c r="BG239" s="113"/>
      <c r="BH239" s="113"/>
      <c r="BI239" s="113"/>
      <c r="BJ239" s="113"/>
      <c r="BK239" s="113"/>
      <c r="BL239" s="113"/>
      <c r="BM239" s="113"/>
      <c r="BN239" s="113"/>
      <c r="BO239" s="113"/>
      <c r="BP239" s="114"/>
    </row>
    <row r="240" spans="1:81" x14ac:dyDescent="0.3">
      <c r="A240" s="354" t="s">
        <v>568</v>
      </c>
      <c r="B240" s="354"/>
      <c r="C240" s="354"/>
      <c r="D240" s="359"/>
      <c r="E240" s="115"/>
      <c r="F240" s="117" t="s">
        <v>562</v>
      </c>
      <c r="G240" s="122">
        <v>12826.722000000002</v>
      </c>
      <c r="H240" s="122">
        <v>25369.691999999995</v>
      </c>
      <c r="I240" s="122">
        <v>14418.439999999999</v>
      </c>
      <c r="J240" s="122">
        <v>43176.637000000002</v>
      </c>
      <c r="K240" s="122">
        <v>16054.075000000001</v>
      </c>
      <c r="L240" s="123">
        <v>1112.3330000000001</v>
      </c>
      <c r="M240" s="123">
        <v>210.28700000000003</v>
      </c>
      <c r="N240" s="123">
        <v>446.59800000000001</v>
      </c>
      <c r="O240" s="123">
        <v>31556.05904</v>
      </c>
      <c r="P240" s="123">
        <v>29026.78066</v>
      </c>
      <c r="Q240" s="123">
        <v>44062.796729000002</v>
      </c>
      <c r="R240" s="123">
        <v>19135.541829999998</v>
      </c>
      <c r="S240" s="142"/>
      <c r="T240" s="142"/>
      <c r="U240" s="142"/>
      <c r="V240" s="142"/>
      <c r="W240" s="142"/>
      <c r="X240" s="142"/>
      <c r="Y240" s="142"/>
      <c r="Z240" s="142"/>
      <c r="AA240" s="142"/>
      <c r="AB240" s="142"/>
      <c r="AC240" s="142"/>
      <c r="AD240" s="142"/>
      <c r="AE240" s="142"/>
      <c r="AF240" s="142"/>
      <c r="AG240" s="142"/>
      <c r="AH240" s="142"/>
      <c r="AI240" s="142"/>
      <c r="AJ240" s="142"/>
      <c r="AK240" s="142"/>
      <c r="AL240" s="142"/>
      <c r="AM240" s="142"/>
      <c r="AN240" s="142"/>
      <c r="AO240" s="142"/>
      <c r="AP240" s="142"/>
      <c r="AQ240" s="142"/>
      <c r="AR240" s="142"/>
      <c r="AS240" s="142"/>
      <c r="AT240" s="142"/>
      <c r="AU240" s="142"/>
      <c r="AV240" s="142"/>
      <c r="AW240" s="142"/>
      <c r="AX240" s="142"/>
      <c r="AY240" s="142"/>
      <c r="AZ240" s="142"/>
      <c r="BA240" s="142"/>
      <c r="BB240" s="142"/>
      <c r="BC240" s="142"/>
      <c r="BD240" s="142"/>
      <c r="BE240" s="142"/>
      <c r="BF240" s="142"/>
      <c r="BG240" s="142"/>
      <c r="BH240" s="142"/>
      <c r="BI240" s="142"/>
      <c r="BJ240" s="142"/>
      <c r="BK240" s="142"/>
      <c r="BL240" s="142"/>
      <c r="BM240" s="142"/>
      <c r="BN240" s="142"/>
      <c r="BO240" s="142"/>
      <c r="BP240" s="114"/>
    </row>
    <row r="241" spans="1:81" x14ac:dyDescent="0.3">
      <c r="A241" s="354" t="s">
        <v>568</v>
      </c>
      <c r="B241" s="354"/>
      <c r="C241" s="354"/>
      <c r="D241" s="359"/>
      <c r="E241" s="115"/>
      <c r="F241" s="117" t="s">
        <v>563</v>
      </c>
      <c r="G241" s="122">
        <f t="shared" ref="G241:R241" si="217">G240/1000000</f>
        <v>1.2826722000000002E-2</v>
      </c>
      <c r="H241" s="122">
        <f t="shared" si="217"/>
        <v>2.5369691999999996E-2</v>
      </c>
      <c r="I241" s="122">
        <f t="shared" si="217"/>
        <v>1.4418439999999999E-2</v>
      </c>
      <c r="J241" s="122">
        <f t="shared" si="217"/>
        <v>4.3176637000000004E-2</v>
      </c>
      <c r="K241" s="122">
        <f t="shared" si="217"/>
        <v>1.6054075000000001E-2</v>
      </c>
      <c r="L241" s="123">
        <f t="shared" si="217"/>
        <v>1.1123330000000001E-3</v>
      </c>
      <c r="M241" s="123">
        <f t="shared" si="217"/>
        <v>2.1028700000000003E-4</v>
      </c>
      <c r="N241" s="123">
        <f t="shared" si="217"/>
        <v>4.4659800000000004E-4</v>
      </c>
      <c r="O241" s="123">
        <f t="shared" si="217"/>
        <v>3.1556059040000001E-2</v>
      </c>
      <c r="P241" s="123">
        <f t="shared" si="217"/>
        <v>2.9026780660000001E-2</v>
      </c>
      <c r="Q241" s="123">
        <f t="shared" si="217"/>
        <v>4.4062796729000001E-2</v>
      </c>
      <c r="R241" s="123">
        <f t="shared" si="217"/>
        <v>1.9135541829999998E-2</v>
      </c>
      <c r="S241" s="150">
        <v>1.9041628023880708E-2</v>
      </c>
      <c r="T241" s="150">
        <v>1.8103249177160562E-2</v>
      </c>
      <c r="U241" s="150">
        <v>2.1337049094822553E-2</v>
      </c>
      <c r="V241" s="150">
        <v>2.0807000373014684E-2</v>
      </c>
      <c r="W241" s="150">
        <v>2.4487209178632004E-2</v>
      </c>
      <c r="X241" s="150">
        <v>2.5866993852546535E-2</v>
      </c>
      <c r="Y241" s="150">
        <v>2.7386358431591706E-2</v>
      </c>
      <c r="Z241" s="150">
        <v>2.8698615185189191E-2</v>
      </c>
      <c r="AA241" s="150">
        <v>3.0407595843490506E-2</v>
      </c>
      <c r="AB241" s="150">
        <v>2.8296613022296843E-2</v>
      </c>
      <c r="AC241" s="150">
        <v>2.9377750586580383E-2</v>
      </c>
      <c r="AD241" s="150">
        <v>3.0872911550805373E-2</v>
      </c>
      <c r="AE241" s="150">
        <v>3.1793540616967216E-2</v>
      </c>
      <c r="AF241" s="150">
        <v>3.2662419920769167E-2</v>
      </c>
      <c r="AG241" s="150">
        <v>3.3497009790805818E-2</v>
      </c>
      <c r="AH241" s="150">
        <v>3.4133352644624901E-2</v>
      </c>
      <c r="AI241" s="150">
        <v>3.4609052420555682E-2</v>
      </c>
      <c r="AJ241" s="150">
        <v>3.5635946613593553E-2</v>
      </c>
      <c r="AK241" s="150">
        <v>3.6559423817922286E-2</v>
      </c>
      <c r="AL241" s="150">
        <v>3.7415932093198913E-2</v>
      </c>
      <c r="AM241" s="150">
        <v>3.8242618591557101E-2</v>
      </c>
      <c r="AN241" s="150">
        <v>3.8883443758470117E-2</v>
      </c>
      <c r="AO241" s="150">
        <v>3.9702678999208596E-2</v>
      </c>
      <c r="AP241" s="150">
        <v>4.0423428040175964E-2</v>
      </c>
      <c r="AQ241" s="150">
        <v>4.1382240228999362E-2</v>
      </c>
      <c r="AR241" s="150">
        <v>4.2159273626854996E-2</v>
      </c>
      <c r="AS241" s="150">
        <v>4.2912323268450306E-2</v>
      </c>
      <c r="AT241" s="150">
        <v>4.3689093699071868E-2</v>
      </c>
      <c r="AU241" s="150">
        <v>4.4471695152013262E-2</v>
      </c>
      <c r="AV241" s="150">
        <v>4.5364535996131883E-2</v>
      </c>
      <c r="AW241" s="150">
        <v>4.6182612756610966E-2</v>
      </c>
      <c r="AX241" s="150">
        <v>4.7004393914298399E-2</v>
      </c>
      <c r="AY241" s="150">
        <v>4.7847678433650717E-2</v>
      </c>
      <c r="AZ241" s="150">
        <v>4.869656175021065E-2</v>
      </c>
      <c r="BA241" s="150">
        <v>4.9569019756685942E-2</v>
      </c>
      <c r="BB241" s="150">
        <v>5.0414881391616338E-2</v>
      </c>
      <c r="BC241" s="150">
        <v>5.1269818793444631E-2</v>
      </c>
      <c r="BD241" s="150">
        <v>5.213306844936056E-2</v>
      </c>
      <c r="BE241" s="150">
        <v>5.2999965465106859E-2</v>
      </c>
      <c r="BF241" s="150">
        <v>5.3866280662159642E-2</v>
      </c>
      <c r="BG241" s="150">
        <v>5.4734924207018192E-2</v>
      </c>
      <c r="BH241" s="150">
        <v>5.5607112935554551E-2</v>
      </c>
      <c r="BI241" s="150">
        <v>5.6482991964549777E-2</v>
      </c>
      <c r="BJ241" s="150">
        <v>5.735995152976698E-2</v>
      </c>
      <c r="BK241" s="150">
        <v>5.8237631994329644E-2</v>
      </c>
      <c r="BL241" s="150">
        <v>5.9114705817853726E-2</v>
      </c>
      <c r="BM241" s="150">
        <v>5.9992881606460796E-2</v>
      </c>
      <c r="BN241" s="150">
        <v>6.0871567671661873E-2</v>
      </c>
      <c r="BO241" s="150">
        <v>6.1750118386016066E-2</v>
      </c>
      <c r="BP241" s="114"/>
    </row>
    <row r="242" spans="1:81" ht="15.6" x14ac:dyDescent="0.3">
      <c r="A242" s="354"/>
      <c r="B242" s="354"/>
      <c r="C242" s="354"/>
      <c r="D242" s="359"/>
      <c r="E242" s="115"/>
      <c r="F242" s="116" t="s">
        <v>569</v>
      </c>
      <c r="G242" s="130"/>
      <c r="H242" s="130"/>
      <c r="I242" s="130"/>
      <c r="J242" s="130"/>
      <c r="K242" s="130"/>
      <c r="L242" s="131"/>
      <c r="M242" s="123"/>
      <c r="N242" s="123"/>
      <c r="O242" s="123"/>
      <c r="P242" s="123"/>
      <c r="Q242" s="123"/>
      <c r="R242" s="123"/>
      <c r="S242" s="113"/>
      <c r="T242" s="113"/>
      <c r="U242" s="113"/>
      <c r="V242" s="113"/>
      <c r="W242" s="113"/>
      <c r="X242" s="113"/>
      <c r="Y242" s="113"/>
      <c r="Z242" s="113"/>
      <c r="AA242" s="113"/>
      <c r="AB242" s="113"/>
      <c r="AC242" s="113"/>
      <c r="AD242" s="113"/>
      <c r="AE242" s="113"/>
      <c r="AF242" s="113"/>
      <c r="AG242" s="113"/>
      <c r="AH242" s="113"/>
      <c r="AI242" s="113"/>
      <c r="AJ242" s="113"/>
      <c r="AK242" s="113"/>
      <c r="AL242" s="113"/>
      <c r="AM242" s="113"/>
      <c r="AN242" s="113"/>
      <c r="AO242" s="113"/>
      <c r="AP242" s="113"/>
      <c r="AQ242" s="113"/>
      <c r="AR242" s="113"/>
      <c r="AS242" s="113"/>
      <c r="AT242" s="113"/>
      <c r="AU242" s="113"/>
      <c r="AV242" s="113"/>
      <c r="AW242" s="113"/>
      <c r="AX242" s="113"/>
      <c r="AY242" s="113"/>
      <c r="AZ242" s="113"/>
      <c r="BA242" s="113"/>
      <c r="BB242" s="113"/>
      <c r="BC242" s="113"/>
      <c r="BD242" s="113"/>
      <c r="BE242" s="113"/>
      <c r="BF242" s="113"/>
      <c r="BG242" s="113"/>
      <c r="BH242" s="113"/>
      <c r="BI242" s="113"/>
      <c r="BJ242" s="113"/>
      <c r="BK242" s="113"/>
      <c r="BL242" s="113"/>
      <c r="BM242" s="113"/>
      <c r="BN242" s="113"/>
      <c r="BO242" s="113"/>
      <c r="BP242" s="114"/>
    </row>
    <row r="243" spans="1:81" x14ac:dyDescent="0.3">
      <c r="A243" s="354" t="s">
        <v>568</v>
      </c>
      <c r="B243" s="354"/>
      <c r="C243" s="354"/>
      <c r="D243" s="359"/>
      <c r="E243" s="115"/>
      <c r="F243" s="117" t="s">
        <v>562</v>
      </c>
      <c r="G243" s="122">
        <v>168.89099999999999</v>
      </c>
      <c r="H243" s="122">
        <v>152.65700000000001</v>
      </c>
      <c r="I243" s="122">
        <v>44886.485999999997</v>
      </c>
      <c r="J243" s="122">
        <v>256.69699999999995</v>
      </c>
      <c r="K243" s="122">
        <v>189.05099999999999</v>
      </c>
      <c r="L243" s="123">
        <v>193.44400000000002</v>
      </c>
      <c r="M243" s="123">
        <v>94.97399999999999</v>
      </c>
      <c r="N243" s="123">
        <v>148.82771199999999</v>
      </c>
      <c r="O243" s="123">
        <v>177.96131</v>
      </c>
      <c r="P243" s="123">
        <v>229.41244</v>
      </c>
      <c r="Q243" s="123">
        <v>1036.779215</v>
      </c>
      <c r="R243" s="123">
        <v>651.10694000000001</v>
      </c>
      <c r="S243" s="142"/>
      <c r="T243" s="142"/>
      <c r="U243" s="142"/>
      <c r="V243" s="142"/>
      <c r="W243" s="142"/>
      <c r="X243" s="142"/>
      <c r="Y243" s="142"/>
      <c r="Z243" s="142"/>
      <c r="AA243" s="142"/>
      <c r="AB243" s="142"/>
      <c r="AC243" s="142"/>
      <c r="AD243" s="142"/>
      <c r="AE243" s="142"/>
      <c r="AF243" s="142"/>
      <c r="AG243" s="142"/>
      <c r="AH243" s="142"/>
      <c r="AI243" s="142"/>
      <c r="AJ243" s="142"/>
      <c r="AK243" s="142"/>
      <c r="AL243" s="142"/>
      <c r="AM243" s="142"/>
      <c r="AN243" s="142"/>
      <c r="AO243" s="142"/>
      <c r="AP243" s="142"/>
      <c r="AQ243" s="142"/>
      <c r="AR243" s="142"/>
      <c r="AS243" s="142"/>
      <c r="AT243" s="142"/>
      <c r="AU243" s="142"/>
      <c r="AV243" s="142"/>
      <c r="AW243" s="142"/>
      <c r="AX243" s="142"/>
      <c r="AY243" s="142"/>
      <c r="AZ243" s="142"/>
      <c r="BA243" s="142"/>
      <c r="BB243" s="142"/>
      <c r="BC243" s="142"/>
      <c r="BD243" s="142"/>
      <c r="BE243" s="142"/>
      <c r="BF243" s="142"/>
      <c r="BG243" s="142"/>
      <c r="BH243" s="142"/>
      <c r="BI243" s="142"/>
      <c r="BJ243" s="142"/>
      <c r="BK243" s="142"/>
      <c r="BL243" s="142"/>
      <c r="BM243" s="142"/>
      <c r="BN243" s="142"/>
      <c r="BO243" s="142"/>
      <c r="BP243" s="114"/>
    </row>
    <row r="244" spans="1:81" x14ac:dyDescent="0.3">
      <c r="A244" s="354" t="s">
        <v>568</v>
      </c>
      <c r="B244" s="354"/>
      <c r="C244" s="354"/>
      <c r="D244" s="359"/>
      <c r="E244" s="115"/>
      <c r="F244" s="117" t="s">
        <v>563</v>
      </c>
      <c r="G244" s="122">
        <f t="shared" ref="G244:R244" si="218">G243/1000000</f>
        <v>1.6889099999999998E-4</v>
      </c>
      <c r="H244" s="122">
        <f t="shared" si="218"/>
        <v>1.52657E-4</v>
      </c>
      <c r="I244" s="122">
        <f t="shared" si="218"/>
        <v>4.4886485999999996E-2</v>
      </c>
      <c r="J244" s="122">
        <f t="shared" si="218"/>
        <v>2.5669699999999996E-4</v>
      </c>
      <c r="K244" s="122">
        <f t="shared" si="218"/>
        <v>1.8905099999999998E-4</v>
      </c>
      <c r="L244" s="123">
        <f t="shared" si="218"/>
        <v>1.9344400000000003E-4</v>
      </c>
      <c r="M244" s="123">
        <f t="shared" si="218"/>
        <v>9.4973999999999989E-5</v>
      </c>
      <c r="N244" s="123">
        <f t="shared" si="218"/>
        <v>1.48827712E-4</v>
      </c>
      <c r="O244" s="123">
        <f t="shared" si="218"/>
        <v>1.7796131000000001E-4</v>
      </c>
      <c r="P244" s="123">
        <f t="shared" si="218"/>
        <v>2.2941244E-4</v>
      </c>
      <c r="Q244" s="123">
        <f t="shared" si="218"/>
        <v>1.0367792150000001E-3</v>
      </c>
      <c r="R244" s="123">
        <f t="shared" si="218"/>
        <v>6.5110693999999997E-4</v>
      </c>
      <c r="S244" s="150">
        <v>7.5600141063333177E-4</v>
      </c>
      <c r="T244" s="150">
        <v>7.5938116273642942E-4</v>
      </c>
      <c r="U244" s="150">
        <v>7.925433552286341E-4</v>
      </c>
      <c r="V244" s="150">
        <v>9.154442630758665E-4</v>
      </c>
      <c r="W244" s="150">
        <v>1.0074538326212796E-3</v>
      </c>
      <c r="X244" s="150">
        <v>1.1608582292941625E-3</v>
      </c>
      <c r="Y244" s="150">
        <v>1.3122240121476178E-3</v>
      </c>
      <c r="Z244" s="150">
        <v>1.4601345622769035E-3</v>
      </c>
      <c r="AA244" s="150">
        <v>1.6201780490605684E-3</v>
      </c>
      <c r="AB244" s="150">
        <v>1.4146140859186247E-3</v>
      </c>
      <c r="AC244" s="150">
        <v>1.5029055902406614E-3</v>
      </c>
      <c r="AD244" s="150">
        <v>1.5838881654128929E-3</v>
      </c>
      <c r="AE244" s="150">
        <v>1.639901872778813E-3</v>
      </c>
      <c r="AF244" s="150">
        <v>1.673642025555892E-3</v>
      </c>
      <c r="AG244" s="150">
        <v>1.6809043390454486E-3</v>
      </c>
      <c r="AH244" s="150">
        <v>1.7350360501962078E-3</v>
      </c>
      <c r="AI244" s="150">
        <v>1.782961486466414E-3</v>
      </c>
      <c r="AJ244" s="150">
        <v>1.8282117093449534E-3</v>
      </c>
      <c r="AK244" s="150">
        <v>1.8658380372813419E-3</v>
      </c>
      <c r="AL244" s="150">
        <v>1.9047984072310931E-3</v>
      </c>
      <c r="AM244" s="150">
        <v>1.9509296855529335E-3</v>
      </c>
      <c r="AN244" s="150">
        <v>1.9859122690040203E-3</v>
      </c>
      <c r="AO244" s="150">
        <v>2.0288257441808157E-3</v>
      </c>
      <c r="AP244" s="150">
        <v>2.0657286405635989E-3</v>
      </c>
      <c r="AQ244" s="150">
        <v>2.1128380409374224E-3</v>
      </c>
      <c r="AR244" s="150">
        <v>2.1524552652456299E-3</v>
      </c>
      <c r="AS244" s="150">
        <v>2.1910249016756402E-3</v>
      </c>
      <c r="AT244" s="150">
        <v>2.230823207186255E-3</v>
      </c>
      <c r="AU244" s="150">
        <v>2.2710104448063801E-3</v>
      </c>
      <c r="AV244" s="150">
        <v>2.3168058889524992E-3</v>
      </c>
      <c r="AW244" s="150">
        <v>2.3585696728709864E-3</v>
      </c>
      <c r="AX244" s="150">
        <v>2.4002273570832176E-3</v>
      </c>
      <c r="AY244" s="150">
        <v>2.4432179613490955E-3</v>
      </c>
      <c r="AZ244" s="150">
        <v>2.4866437564760092E-3</v>
      </c>
      <c r="BA244" s="150">
        <v>2.5312896035596449E-3</v>
      </c>
      <c r="BB244" s="150">
        <v>2.5745274812246093E-3</v>
      </c>
      <c r="BC244" s="150">
        <v>2.6181614375811691E-3</v>
      </c>
      <c r="BD244" s="150">
        <v>2.6621984671153657E-3</v>
      </c>
      <c r="BE244" s="150">
        <v>2.7064403740022307E-3</v>
      </c>
      <c r="BF244" s="150">
        <v>2.7506944337533186E-3</v>
      </c>
      <c r="BG244" s="150">
        <v>2.7950715972709394E-3</v>
      </c>
      <c r="BH244" s="150">
        <v>2.8396176184019811E-3</v>
      </c>
      <c r="BI244" s="150">
        <v>2.8843430555532817E-3</v>
      </c>
      <c r="BJ244" s="150">
        <v>2.9291189872980277E-3</v>
      </c>
      <c r="BK244" s="150">
        <v>2.9739325652625285E-3</v>
      </c>
      <c r="BL244" s="150">
        <v>3.0187200603593025E-3</v>
      </c>
      <c r="BM244" s="150">
        <v>3.0635683353239965E-3</v>
      </c>
      <c r="BN244" s="150">
        <v>3.1084417790171936E-3</v>
      </c>
      <c r="BO244" s="150">
        <v>3.1533057218973443E-3</v>
      </c>
      <c r="BP244" s="114"/>
    </row>
    <row r="245" spans="1:81" ht="15.6" x14ac:dyDescent="0.3">
      <c r="A245" s="354"/>
      <c r="B245" s="354"/>
      <c r="C245" s="354"/>
      <c r="D245" s="359"/>
      <c r="E245" s="115"/>
      <c r="F245" s="116" t="s">
        <v>570</v>
      </c>
      <c r="G245" s="130"/>
      <c r="H245" s="130"/>
      <c r="I245" s="130"/>
      <c r="J245" s="130"/>
      <c r="K245" s="130"/>
      <c r="L245" s="131"/>
      <c r="M245" s="123"/>
      <c r="N245" s="123"/>
      <c r="O245" s="123"/>
      <c r="P245" s="123"/>
      <c r="Q245" s="123"/>
      <c r="R245" s="123"/>
      <c r="S245" s="113"/>
      <c r="T245" s="113"/>
      <c r="U245" s="113"/>
      <c r="V245" s="113"/>
      <c r="W245" s="113"/>
      <c r="X245" s="113"/>
      <c r="Y245" s="113"/>
      <c r="Z245" s="113"/>
      <c r="AA245" s="113"/>
      <c r="AB245" s="113"/>
      <c r="AC245" s="113"/>
      <c r="AD245" s="113"/>
      <c r="AE245" s="113"/>
      <c r="AF245" s="113"/>
      <c r="AG245" s="113"/>
      <c r="AH245" s="113"/>
      <c r="AI245" s="113"/>
      <c r="AJ245" s="113"/>
      <c r="AK245" s="113"/>
      <c r="AL245" s="113"/>
      <c r="AM245" s="113"/>
      <c r="AN245" s="113"/>
      <c r="AO245" s="113"/>
      <c r="AP245" s="113"/>
      <c r="AQ245" s="113"/>
      <c r="AR245" s="113"/>
      <c r="AS245" s="113"/>
      <c r="AT245" s="113"/>
      <c r="AU245" s="113"/>
      <c r="AV245" s="113"/>
      <c r="AW245" s="113"/>
      <c r="AX245" s="113"/>
      <c r="AY245" s="113"/>
      <c r="AZ245" s="113"/>
      <c r="BA245" s="113"/>
      <c r="BB245" s="113"/>
      <c r="BC245" s="113"/>
      <c r="BD245" s="113"/>
      <c r="BE245" s="113"/>
      <c r="BF245" s="113"/>
      <c r="BG245" s="113"/>
      <c r="BH245" s="113"/>
      <c r="BI245" s="113"/>
      <c r="BJ245" s="113"/>
      <c r="BK245" s="113"/>
      <c r="BL245" s="113"/>
      <c r="BM245" s="113"/>
      <c r="BN245" s="113"/>
      <c r="BO245" s="113"/>
      <c r="BP245" s="114"/>
    </row>
    <row r="246" spans="1:81" ht="41.4" x14ac:dyDescent="0.3">
      <c r="A246" s="352" t="s">
        <v>288</v>
      </c>
      <c r="B246" s="352"/>
      <c r="C246" s="352"/>
      <c r="D246" s="359"/>
      <c r="E246" s="115"/>
      <c r="F246" s="117" t="s">
        <v>563</v>
      </c>
      <c r="G246" s="122">
        <v>1.693535169</v>
      </c>
      <c r="H246" s="122">
        <v>1.4527239649999999</v>
      </c>
      <c r="I246" s="122">
        <v>1.5960030459999999</v>
      </c>
      <c r="J246" s="122">
        <v>1.47312606</v>
      </c>
      <c r="K246" s="122">
        <v>1.3640889759999999</v>
      </c>
      <c r="L246" s="123">
        <v>1.6518741109999999</v>
      </c>
      <c r="M246" s="123">
        <v>1.534421687</v>
      </c>
      <c r="N246" s="123">
        <v>1.0663162297120001</v>
      </c>
      <c r="O246" s="123">
        <v>1.31871490227</v>
      </c>
      <c r="P246" s="123">
        <v>1.0708886317799999</v>
      </c>
      <c r="Q246" s="123">
        <v>1.293475982486</v>
      </c>
      <c r="R246" s="123">
        <v>1.4857295651099998</v>
      </c>
      <c r="S246" s="155">
        <f>S236+S244-S241</f>
        <v>1.5429257600703721</v>
      </c>
      <c r="T246" s="155">
        <f t="shared" ref="T246:BO246" si="219">T236+T244-T241</f>
        <v>1.4375667486337971</v>
      </c>
      <c r="U246" s="155">
        <f t="shared" si="219"/>
        <v>1.5342759244259199</v>
      </c>
      <c r="V246" s="155">
        <f t="shared" si="219"/>
        <v>1.5489698821615043</v>
      </c>
      <c r="W246" s="155">
        <f t="shared" si="219"/>
        <v>1.6516688846693641</v>
      </c>
      <c r="X246" s="155">
        <f t="shared" si="219"/>
        <v>1.7046113531386069</v>
      </c>
      <c r="Y246" s="155">
        <f t="shared" si="219"/>
        <v>1.760018966469187</v>
      </c>
      <c r="Z246" s="155">
        <f t="shared" si="219"/>
        <v>1.8114928731581974</v>
      </c>
      <c r="AA246" s="155">
        <f t="shared" si="219"/>
        <v>1.8700094682138875</v>
      </c>
      <c r="AB246" s="155">
        <f t="shared" si="219"/>
        <v>1.8620245113329545</v>
      </c>
      <c r="AC246" s="155">
        <f t="shared" si="219"/>
        <v>1.910201434163378</v>
      </c>
      <c r="AD246" s="155">
        <f t="shared" si="219"/>
        <v>1.9660290822853121</v>
      </c>
      <c r="AE246" s="155">
        <f t="shared" si="219"/>
        <v>2.0114162388684966</v>
      </c>
      <c r="AF246" s="155">
        <f t="shared" si="219"/>
        <v>2.0560129060524481</v>
      </c>
      <c r="AG246" s="155">
        <f t="shared" si="219"/>
        <v>2.1001340859949336</v>
      </c>
      <c r="AH246" s="155">
        <f t="shared" si="219"/>
        <v>2.1409645586639292</v>
      </c>
      <c r="AI246" s="155">
        <f t="shared" si="219"/>
        <v>2.1791170047896244</v>
      </c>
      <c r="AJ246" s="155">
        <f t="shared" si="219"/>
        <v>2.2271367832778228</v>
      </c>
      <c r="AK246" s="155">
        <f t="shared" si="219"/>
        <v>2.2734202864633479</v>
      </c>
      <c r="AL246" s="155">
        <f t="shared" si="219"/>
        <v>2.318642883107076</v>
      </c>
      <c r="AM246" s="155">
        <f t="shared" si="219"/>
        <v>2.3634635600984115</v>
      </c>
      <c r="AN246" s="155">
        <f t="shared" si="219"/>
        <v>2.405153075242203</v>
      </c>
      <c r="AO246" s="155">
        <f t="shared" si="219"/>
        <v>2.4500461967688598</v>
      </c>
      <c r="AP246" s="155">
        <f t="shared" si="219"/>
        <v>2.493312299476429</v>
      </c>
      <c r="AQ246" s="155">
        <f t="shared" si="219"/>
        <v>2.5407869355732347</v>
      </c>
      <c r="AR246" s="155">
        <f t="shared" si="219"/>
        <v>2.585182051549566</v>
      </c>
      <c r="AS246" s="155">
        <f t="shared" si="219"/>
        <v>2.6292243054450517</v>
      </c>
      <c r="AT246" s="155">
        <f t="shared" si="219"/>
        <v>2.6737339419183206</v>
      </c>
      <c r="AU246" s="155">
        <f t="shared" si="219"/>
        <v>2.7184001153920061</v>
      </c>
      <c r="AV246" s="155">
        <f t="shared" si="219"/>
        <v>2.765002837096155</v>
      </c>
      <c r="AW246" s="155">
        <f t="shared" si="219"/>
        <v>2.8103449070310829</v>
      </c>
      <c r="AX246" s="155">
        <f t="shared" si="219"/>
        <v>2.8557624343411123</v>
      </c>
      <c r="AY246" s="155">
        <f t="shared" si="219"/>
        <v>2.9015451111720698</v>
      </c>
      <c r="AZ246" s="155">
        <f t="shared" si="219"/>
        <v>2.9474050676612418</v>
      </c>
      <c r="BA246" s="155">
        <f t="shared" si="219"/>
        <v>2.9936324276356987</v>
      </c>
      <c r="BB246" s="155">
        <f t="shared" si="219"/>
        <v>3.0393579548645193</v>
      </c>
      <c r="BC246" s="155">
        <f t="shared" si="219"/>
        <v>3.0851731348850966</v>
      </c>
      <c r="BD246" s="155">
        <f t="shared" si="219"/>
        <v>3.1310485539864827</v>
      </c>
      <c r="BE246" s="155">
        <f t="shared" si="219"/>
        <v>3.1768888192628904</v>
      </c>
      <c r="BF246" s="155">
        <f t="shared" si="219"/>
        <v>3.2226062724682887</v>
      </c>
      <c r="BG246" s="155">
        <f t="shared" si="219"/>
        <v>3.2682335393647075</v>
      </c>
      <c r="BH246" s="155">
        <f t="shared" si="219"/>
        <v>3.3137742862158825</v>
      </c>
      <c r="BI246" s="155">
        <f t="shared" si="219"/>
        <v>3.3592139187661161</v>
      </c>
      <c r="BJ246" s="155">
        <f t="shared" si="219"/>
        <v>3.4044916463087369</v>
      </c>
      <c r="BK246" s="155">
        <f t="shared" si="219"/>
        <v>3.449584393155936</v>
      </c>
      <c r="BL246" s="155">
        <f t="shared" si="219"/>
        <v>3.4944528982986292</v>
      </c>
      <c r="BM246" s="155">
        <f t="shared" si="219"/>
        <v>3.5391083478194312</v>
      </c>
      <c r="BN246" s="155">
        <f t="shared" si="219"/>
        <v>3.5835234790363106</v>
      </c>
      <c r="BO246" s="155">
        <f t="shared" si="219"/>
        <v>3.6276701303437191</v>
      </c>
      <c r="BP246" s="114"/>
    </row>
    <row r="247" spans="1:81" ht="15" thickBot="1" x14ac:dyDescent="0.35">
      <c r="A247" s="354"/>
      <c r="B247" s="354"/>
      <c r="C247" s="354"/>
      <c r="D247" s="359"/>
      <c r="E247" s="135"/>
      <c r="F247" s="136"/>
      <c r="G247" s="136"/>
      <c r="H247" s="136"/>
      <c r="I247" s="136"/>
      <c r="J247" s="136"/>
      <c r="K247" s="136"/>
      <c r="L247" s="137"/>
      <c r="M247" s="137"/>
      <c r="N247" s="137"/>
      <c r="O247" s="137"/>
      <c r="P247" s="137"/>
      <c r="Q247" s="137"/>
      <c r="R247" s="137"/>
      <c r="S247" s="137"/>
      <c r="T247" s="137"/>
      <c r="U247" s="137"/>
      <c r="V247" s="137"/>
      <c r="W247" s="137"/>
      <c r="X247" s="137"/>
      <c r="Y247" s="137"/>
      <c r="Z247" s="137"/>
      <c r="AA247" s="137"/>
      <c r="AB247" s="137"/>
      <c r="AC247" s="137"/>
      <c r="AD247" s="137"/>
      <c r="AE247" s="137"/>
      <c r="AF247" s="137"/>
      <c r="AG247" s="137"/>
      <c r="AH247" s="137"/>
      <c r="AI247" s="137"/>
      <c r="AJ247" s="137"/>
      <c r="AK247" s="137"/>
      <c r="AL247" s="137"/>
      <c r="AM247" s="137"/>
      <c r="AN247" s="137"/>
      <c r="AO247" s="137"/>
      <c r="AP247" s="137"/>
      <c r="AQ247" s="137"/>
      <c r="AR247" s="137"/>
      <c r="AS247" s="137"/>
      <c r="AT247" s="137"/>
      <c r="AU247" s="137"/>
      <c r="AV247" s="137"/>
      <c r="AW247" s="137"/>
      <c r="AX247" s="137"/>
      <c r="AY247" s="137"/>
      <c r="AZ247" s="137"/>
      <c r="BA247" s="137"/>
      <c r="BB247" s="137"/>
      <c r="BC247" s="137"/>
      <c r="BD247" s="137"/>
      <c r="BE247" s="137"/>
      <c r="BF247" s="137"/>
      <c r="BG247" s="137"/>
      <c r="BH247" s="137"/>
      <c r="BI247" s="137"/>
      <c r="BJ247" s="137"/>
      <c r="BK247" s="137"/>
      <c r="BL247" s="137"/>
      <c r="BM247" s="137"/>
      <c r="BN247" s="137"/>
      <c r="BO247" s="137"/>
      <c r="BP247" s="138"/>
    </row>
    <row r="248" spans="1:81" x14ac:dyDescent="0.3">
      <c r="A248" s="354"/>
      <c r="B248" s="354"/>
      <c r="C248" s="354"/>
      <c r="D248" s="359"/>
      <c r="E248" s="359"/>
      <c r="F248" s="103"/>
      <c r="G248" s="103"/>
      <c r="H248" s="103"/>
      <c r="I248" s="103"/>
      <c r="J248" s="103"/>
      <c r="K248" s="103"/>
      <c r="L248" s="359"/>
      <c r="M248" s="359"/>
      <c r="N248" s="359"/>
      <c r="O248" s="359"/>
      <c r="P248" s="359"/>
      <c r="Q248" s="359"/>
      <c r="R248" s="359"/>
      <c r="S248" s="359"/>
      <c r="T248" s="359"/>
      <c r="U248" s="359"/>
      <c r="V248" s="359"/>
      <c r="W248" s="359"/>
      <c r="X248" s="359"/>
      <c r="Y248" s="359"/>
      <c r="Z248" s="359"/>
      <c r="AA248" s="359"/>
      <c r="AB248" s="359"/>
      <c r="AC248" s="359"/>
      <c r="AD248" s="359"/>
      <c r="AE248" s="359"/>
      <c r="AF248" s="359"/>
      <c r="AG248" s="359"/>
      <c r="AH248" s="359"/>
      <c r="AI248" s="359"/>
      <c r="AJ248" s="359"/>
      <c r="AK248" s="359"/>
      <c r="AL248" s="359"/>
      <c r="AM248" s="359"/>
      <c r="AN248" s="359"/>
      <c r="AO248" s="359"/>
      <c r="AP248" s="359"/>
      <c r="AQ248" s="359"/>
      <c r="AR248" s="359"/>
      <c r="AS248" s="359"/>
      <c r="AT248" s="359"/>
      <c r="AU248" s="359"/>
      <c r="AV248" s="359"/>
      <c r="AW248" s="359"/>
      <c r="AX248" s="359"/>
      <c r="AY248" s="359"/>
      <c r="AZ248" s="359"/>
      <c r="BA248" s="359"/>
      <c r="BB248" s="359"/>
      <c r="BC248" s="359"/>
      <c r="BD248" s="359"/>
      <c r="BE248" s="359"/>
      <c r="BF248" s="359"/>
      <c r="BG248" s="359"/>
      <c r="BH248" s="359"/>
      <c r="BI248" s="359"/>
      <c r="BJ248" s="359"/>
      <c r="BK248" s="359"/>
      <c r="BL248" s="359"/>
      <c r="BM248" s="359"/>
      <c r="BN248" s="359"/>
      <c r="BO248" s="359"/>
      <c r="BP248" s="103"/>
    </row>
    <row r="249" spans="1:81" ht="25.8" x14ac:dyDescent="0.3">
      <c r="A249" s="354"/>
      <c r="B249" s="354"/>
      <c r="C249" s="354"/>
      <c r="D249" s="359"/>
      <c r="E249" s="104"/>
      <c r="F249" s="104" t="s">
        <v>571</v>
      </c>
      <c r="G249" s="104"/>
      <c r="H249" s="103"/>
      <c r="I249" s="103"/>
      <c r="J249" s="103"/>
      <c r="K249" s="103"/>
      <c r="L249" s="359"/>
      <c r="M249" s="359"/>
      <c r="N249" s="359"/>
      <c r="O249" s="359"/>
      <c r="P249" s="359"/>
      <c r="Q249" s="359"/>
      <c r="R249" s="359"/>
      <c r="S249" s="359"/>
      <c r="T249" s="359"/>
      <c r="U249" s="359"/>
      <c r="V249" s="359"/>
      <c r="W249" s="359"/>
      <c r="X249" s="359"/>
      <c r="Y249" s="359"/>
      <c r="Z249" s="359"/>
      <c r="AA249" s="359"/>
      <c r="AB249" s="359"/>
      <c r="AC249" s="359"/>
      <c r="AD249" s="359"/>
      <c r="AE249" s="359"/>
      <c r="AF249" s="359"/>
      <c r="AG249" s="359"/>
      <c r="AH249" s="359"/>
      <c r="AI249" s="359"/>
      <c r="AJ249" s="359"/>
      <c r="AK249" s="359"/>
      <c r="AL249" s="359"/>
      <c r="AM249" s="359"/>
      <c r="AN249" s="359"/>
      <c r="AO249" s="359"/>
      <c r="AP249" s="359"/>
      <c r="AQ249" s="359"/>
      <c r="AR249" s="359"/>
      <c r="AS249" s="359"/>
      <c r="AT249" s="359"/>
      <c r="AU249" s="359"/>
      <c r="AV249" s="359"/>
      <c r="AW249" s="359"/>
      <c r="AX249" s="359"/>
      <c r="AY249" s="359"/>
      <c r="AZ249" s="359"/>
      <c r="BA249" s="359"/>
      <c r="BB249" s="359"/>
      <c r="BC249" s="359"/>
      <c r="BD249" s="359"/>
      <c r="BE249" s="359"/>
      <c r="BF249" s="359"/>
      <c r="BG249" s="359"/>
      <c r="BH249" s="359"/>
      <c r="BI249" s="359"/>
      <c r="BJ249" s="359"/>
      <c r="BK249" s="359"/>
      <c r="BL249" s="359"/>
      <c r="BM249" s="359"/>
      <c r="BN249" s="359"/>
      <c r="BO249" s="359"/>
      <c r="BP249" s="103"/>
    </row>
    <row r="250" spans="1:81" ht="15" thickBot="1" x14ac:dyDescent="0.35">
      <c r="A250" s="354"/>
      <c r="B250" s="354"/>
      <c r="C250" s="354"/>
      <c r="D250" s="359"/>
      <c r="E250" s="359"/>
      <c r="F250" s="103"/>
      <c r="G250" s="103"/>
      <c r="H250" s="103"/>
      <c r="I250" s="103"/>
      <c r="J250" s="103"/>
      <c r="K250" s="103"/>
      <c r="L250" s="359"/>
      <c r="M250" s="359"/>
      <c r="N250" s="359"/>
      <c r="O250" s="359"/>
      <c r="P250" s="359"/>
      <c r="Q250" s="359"/>
      <c r="R250" s="359"/>
      <c r="S250" s="359"/>
      <c r="T250" s="359"/>
      <c r="U250" s="359"/>
      <c r="V250" s="359"/>
      <c r="W250" s="359"/>
      <c r="X250" s="359"/>
      <c r="Y250" s="359"/>
      <c r="Z250" s="359"/>
      <c r="AA250" s="359"/>
      <c r="AB250" s="359"/>
      <c r="AC250" s="359"/>
      <c r="AD250" s="359"/>
      <c r="AE250" s="359"/>
      <c r="AF250" s="359"/>
      <c r="AG250" s="359"/>
      <c r="AH250" s="359"/>
      <c r="AI250" s="359"/>
      <c r="AJ250" s="359"/>
      <c r="AK250" s="359"/>
      <c r="AL250" s="359"/>
      <c r="AM250" s="359"/>
      <c r="AN250" s="359"/>
      <c r="AO250" s="359"/>
      <c r="AP250" s="359"/>
      <c r="AQ250" s="359"/>
      <c r="AR250" s="359"/>
      <c r="AS250" s="359"/>
      <c r="AT250" s="359"/>
      <c r="AU250" s="359"/>
      <c r="AV250" s="359"/>
      <c r="AW250" s="359"/>
      <c r="AX250" s="359"/>
      <c r="AY250" s="359"/>
      <c r="AZ250" s="359"/>
      <c r="BA250" s="359"/>
      <c r="BB250" s="359"/>
      <c r="BC250" s="359"/>
      <c r="BD250" s="359"/>
      <c r="BE250" s="359"/>
      <c r="BF250" s="359"/>
      <c r="BG250" s="359"/>
      <c r="BH250" s="359"/>
      <c r="BI250" s="359"/>
      <c r="BJ250" s="359"/>
      <c r="BK250" s="359"/>
      <c r="BL250" s="359"/>
      <c r="BM250" s="359"/>
      <c r="BN250" s="359"/>
      <c r="BO250" s="359"/>
      <c r="BP250" s="103"/>
    </row>
    <row r="251" spans="1:81" x14ac:dyDescent="0.3">
      <c r="A251" s="354"/>
      <c r="B251" s="354"/>
      <c r="C251" s="354"/>
      <c r="D251" s="359"/>
      <c r="E251" s="162"/>
      <c r="F251" s="163"/>
      <c r="G251" s="163"/>
      <c r="H251" s="163"/>
      <c r="I251" s="163"/>
      <c r="J251" s="163"/>
      <c r="K251" s="163"/>
      <c r="L251" s="164"/>
      <c r="M251" s="164"/>
      <c r="N251" s="164"/>
      <c r="O251" s="164"/>
      <c r="P251" s="164"/>
      <c r="Q251" s="164"/>
      <c r="R251" s="164"/>
      <c r="S251" s="164"/>
      <c r="T251" s="164"/>
      <c r="U251" s="164"/>
      <c r="V251" s="164"/>
      <c r="W251" s="164"/>
      <c r="X251" s="164"/>
      <c r="Y251" s="164"/>
      <c r="Z251" s="164"/>
      <c r="AA251" s="164"/>
      <c r="AB251" s="164"/>
      <c r="AC251" s="164"/>
      <c r="AD251" s="164"/>
      <c r="AE251" s="164"/>
      <c r="AF251" s="164"/>
      <c r="AG251" s="164"/>
      <c r="AH251" s="164"/>
      <c r="AI251" s="164"/>
      <c r="AJ251" s="164"/>
      <c r="AK251" s="164"/>
      <c r="AL251" s="164"/>
      <c r="AM251" s="164"/>
      <c r="AN251" s="164"/>
      <c r="AO251" s="164"/>
      <c r="AP251" s="164"/>
      <c r="AQ251" s="164"/>
      <c r="AR251" s="164"/>
      <c r="AS251" s="164"/>
      <c r="AT251" s="164"/>
      <c r="AU251" s="164"/>
      <c r="AV251" s="164"/>
      <c r="AW251" s="164"/>
      <c r="AX251" s="164"/>
      <c r="AY251" s="164"/>
      <c r="AZ251" s="164"/>
      <c r="BA251" s="164"/>
      <c r="BB251" s="164"/>
      <c r="BC251" s="164"/>
      <c r="BD251" s="164"/>
      <c r="BE251" s="164"/>
      <c r="BF251" s="164"/>
      <c r="BG251" s="164"/>
      <c r="BH251" s="164"/>
      <c r="BI251" s="164"/>
      <c r="BJ251" s="164"/>
      <c r="BK251" s="164"/>
      <c r="BL251" s="164"/>
      <c r="BM251" s="164"/>
      <c r="BN251" s="164"/>
      <c r="BO251" s="164"/>
      <c r="BP251" s="165"/>
    </row>
    <row r="252" spans="1:81" ht="15.6" x14ac:dyDescent="0.3">
      <c r="A252" s="354"/>
      <c r="B252" s="354"/>
      <c r="C252" s="354"/>
      <c r="D252" s="359"/>
      <c r="E252" s="166"/>
      <c r="F252" s="167" t="s">
        <v>572</v>
      </c>
      <c r="G252" s="168"/>
      <c r="H252" s="168"/>
      <c r="I252" s="168"/>
      <c r="J252" s="168"/>
      <c r="K252" s="168"/>
      <c r="L252" s="169"/>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1"/>
    </row>
    <row r="253" spans="1:81" ht="15.6" x14ac:dyDescent="0.3">
      <c r="A253" s="354"/>
      <c r="B253" s="354"/>
      <c r="C253" s="354"/>
      <c r="D253" s="359"/>
      <c r="E253" s="172"/>
      <c r="F253" s="173" t="s">
        <v>573</v>
      </c>
      <c r="G253" s="168"/>
      <c r="H253" s="168"/>
      <c r="I253" s="168"/>
      <c r="J253" s="168"/>
      <c r="K253" s="168"/>
      <c r="L253" s="169"/>
      <c r="M253" s="170"/>
      <c r="N253" s="170"/>
      <c r="O253" s="170"/>
      <c r="P253" s="170"/>
      <c r="Q253" s="170"/>
      <c r="R253" s="170"/>
      <c r="S253" s="170"/>
      <c r="T253" s="170"/>
      <c r="U253" s="170"/>
      <c r="V253" s="170"/>
      <c r="W253" s="170"/>
      <c r="X253" s="170"/>
      <c r="Y253" s="170"/>
      <c r="Z253" s="170"/>
      <c r="AA253" s="170"/>
      <c r="AB253" s="170"/>
      <c r="AC253" s="170"/>
      <c r="AD253" s="170"/>
      <c r="AE253" s="170"/>
      <c r="AF253" s="170"/>
      <c r="AG253" s="170"/>
      <c r="AH253" s="170"/>
      <c r="AI253" s="170"/>
      <c r="AJ253" s="170"/>
      <c r="AK253" s="170"/>
      <c r="AL253" s="170"/>
      <c r="AM253" s="170"/>
      <c r="AN253" s="170"/>
      <c r="AO253" s="170"/>
      <c r="AP253" s="170"/>
      <c r="AQ253" s="170"/>
      <c r="AR253" s="170"/>
      <c r="AS253" s="170"/>
      <c r="AT253" s="170"/>
      <c r="AU253" s="170"/>
      <c r="AV253" s="170"/>
      <c r="AW253" s="170"/>
      <c r="AX253" s="170"/>
      <c r="AY253" s="170"/>
      <c r="AZ253" s="170"/>
      <c r="BA253" s="170"/>
      <c r="BB253" s="170"/>
      <c r="BC253" s="170"/>
      <c r="BD253" s="170"/>
      <c r="BE253" s="170"/>
      <c r="BF253" s="170"/>
      <c r="BG253" s="170"/>
      <c r="BH253" s="170"/>
      <c r="BI253" s="170"/>
      <c r="BJ253" s="170"/>
      <c r="BK253" s="170"/>
      <c r="BL253" s="170"/>
      <c r="BM253" s="170"/>
      <c r="BN253" s="170"/>
      <c r="BO253" s="170"/>
      <c r="BP253" s="171"/>
    </row>
    <row r="254" spans="1:81" x14ac:dyDescent="0.3">
      <c r="A254" s="393" t="s">
        <v>487</v>
      </c>
      <c r="B254" s="359"/>
      <c r="C254" s="359"/>
      <c r="D254" s="359"/>
      <c r="E254" s="172"/>
      <c r="F254" s="174" t="s">
        <v>574</v>
      </c>
      <c r="G254" s="174">
        <v>5253536</v>
      </c>
      <c r="H254" s="174">
        <v>5358904</v>
      </c>
      <c r="I254" s="174">
        <v>5235550</v>
      </c>
      <c r="J254" s="174">
        <v>5134122</v>
      </c>
      <c r="K254" s="174">
        <v>4604624</v>
      </c>
      <c r="L254" s="170">
        <v>4115213</v>
      </c>
      <c r="M254" s="170">
        <v>4127311</v>
      </c>
      <c r="N254" s="170">
        <v>4190611</v>
      </c>
      <c r="O254" s="170">
        <v>4056796</v>
      </c>
      <c r="P254" s="170">
        <v>4306244</v>
      </c>
      <c r="Q254" s="170">
        <v>4335924</v>
      </c>
      <c r="R254" s="170">
        <v>4066930</v>
      </c>
      <c r="S254" s="175">
        <v>4121602.7900505415</v>
      </c>
      <c r="T254" s="175">
        <v>4175809.3487110822</v>
      </c>
      <c r="U254" s="175">
        <v>4229517.3719885061</v>
      </c>
      <c r="V254" s="175">
        <v>4282716.7792041115</v>
      </c>
      <c r="W254" s="175">
        <v>4335348.0027110176</v>
      </c>
      <c r="X254" s="175">
        <v>4387391.1102581536</v>
      </c>
      <c r="Y254" s="175">
        <v>4438808.7575130519</v>
      </c>
      <c r="Z254" s="175">
        <v>4489593.6130730212</v>
      </c>
      <c r="AA254" s="175">
        <v>4539688.6294608563</v>
      </c>
      <c r="AB254" s="175">
        <v>4589067.0012354618</v>
      </c>
      <c r="AC254" s="175">
        <v>4637694.1333403802</v>
      </c>
      <c r="AD254" s="175">
        <v>4685529.9321671342</v>
      </c>
      <c r="AE254" s="175">
        <v>4732554.6945709884</v>
      </c>
      <c r="AF254" s="175">
        <v>4778734.0546018193</v>
      </c>
      <c r="AG254" s="175">
        <v>4824047.8509022212</v>
      </c>
      <c r="AH254" s="175">
        <v>4868457.3645017222</v>
      </c>
      <c r="AI254" s="175">
        <v>4911947.2452759342</v>
      </c>
      <c r="AJ254" s="175">
        <v>4954488.8549330877</v>
      </c>
      <c r="AK254" s="175">
        <v>4996062.2612221111</v>
      </c>
      <c r="AL254" s="175">
        <v>5036662.1946973195</v>
      </c>
      <c r="AM254" s="175">
        <v>5076274.6798723293</v>
      </c>
      <c r="AN254" s="175">
        <v>5114875.2023693863</v>
      </c>
      <c r="AO254" s="175">
        <v>5152458.7218491398</v>
      </c>
      <c r="AP254" s="175">
        <v>5189000.7239338346</v>
      </c>
      <c r="AQ254" s="175">
        <v>5224495.0227524498</v>
      </c>
      <c r="AR254" s="175">
        <v>5258947.3459633384</v>
      </c>
      <c r="AS254" s="175">
        <v>5292328.1388493935</v>
      </c>
      <c r="AT254" s="175">
        <v>5324646.3365576481</v>
      </c>
      <c r="AU254" s="175">
        <v>5355913.1652984759</v>
      </c>
      <c r="AV254" s="175">
        <v>5386107.5395209081</v>
      </c>
      <c r="AW254" s="175">
        <v>5415208.9994413052</v>
      </c>
      <c r="AX254" s="175">
        <v>5443197.7340574022</v>
      </c>
      <c r="AY254" s="175">
        <v>5470054.6035421314</v>
      </c>
      <c r="AZ254" s="175">
        <v>5495761.1609819392</v>
      </c>
      <c r="BA254" s="175">
        <v>5520299.6734251445</v>
      </c>
      <c r="BB254" s="175">
        <v>5543653.1422068467</v>
      </c>
      <c r="BC254" s="175">
        <v>5565805.3225178625</v>
      </c>
      <c r="BD254" s="175">
        <v>5586740.742186253</v>
      </c>
      <c r="BE254" s="175">
        <v>5606444.7196411341</v>
      </c>
      <c r="BF254" s="175">
        <v>5624903.3810296422</v>
      </c>
      <c r="BG254" s="175">
        <v>5642103.6764591942</v>
      </c>
      <c r="BH254" s="175">
        <v>5658033.3953384822</v>
      </c>
      <c r="BI254" s="175">
        <v>5672681.1807920169</v>
      </c>
      <c r="BJ254" s="175">
        <v>5686036.5431244541</v>
      </c>
      <c r="BK254" s="175">
        <v>5698089.8723124107</v>
      </c>
      <c r="BL254" s="175">
        <v>5708832.4495029757</v>
      </c>
      <c r="BM254" s="175">
        <v>5718256.4574997155</v>
      </c>
      <c r="BN254" s="175">
        <v>5726354.9902185565</v>
      </c>
      <c r="BO254" s="175">
        <v>5733122.061097567</v>
      </c>
      <c r="BP254" s="171"/>
      <c r="BQ254" s="176"/>
      <c r="BR254" s="176"/>
      <c r="BS254" s="176"/>
      <c r="BT254" s="176"/>
      <c r="BU254" s="176"/>
      <c r="BV254" s="176"/>
      <c r="BW254" s="176"/>
      <c r="BX254" s="176"/>
      <c r="BY254" s="176"/>
      <c r="BZ254" s="176"/>
      <c r="CA254" s="176"/>
      <c r="CB254" s="176"/>
      <c r="CC254" s="176"/>
    </row>
    <row r="255" spans="1:81" x14ac:dyDescent="0.3">
      <c r="A255" s="388"/>
      <c r="D255" s="359"/>
      <c r="E255" s="172"/>
      <c r="F255" s="174" t="s">
        <v>575</v>
      </c>
      <c r="G255" s="174">
        <v>1088862</v>
      </c>
      <c r="H255" s="174">
        <v>1127363</v>
      </c>
      <c r="I255" s="174">
        <v>1053311</v>
      </c>
      <c r="J255" s="174">
        <v>1127627</v>
      </c>
      <c r="K255" s="174">
        <v>999037</v>
      </c>
      <c r="L255" s="170">
        <v>860886</v>
      </c>
      <c r="M255" s="170">
        <v>896170</v>
      </c>
      <c r="N255" s="170">
        <v>856164</v>
      </c>
      <c r="O255" s="170">
        <v>832528</v>
      </c>
      <c r="P255" s="170">
        <v>996503</v>
      </c>
      <c r="Q255" s="170">
        <v>962520</v>
      </c>
      <c r="R255" s="170">
        <v>846715</v>
      </c>
      <c r="S255" s="175">
        <v>858097.60836248577</v>
      </c>
      <c r="T255" s="175">
        <v>869383.14962241892</v>
      </c>
      <c r="U255" s="175">
        <v>880564.89824591228</v>
      </c>
      <c r="V255" s="175">
        <v>891640.75548480288</v>
      </c>
      <c r="W255" s="175">
        <v>902598.31964539818</v>
      </c>
      <c r="X255" s="175">
        <v>913433.44093019364</v>
      </c>
      <c r="Y255" s="175">
        <v>924138.34443122055</v>
      </c>
      <c r="Z255" s="175">
        <v>934711.50378617854</v>
      </c>
      <c r="AA255" s="175">
        <v>945141.04198841611</v>
      </c>
      <c r="AB255" s="175">
        <v>955421.37827577163</v>
      </c>
      <c r="AC255" s="175">
        <v>965545.3101261392</v>
      </c>
      <c r="AD255" s="175">
        <v>975504.49024568766</v>
      </c>
      <c r="AE255" s="175">
        <v>985294.81653573434</v>
      </c>
      <c r="AF255" s="175">
        <v>994909.13417299511</v>
      </c>
      <c r="AG255" s="175">
        <v>1004343.2456611433</v>
      </c>
      <c r="AH255" s="175">
        <v>1013589.0898992791</v>
      </c>
      <c r="AI255" s="175">
        <v>1022643.4710663354</v>
      </c>
      <c r="AJ255" s="175">
        <v>1031500.4268095758</v>
      </c>
      <c r="AK255" s="175">
        <v>1040155.8073314953</v>
      </c>
      <c r="AL255" s="175">
        <v>1048608.5155591907</v>
      </c>
      <c r="AM255" s="175">
        <v>1056855.6418645263</v>
      </c>
      <c r="AN255" s="175">
        <v>1064892.0824735595</v>
      </c>
      <c r="AO255" s="175">
        <v>1072716.7880122089</v>
      </c>
      <c r="AP255" s="175">
        <v>1080324.6547065317</v>
      </c>
      <c r="AQ255" s="175">
        <v>1087714.3946883371</v>
      </c>
      <c r="AR255" s="175">
        <v>1094887.2004281722</v>
      </c>
      <c r="AS255" s="175">
        <v>1101836.9187780125</v>
      </c>
      <c r="AT255" s="175">
        <v>1108565.4099919121</v>
      </c>
      <c r="AU255" s="175">
        <v>1115075.0113121439</v>
      </c>
      <c r="AV255" s="175">
        <v>1121361.3328297867</v>
      </c>
      <c r="AW255" s="175">
        <v>1127420.1149176266</v>
      </c>
      <c r="AX255" s="175">
        <v>1133247.2330215694</v>
      </c>
      <c r="AY255" s="175">
        <v>1138838.7023229252</v>
      </c>
      <c r="AZ255" s="175">
        <v>1144190.6822642193</v>
      </c>
      <c r="BA255" s="175">
        <v>1149299.4809313586</v>
      </c>
      <c r="BB255" s="175">
        <v>1154161.5592851781</v>
      </c>
      <c r="BC255" s="175">
        <v>1158773.535235598</v>
      </c>
      <c r="BD255" s="175">
        <v>1163132.1875518465</v>
      </c>
      <c r="BE255" s="175">
        <v>1167234.4596024374</v>
      </c>
      <c r="BF255" s="175">
        <v>1171077.4629188385</v>
      </c>
      <c r="BG255" s="175">
        <v>1174658.4805770312</v>
      </c>
      <c r="BH255" s="175">
        <v>1177974.9703914309</v>
      </c>
      <c r="BI255" s="175">
        <v>1181024.5679159248</v>
      </c>
      <c r="BJ255" s="175">
        <v>1183805.0892470789</v>
      </c>
      <c r="BK255" s="175">
        <v>1186314.5336248726</v>
      </c>
      <c r="BL255" s="175">
        <v>1188551.0858266337</v>
      </c>
      <c r="BM255" s="175">
        <v>1190513.1183501736</v>
      </c>
      <c r="BN255" s="175">
        <v>1192199.1933824543</v>
      </c>
      <c r="BO255" s="175">
        <v>1193608.0645504659</v>
      </c>
      <c r="BP255" s="171"/>
    </row>
    <row r="256" spans="1:81" x14ac:dyDescent="0.3">
      <c r="A256" s="394" t="s">
        <v>576</v>
      </c>
      <c r="B256" s="360"/>
      <c r="C256" s="360"/>
      <c r="D256" s="359"/>
      <c r="E256" s="172"/>
      <c r="F256" s="174" t="s">
        <v>577</v>
      </c>
      <c r="G256" s="177">
        <f t="shared" ref="G256:R256" si="220">G254*0.07</f>
        <v>367747.52</v>
      </c>
      <c r="H256" s="177">
        <f t="shared" si="220"/>
        <v>375123.28</v>
      </c>
      <c r="I256" s="177">
        <f t="shared" si="220"/>
        <v>366488.50000000006</v>
      </c>
      <c r="J256" s="177">
        <f t="shared" si="220"/>
        <v>359388.54000000004</v>
      </c>
      <c r="K256" s="177">
        <f t="shared" si="220"/>
        <v>322323.68000000005</v>
      </c>
      <c r="L256" s="178">
        <f t="shared" si="220"/>
        <v>288064.91000000003</v>
      </c>
      <c r="M256" s="178">
        <f t="shared" si="220"/>
        <v>288911.77</v>
      </c>
      <c r="N256" s="178">
        <f t="shared" si="220"/>
        <v>293342.77</v>
      </c>
      <c r="O256" s="178">
        <f t="shared" si="220"/>
        <v>283975.72000000003</v>
      </c>
      <c r="P256" s="178">
        <f t="shared" si="220"/>
        <v>301437.08</v>
      </c>
      <c r="Q256" s="178">
        <f t="shared" si="220"/>
        <v>303514.68000000005</v>
      </c>
      <c r="R256" s="178">
        <f t="shared" si="220"/>
        <v>284685.10000000003</v>
      </c>
      <c r="S256" s="175">
        <v>288512.19530353794</v>
      </c>
      <c r="T256" s="175">
        <v>292306.6544097758</v>
      </c>
      <c r="U256" s="175">
        <v>296066.21603919548</v>
      </c>
      <c r="V256" s="175">
        <v>299790.17454428785</v>
      </c>
      <c r="W256" s="175">
        <v>303474.36018977128</v>
      </c>
      <c r="X256" s="175">
        <v>307117.37771807081</v>
      </c>
      <c r="Y256" s="175">
        <v>310716.61302591371</v>
      </c>
      <c r="Z256" s="175">
        <v>314271.55291511159</v>
      </c>
      <c r="AA256" s="175">
        <v>317778.20406226005</v>
      </c>
      <c r="AB256" s="175">
        <v>321234.69008648238</v>
      </c>
      <c r="AC256" s="175">
        <v>324638.58933382662</v>
      </c>
      <c r="AD256" s="175">
        <v>327987.09525169944</v>
      </c>
      <c r="AE256" s="175">
        <v>331278.82861996925</v>
      </c>
      <c r="AF256" s="175">
        <v>334511.38382212742</v>
      </c>
      <c r="AG256" s="175">
        <v>337683.34956315556</v>
      </c>
      <c r="AH256" s="175">
        <v>340792.01551512058</v>
      </c>
      <c r="AI256" s="175">
        <v>343836.30716931541</v>
      </c>
      <c r="AJ256" s="175">
        <v>346814.21984531614</v>
      </c>
      <c r="AK256" s="175">
        <v>349724.35828554776</v>
      </c>
      <c r="AL256" s="175">
        <v>352566.35362881236</v>
      </c>
      <c r="AM256" s="175">
        <v>355339.22759106307</v>
      </c>
      <c r="AN256" s="175">
        <v>358041.26416585705</v>
      </c>
      <c r="AO256" s="175">
        <v>360672.11052943976</v>
      </c>
      <c r="AP256" s="175">
        <v>363230.0506753684</v>
      </c>
      <c r="AQ256" s="175">
        <v>365714.65159267146</v>
      </c>
      <c r="AR256" s="175">
        <v>368126.31421743362</v>
      </c>
      <c r="AS256" s="175">
        <v>370462.9697194575</v>
      </c>
      <c r="AT256" s="175">
        <v>372725.24355903536</v>
      </c>
      <c r="AU256" s="175">
        <v>374913.92157089332</v>
      </c>
      <c r="AV256" s="175">
        <v>377027.52776646358</v>
      </c>
      <c r="AW256" s="175">
        <v>379064.62996089138</v>
      </c>
      <c r="AX256" s="175">
        <v>381023.84138401813</v>
      </c>
      <c r="AY256" s="175">
        <v>382903.8222479492</v>
      </c>
      <c r="AZ256" s="175">
        <v>384703.28126873577</v>
      </c>
      <c r="BA256" s="175">
        <v>386420.97713976016</v>
      </c>
      <c r="BB256" s="175">
        <v>388055.71995447931</v>
      </c>
      <c r="BC256" s="175">
        <v>389606.3725762504</v>
      </c>
      <c r="BD256" s="175">
        <v>391071.85195303772</v>
      </c>
      <c r="BE256" s="175">
        <v>392451.1303748794</v>
      </c>
      <c r="BF256" s="175">
        <v>393743.23667207494</v>
      </c>
      <c r="BG256" s="175">
        <v>394947.25735214358</v>
      </c>
      <c r="BH256" s="175">
        <v>396062.33767369372</v>
      </c>
      <c r="BI256" s="175">
        <v>397087.68265544117</v>
      </c>
      <c r="BJ256" s="175">
        <v>398022.5580187118</v>
      </c>
      <c r="BK256" s="175">
        <v>398866.29106186877</v>
      </c>
      <c r="BL256" s="175">
        <v>399618.27146520826</v>
      </c>
      <c r="BM256" s="175">
        <v>400277.9520249801</v>
      </c>
      <c r="BN256" s="175">
        <v>400844.84931529895</v>
      </c>
      <c r="BO256" s="175">
        <v>401318.54427682969</v>
      </c>
      <c r="BP256" s="171"/>
    </row>
    <row r="257" spans="1:81" x14ac:dyDescent="0.3">
      <c r="A257" s="388"/>
      <c r="D257" s="359"/>
      <c r="E257" s="172"/>
      <c r="F257" s="174" t="s">
        <v>578</v>
      </c>
      <c r="G257" s="177">
        <f t="shared" ref="G257:R257" si="221">G254*0.31</f>
        <v>1628596.16</v>
      </c>
      <c r="H257" s="177">
        <f t="shared" si="221"/>
        <v>1661260.24</v>
      </c>
      <c r="I257" s="177">
        <f t="shared" si="221"/>
        <v>1623020.5</v>
      </c>
      <c r="J257" s="177">
        <f t="shared" si="221"/>
        <v>1591577.82</v>
      </c>
      <c r="K257" s="177">
        <f t="shared" si="221"/>
        <v>1427433.44</v>
      </c>
      <c r="L257" s="178">
        <f t="shared" si="221"/>
        <v>1275716.03</v>
      </c>
      <c r="M257" s="178">
        <f t="shared" si="221"/>
        <v>1279466.4099999999</v>
      </c>
      <c r="N257" s="178">
        <f t="shared" si="221"/>
        <v>1299089.4099999999</v>
      </c>
      <c r="O257" s="178">
        <f t="shared" si="221"/>
        <v>1257606.76</v>
      </c>
      <c r="P257" s="178">
        <f t="shared" si="221"/>
        <v>1334935.6399999999</v>
      </c>
      <c r="Q257" s="178">
        <f t="shared" si="221"/>
        <v>1344136.44</v>
      </c>
      <c r="R257" s="178">
        <f t="shared" si="221"/>
        <v>1260748.3</v>
      </c>
      <c r="S257" s="175">
        <v>1277696.8649156678</v>
      </c>
      <c r="T257" s="175">
        <v>1294500.8981004355</v>
      </c>
      <c r="U257" s="175">
        <v>1311150.3853164369</v>
      </c>
      <c r="V257" s="175">
        <v>1327642.2015532744</v>
      </c>
      <c r="W257" s="175">
        <v>1343957.8808404154</v>
      </c>
      <c r="X257" s="175">
        <v>1360091.2441800276</v>
      </c>
      <c r="Y257" s="175">
        <v>1376030.7148290463</v>
      </c>
      <c r="Z257" s="175">
        <v>1391774.0200526367</v>
      </c>
      <c r="AA257" s="175">
        <v>1407303.4751328656</v>
      </c>
      <c r="AB257" s="175">
        <v>1422610.7703829932</v>
      </c>
      <c r="AC257" s="175">
        <v>1437685.1813355177</v>
      </c>
      <c r="AD257" s="175">
        <v>1452514.2789718115</v>
      </c>
      <c r="AE257" s="175">
        <v>1467091.9553170064</v>
      </c>
      <c r="AF257" s="175">
        <v>1481407.5569265641</v>
      </c>
      <c r="AG257" s="175">
        <v>1495454.8337796887</v>
      </c>
      <c r="AH257" s="175">
        <v>1509221.7829955339</v>
      </c>
      <c r="AI257" s="175">
        <v>1522703.6460355397</v>
      </c>
      <c r="AJ257" s="175">
        <v>1535891.5450292572</v>
      </c>
      <c r="AK257" s="175">
        <v>1548779.3009788545</v>
      </c>
      <c r="AL257" s="175">
        <v>1561365.2803561692</v>
      </c>
      <c r="AM257" s="175">
        <v>1573645.1507604222</v>
      </c>
      <c r="AN257" s="175">
        <v>1585611.3127345098</v>
      </c>
      <c r="AO257" s="175">
        <v>1597262.2037732333</v>
      </c>
      <c r="AP257" s="175">
        <v>1608590.2244194888</v>
      </c>
      <c r="AQ257" s="175">
        <v>1619593.4570532595</v>
      </c>
      <c r="AR257" s="175">
        <v>1630273.6772486349</v>
      </c>
      <c r="AS257" s="175">
        <v>1640621.7230433119</v>
      </c>
      <c r="AT257" s="175">
        <v>1650640.3643328708</v>
      </c>
      <c r="AU257" s="175">
        <v>1660333.0812425276</v>
      </c>
      <c r="AV257" s="175">
        <v>1669693.3372514816</v>
      </c>
      <c r="AW257" s="175">
        <v>1678714.7898268045</v>
      </c>
      <c r="AX257" s="175">
        <v>1687391.2975577945</v>
      </c>
      <c r="AY257" s="175">
        <v>1695716.9270980607</v>
      </c>
      <c r="AZ257" s="175">
        <v>1703685.9599044013</v>
      </c>
      <c r="BA257" s="175">
        <v>1711292.8987617949</v>
      </c>
      <c r="BB257" s="175">
        <v>1718532.4740841228</v>
      </c>
      <c r="BC257" s="175">
        <v>1725399.6499805376</v>
      </c>
      <c r="BD257" s="175">
        <v>1731889.6300777385</v>
      </c>
      <c r="BE257" s="175">
        <v>1737997.8630887517</v>
      </c>
      <c r="BF257" s="175">
        <v>1743720.0481191892</v>
      </c>
      <c r="BG257" s="175">
        <v>1749052.1397023504</v>
      </c>
      <c r="BH257" s="175">
        <v>1753990.3525549297</v>
      </c>
      <c r="BI257" s="175">
        <v>1758531.1660455253</v>
      </c>
      <c r="BJ257" s="175">
        <v>1762671.3283685809</v>
      </c>
      <c r="BK257" s="175">
        <v>1766407.8604168475</v>
      </c>
      <c r="BL257" s="175">
        <v>1769738.0593459224</v>
      </c>
      <c r="BM257" s="175">
        <v>1772659.5018249119</v>
      </c>
      <c r="BN257" s="175">
        <v>1775170.0469677527</v>
      </c>
      <c r="BO257" s="175">
        <v>1777267.838940246</v>
      </c>
      <c r="BP257" s="171"/>
    </row>
    <row r="258" spans="1:81" x14ac:dyDescent="0.3">
      <c r="A258" s="388"/>
      <c r="D258" s="359"/>
      <c r="E258" s="172"/>
      <c r="F258" s="174" t="s">
        <v>579</v>
      </c>
      <c r="G258" s="177">
        <f>G254*0.37</f>
        <v>1943808.32</v>
      </c>
      <c r="H258" s="177">
        <f t="shared" ref="H258:R258" si="222">H254*0.37</f>
        <v>1982794.48</v>
      </c>
      <c r="I258" s="177">
        <f t="shared" si="222"/>
        <v>1937153.5</v>
      </c>
      <c r="J258" s="177">
        <f t="shared" si="222"/>
        <v>1899625.14</v>
      </c>
      <c r="K258" s="177">
        <f t="shared" si="222"/>
        <v>1703710.88</v>
      </c>
      <c r="L258" s="177">
        <f t="shared" si="222"/>
        <v>1522628.81</v>
      </c>
      <c r="M258" s="177">
        <f t="shared" si="222"/>
        <v>1527105.07</v>
      </c>
      <c r="N258" s="177">
        <f t="shared" si="222"/>
        <v>1550526.07</v>
      </c>
      <c r="O258" s="177">
        <f t="shared" si="222"/>
        <v>1501014.52</v>
      </c>
      <c r="P258" s="177">
        <f t="shared" si="222"/>
        <v>1593310.28</v>
      </c>
      <c r="Q258" s="177">
        <f t="shared" si="222"/>
        <v>1604291.88</v>
      </c>
      <c r="R258" s="177">
        <f t="shared" si="222"/>
        <v>1504764.1</v>
      </c>
      <c r="S258" s="175">
        <v>1524993.0323187003</v>
      </c>
      <c r="T258" s="175">
        <v>1545049.4590231003</v>
      </c>
      <c r="U258" s="175">
        <v>1564921.4276357472</v>
      </c>
      <c r="V258" s="175">
        <v>1584605.2083055212</v>
      </c>
      <c r="W258" s="175">
        <v>1604078.7610030763</v>
      </c>
      <c r="X258" s="175">
        <v>1623334.7107955166</v>
      </c>
      <c r="Y258" s="175">
        <v>1642359.2402798291</v>
      </c>
      <c r="Z258" s="175">
        <v>1661149.6368370177</v>
      </c>
      <c r="AA258" s="175">
        <v>1679684.7929005167</v>
      </c>
      <c r="AB258" s="175">
        <v>1697954.7904571206</v>
      </c>
      <c r="AC258" s="175">
        <v>1715946.8293359403</v>
      </c>
      <c r="AD258" s="175">
        <v>1733646.0749018395</v>
      </c>
      <c r="AE258" s="175">
        <v>1751045.2369912656</v>
      </c>
      <c r="AF258" s="175">
        <v>1768131.6002026729</v>
      </c>
      <c r="AG258" s="175">
        <v>1784897.7048338216</v>
      </c>
      <c r="AH258" s="175">
        <v>1801329.224865637</v>
      </c>
      <c r="AI258" s="175">
        <v>1817420.4807520953</v>
      </c>
      <c r="AJ258" s="175">
        <v>1833160.876325242</v>
      </c>
      <c r="AK258" s="175">
        <v>1848543.0366521806</v>
      </c>
      <c r="AL258" s="175">
        <v>1863565.0120380076</v>
      </c>
      <c r="AM258" s="175">
        <v>1878221.6315527614</v>
      </c>
      <c r="AN258" s="175">
        <v>1892503.8248766726</v>
      </c>
      <c r="AO258" s="175">
        <v>1906409.7270841813</v>
      </c>
      <c r="AP258" s="175">
        <v>1919930.2678555185</v>
      </c>
      <c r="AQ258" s="175">
        <v>1933063.158418406</v>
      </c>
      <c r="AR258" s="175">
        <v>1945810.5180064347</v>
      </c>
      <c r="AS258" s="175">
        <v>1958161.4113742751</v>
      </c>
      <c r="AT258" s="175">
        <v>1970119.1445263294</v>
      </c>
      <c r="AU258" s="175">
        <v>1981687.8711604357</v>
      </c>
      <c r="AV258" s="175">
        <v>1992859.7896227357</v>
      </c>
      <c r="AW258" s="175">
        <v>2003627.3297932826</v>
      </c>
      <c r="AX258" s="175">
        <v>2013983.1616012382</v>
      </c>
      <c r="AY258" s="175">
        <v>2023920.2033105881</v>
      </c>
      <c r="AZ258" s="175">
        <v>2033431.6295633172</v>
      </c>
      <c r="BA258" s="175">
        <v>2042510.8791673032</v>
      </c>
      <c r="BB258" s="175">
        <v>2051151.6626165332</v>
      </c>
      <c r="BC258" s="175">
        <v>2059347.9693316089</v>
      </c>
      <c r="BD258" s="175">
        <v>2067094.0746089132</v>
      </c>
      <c r="BE258" s="175">
        <v>2074384.5462672191</v>
      </c>
      <c r="BF258" s="175">
        <v>2081214.2509809672</v>
      </c>
      <c r="BG258" s="175">
        <v>2087578.3602899015</v>
      </c>
      <c r="BH258" s="175">
        <v>2093472.3562752381</v>
      </c>
      <c r="BI258" s="175">
        <v>2098892.036893046</v>
      </c>
      <c r="BJ258" s="175">
        <v>2103833.5209560478</v>
      </c>
      <c r="BK258" s="175">
        <v>2108293.2527555916</v>
      </c>
      <c r="BL258" s="175">
        <v>2112268.0063161007</v>
      </c>
      <c r="BM258" s="175">
        <v>2115754.8892748947</v>
      </c>
      <c r="BN258" s="175">
        <v>2118751.3463808661</v>
      </c>
      <c r="BO258" s="175">
        <v>2121255.1626061001</v>
      </c>
      <c r="BP258" s="171"/>
    </row>
    <row r="259" spans="1:81" ht="15.6" hidden="1" x14ac:dyDescent="0.3">
      <c r="A259" s="354"/>
      <c r="B259" s="354"/>
      <c r="C259" s="354"/>
      <c r="D259" s="359"/>
      <c r="E259" s="172"/>
      <c r="F259" s="173" t="s">
        <v>580</v>
      </c>
      <c r="G259" s="168"/>
      <c r="H259" s="168"/>
      <c r="I259" s="168"/>
      <c r="J259" s="168"/>
      <c r="K259" s="168"/>
      <c r="L259" s="169"/>
      <c r="M259" s="170"/>
      <c r="N259" s="170"/>
      <c r="O259" s="170"/>
      <c r="P259" s="170"/>
      <c r="Q259" s="170"/>
      <c r="R259" s="170"/>
      <c r="S259" s="170"/>
      <c r="T259" s="170"/>
      <c r="U259" s="170"/>
      <c r="V259" s="170"/>
      <c r="W259" s="170"/>
      <c r="X259" s="170"/>
      <c r="Y259" s="170"/>
      <c r="Z259" s="170"/>
      <c r="AA259" s="170"/>
      <c r="AB259" s="170"/>
      <c r="AC259" s="170"/>
      <c r="AD259" s="170"/>
      <c r="AE259" s="170"/>
      <c r="AF259" s="170"/>
      <c r="AG259" s="170"/>
      <c r="AH259" s="170"/>
      <c r="AI259" s="170"/>
      <c r="AJ259" s="170"/>
      <c r="AK259" s="170"/>
      <c r="AL259" s="170"/>
      <c r="AM259" s="170"/>
      <c r="AN259" s="170"/>
      <c r="AO259" s="170"/>
      <c r="AP259" s="170"/>
      <c r="AQ259" s="170"/>
      <c r="AR259" s="170"/>
      <c r="AS259" s="170"/>
      <c r="AT259" s="170"/>
      <c r="AU259" s="170"/>
      <c r="AV259" s="170"/>
      <c r="AW259" s="170"/>
      <c r="AX259" s="170"/>
      <c r="AY259" s="170"/>
      <c r="AZ259" s="170"/>
      <c r="BA259" s="170"/>
      <c r="BB259" s="170"/>
      <c r="BC259" s="170"/>
      <c r="BD259" s="170"/>
      <c r="BE259" s="170"/>
      <c r="BF259" s="170"/>
      <c r="BG259" s="170"/>
      <c r="BH259" s="170"/>
      <c r="BI259" s="170"/>
      <c r="BJ259" s="170"/>
      <c r="BK259" s="170"/>
      <c r="BL259" s="170"/>
      <c r="BM259" s="170"/>
      <c r="BN259" s="170"/>
      <c r="BO259" s="170"/>
      <c r="BP259" s="171"/>
    </row>
    <row r="260" spans="1:81" hidden="1" x14ac:dyDescent="0.3">
      <c r="A260" s="394" t="s">
        <v>581</v>
      </c>
      <c r="B260" s="360"/>
      <c r="C260" s="360"/>
      <c r="D260" s="359" t="s">
        <v>494</v>
      </c>
      <c r="E260" s="172"/>
      <c r="F260" s="174" t="s">
        <v>574</v>
      </c>
      <c r="G260" s="179">
        <v>0</v>
      </c>
      <c r="H260" s="179">
        <v>0</v>
      </c>
      <c r="I260" s="174">
        <v>4525660</v>
      </c>
      <c r="J260" s="174">
        <v>4447754</v>
      </c>
      <c r="K260" s="174">
        <v>4508418</v>
      </c>
      <c r="L260" s="170">
        <v>4254684</v>
      </c>
      <c r="M260" s="170">
        <v>4307072</v>
      </c>
      <c r="N260" s="170">
        <v>4312124</v>
      </c>
      <c r="O260" s="170">
        <v>4300381</v>
      </c>
      <c r="P260" s="170">
        <v>4382736</v>
      </c>
      <c r="Q260" s="170">
        <v>4520881</v>
      </c>
      <c r="R260" s="170">
        <v>4009035</v>
      </c>
      <c r="S260" s="170"/>
      <c r="T260" s="170"/>
      <c r="U260" s="170"/>
      <c r="V260" s="170"/>
      <c r="W260" s="170"/>
      <c r="X260" s="170"/>
      <c r="Y260" s="170"/>
      <c r="Z260" s="170"/>
      <c r="AA260" s="170"/>
      <c r="AB260" s="170"/>
      <c r="AC260" s="170"/>
      <c r="AD260" s="170"/>
      <c r="AE260" s="170"/>
      <c r="AF260" s="170"/>
      <c r="AG260" s="170"/>
      <c r="AH260" s="170"/>
      <c r="AI260" s="170"/>
      <c r="AJ260" s="170"/>
      <c r="AK260" s="170"/>
      <c r="AL260" s="170"/>
      <c r="AM260" s="170"/>
      <c r="AN260" s="170"/>
      <c r="AO260" s="170"/>
      <c r="AP260" s="170"/>
      <c r="AQ260" s="170"/>
      <c r="AR260" s="170"/>
      <c r="AS260" s="170"/>
      <c r="AT260" s="170"/>
      <c r="AU260" s="170"/>
      <c r="AV260" s="170"/>
      <c r="AW260" s="170"/>
      <c r="AX260" s="170"/>
      <c r="AY260" s="170"/>
      <c r="AZ260" s="170"/>
      <c r="BA260" s="170"/>
      <c r="BB260" s="170"/>
      <c r="BC260" s="170"/>
      <c r="BD260" s="170"/>
      <c r="BE260" s="170"/>
      <c r="BF260" s="170"/>
      <c r="BG260" s="170"/>
      <c r="BH260" s="170"/>
      <c r="BI260" s="170"/>
      <c r="BJ260" s="170"/>
      <c r="BK260" s="170"/>
      <c r="BL260" s="170"/>
      <c r="BM260" s="170"/>
      <c r="BN260" s="170"/>
      <c r="BO260" s="170"/>
      <c r="BP260" s="171"/>
      <c r="BQ260" s="176"/>
      <c r="BR260" s="176"/>
      <c r="BS260" s="176"/>
      <c r="BT260" s="176"/>
      <c r="BU260" s="176"/>
      <c r="BV260" s="176"/>
      <c r="BW260" s="176"/>
      <c r="BX260" s="176"/>
      <c r="BY260" s="176"/>
      <c r="BZ260" s="176"/>
      <c r="CA260" s="176"/>
      <c r="CB260" s="176"/>
      <c r="CC260" s="176"/>
    </row>
    <row r="261" spans="1:81" hidden="1" x14ac:dyDescent="0.3">
      <c r="A261" s="388"/>
      <c r="D261" s="359" t="s">
        <v>494</v>
      </c>
      <c r="E261" s="172"/>
      <c r="F261" s="174" t="s">
        <v>575</v>
      </c>
      <c r="G261" s="179">
        <v>0</v>
      </c>
      <c r="H261" s="179">
        <v>0</v>
      </c>
      <c r="I261" s="179">
        <v>0</v>
      </c>
      <c r="J261" s="179">
        <v>0</v>
      </c>
      <c r="K261" s="179">
        <v>0</v>
      </c>
      <c r="L261" s="170">
        <v>585670</v>
      </c>
      <c r="M261" s="170">
        <v>596430</v>
      </c>
      <c r="N261" s="170">
        <v>635955</v>
      </c>
      <c r="O261" s="170">
        <v>595211</v>
      </c>
      <c r="P261" s="170">
        <v>544000</v>
      </c>
      <c r="Q261" s="170">
        <v>702532</v>
      </c>
      <c r="R261" s="170">
        <v>769806</v>
      </c>
      <c r="S261" s="170"/>
      <c r="T261" s="170"/>
      <c r="U261" s="170"/>
      <c r="V261" s="170"/>
      <c r="W261" s="170"/>
      <c r="X261" s="170"/>
      <c r="Y261" s="170"/>
      <c r="Z261" s="170"/>
      <c r="AA261" s="170"/>
      <c r="AB261" s="170"/>
      <c r="AC261" s="170"/>
      <c r="AD261" s="170"/>
      <c r="AE261" s="170"/>
      <c r="AF261" s="170"/>
      <c r="AG261" s="170"/>
      <c r="AH261" s="170"/>
      <c r="AI261" s="170"/>
      <c r="AJ261" s="170"/>
      <c r="AK261" s="170"/>
      <c r="AL261" s="170"/>
      <c r="AM261" s="170"/>
      <c r="AN261" s="170"/>
      <c r="AO261" s="170"/>
      <c r="AP261" s="170"/>
      <c r="AQ261" s="170"/>
      <c r="AR261" s="170"/>
      <c r="AS261" s="170"/>
      <c r="AT261" s="170"/>
      <c r="AU261" s="170"/>
      <c r="AV261" s="170"/>
      <c r="AW261" s="170"/>
      <c r="AX261" s="170"/>
      <c r="AY261" s="170"/>
      <c r="AZ261" s="170"/>
      <c r="BA261" s="170"/>
      <c r="BB261" s="170"/>
      <c r="BC261" s="170"/>
      <c r="BD261" s="170"/>
      <c r="BE261" s="170"/>
      <c r="BF261" s="170"/>
      <c r="BG261" s="170"/>
      <c r="BH261" s="170"/>
      <c r="BI261" s="170"/>
      <c r="BJ261" s="170"/>
      <c r="BK261" s="170"/>
      <c r="BL261" s="170"/>
      <c r="BM261" s="170"/>
      <c r="BN261" s="170"/>
      <c r="BO261" s="170"/>
      <c r="BP261" s="171"/>
    </row>
    <row r="262" spans="1:81" hidden="1" x14ac:dyDescent="0.3">
      <c r="A262" s="388"/>
      <c r="D262" s="359" t="s">
        <v>494</v>
      </c>
      <c r="E262" s="172"/>
      <c r="F262" s="174" t="s">
        <v>577</v>
      </c>
      <c r="G262" s="179">
        <v>0</v>
      </c>
      <c r="H262" s="179">
        <v>0</v>
      </c>
      <c r="I262" s="179">
        <v>0</v>
      </c>
      <c r="J262" s="179">
        <v>0</v>
      </c>
      <c r="K262" s="179">
        <v>0</v>
      </c>
      <c r="L262" s="170">
        <v>225656</v>
      </c>
      <c r="M262" s="170">
        <v>302021</v>
      </c>
      <c r="N262" s="170">
        <v>290500</v>
      </c>
      <c r="O262" s="170">
        <v>289211</v>
      </c>
      <c r="P262" s="170">
        <v>340137</v>
      </c>
      <c r="Q262" s="170">
        <v>373999</v>
      </c>
      <c r="R262" s="170">
        <v>385061</v>
      </c>
      <c r="S262" s="170"/>
      <c r="T262" s="170"/>
      <c r="U262" s="170"/>
      <c r="V262" s="170"/>
      <c r="W262" s="170"/>
      <c r="X262" s="170"/>
      <c r="Y262" s="170"/>
      <c r="Z262" s="170"/>
      <c r="AA262" s="170"/>
      <c r="AB262" s="170"/>
      <c r="AC262" s="170"/>
      <c r="AD262" s="170"/>
      <c r="AE262" s="170"/>
      <c r="AF262" s="170"/>
      <c r="AG262" s="170"/>
      <c r="AH262" s="170"/>
      <c r="AI262" s="170"/>
      <c r="AJ262" s="170"/>
      <c r="AK262" s="170"/>
      <c r="AL262" s="170"/>
      <c r="AM262" s="170"/>
      <c r="AN262" s="170"/>
      <c r="AO262" s="170"/>
      <c r="AP262" s="170"/>
      <c r="AQ262" s="170"/>
      <c r="AR262" s="170"/>
      <c r="AS262" s="170"/>
      <c r="AT262" s="170"/>
      <c r="AU262" s="170"/>
      <c r="AV262" s="170"/>
      <c r="AW262" s="170"/>
      <c r="AX262" s="170"/>
      <c r="AY262" s="170"/>
      <c r="AZ262" s="170"/>
      <c r="BA262" s="170"/>
      <c r="BB262" s="170"/>
      <c r="BC262" s="170"/>
      <c r="BD262" s="170"/>
      <c r="BE262" s="170"/>
      <c r="BF262" s="170"/>
      <c r="BG262" s="170"/>
      <c r="BH262" s="170"/>
      <c r="BI262" s="170"/>
      <c r="BJ262" s="170"/>
      <c r="BK262" s="170"/>
      <c r="BL262" s="170"/>
      <c r="BM262" s="170"/>
      <c r="BN262" s="170"/>
      <c r="BO262" s="170"/>
      <c r="BP262" s="171"/>
    </row>
    <row r="263" spans="1:81" hidden="1" x14ac:dyDescent="0.3">
      <c r="A263" s="388"/>
      <c r="D263" s="359" t="s">
        <v>494</v>
      </c>
      <c r="E263" s="172"/>
      <c r="F263" s="174" t="s">
        <v>578</v>
      </c>
      <c r="G263" s="179">
        <v>0</v>
      </c>
      <c r="H263" s="179">
        <v>0</v>
      </c>
      <c r="I263" s="179">
        <v>0</v>
      </c>
      <c r="J263" s="179">
        <v>0</v>
      </c>
      <c r="K263" s="179">
        <v>0</v>
      </c>
      <c r="L263" s="170">
        <v>1346546</v>
      </c>
      <c r="M263" s="170">
        <v>1331746</v>
      </c>
      <c r="N263" s="170">
        <v>1334601</v>
      </c>
      <c r="O263" s="170">
        <v>1331356</v>
      </c>
      <c r="P263" s="170">
        <v>1353599</v>
      </c>
      <c r="Q263" s="170">
        <v>1302004</v>
      </c>
      <c r="R263" s="170">
        <v>1306474</v>
      </c>
      <c r="S263" s="170"/>
      <c r="T263" s="170"/>
      <c r="U263" s="170"/>
      <c r="V263" s="170"/>
      <c r="W263" s="170"/>
      <c r="X263" s="170"/>
      <c r="Y263" s="170"/>
      <c r="Z263" s="170"/>
      <c r="AA263" s="170"/>
      <c r="AB263" s="170"/>
      <c r="AC263" s="170"/>
      <c r="AD263" s="170"/>
      <c r="AE263" s="170"/>
      <c r="AF263" s="170"/>
      <c r="AG263" s="170"/>
      <c r="AH263" s="170"/>
      <c r="AI263" s="170"/>
      <c r="AJ263" s="170"/>
      <c r="AK263" s="170"/>
      <c r="AL263" s="170"/>
      <c r="AM263" s="170"/>
      <c r="AN263" s="170"/>
      <c r="AO263" s="170"/>
      <c r="AP263" s="170"/>
      <c r="AQ263" s="170"/>
      <c r="AR263" s="170"/>
      <c r="AS263" s="170"/>
      <c r="AT263" s="170"/>
      <c r="AU263" s="170"/>
      <c r="AV263" s="170"/>
      <c r="AW263" s="170"/>
      <c r="AX263" s="170"/>
      <c r="AY263" s="170"/>
      <c r="AZ263" s="170"/>
      <c r="BA263" s="170"/>
      <c r="BB263" s="170"/>
      <c r="BC263" s="170"/>
      <c r="BD263" s="170"/>
      <c r="BE263" s="170"/>
      <c r="BF263" s="170"/>
      <c r="BG263" s="170"/>
      <c r="BH263" s="170"/>
      <c r="BI263" s="170"/>
      <c r="BJ263" s="170"/>
      <c r="BK263" s="170"/>
      <c r="BL263" s="170"/>
      <c r="BM263" s="170"/>
      <c r="BN263" s="170"/>
      <c r="BO263" s="170"/>
      <c r="BP263" s="171"/>
    </row>
    <row r="264" spans="1:81" hidden="1" x14ac:dyDescent="0.3">
      <c r="A264" s="388"/>
      <c r="D264" s="359" t="s">
        <v>494</v>
      </c>
      <c r="E264" s="172"/>
      <c r="F264" s="174" t="s">
        <v>579</v>
      </c>
      <c r="G264" s="179">
        <v>0</v>
      </c>
      <c r="H264" s="179">
        <v>0</v>
      </c>
      <c r="I264" s="179">
        <v>0</v>
      </c>
      <c r="J264" s="179">
        <v>0</v>
      </c>
      <c r="K264" s="179">
        <v>0</v>
      </c>
      <c r="L264" s="170">
        <v>2096812</v>
      </c>
      <c r="M264" s="170">
        <v>2076875</v>
      </c>
      <c r="N264" s="170">
        <v>2051068</v>
      </c>
      <c r="O264" s="170">
        <v>2084603</v>
      </c>
      <c r="P264" s="170">
        <v>2145000</v>
      </c>
      <c r="Q264" s="170">
        <v>2142346</v>
      </c>
      <c r="R264" s="170">
        <v>1547694</v>
      </c>
      <c r="S264" s="170"/>
      <c r="T264" s="170"/>
      <c r="U264" s="170"/>
      <c r="V264" s="170"/>
      <c r="W264" s="170"/>
      <c r="X264" s="170"/>
      <c r="Y264" s="170"/>
      <c r="Z264" s="170"/>
      <c r="AA264" s="170"/>
      <c r="AB264" s="170"/>
      <c r="AC264" s="170"/>
      <c r="AD264" s="170"/>
      <c r="AE264" s="170"/>
      <c r="AF264" s="170"/>
      <c r="AG264" s="170"/>
      <c r="AH264" s="170"/>
      <c r="AI264" s="170"/>
      <c r="AJ264" s="170"/>
      <c r="AK264" s="170"/>
      <c r="AL264" s="170"/>
      <c r="AM264" s="170"/>
      <c r="AN264" s="170"/>
      <c r="AO264" s="170"/>
      <c r="AP264" s="170"/>
      <c r="AQ264" s="170"/>
      <c r="AR264" s="170"/>
      <c r="AS264" s="170"/>
      <c r="AT264" s="170"/>
      <c r="AU264" s="170"/>
      <c r="AV264" s="170"/>
      <c r="AW264" s="170"/>
      <c r="AX264" s="170"/>
      <c r="AY264" s="170"/>
      <c r="AZ264" s="170"/>
      <c r="BA264" s="170"/>
      <c r="BB264" s="170"/>
      <c r="BC264" s="170"/>
      <c r="BD264" s="170"/>
      <c r="BE264" s="170"/>
      <c r="BF264" s="170"/>
      <c r="BG264" s="170"/>
      <c r="BH264" s="170"/>
      <c r="BI264" s="170"/>
      <c r="BJ264" s="170"/>
      <c r="BK264" s="170"/>
      <c r="BL264" s="170"/>
      <c r="BM264" s="170"/>
      <c r="BN264" s="170"/>
      <c r="BO264" s="170"/>
      <c r="BP264" s="171"/>
    </row>
    <row r="265" spans="1:81" ht="15.6" x14ac:dyDescent="0.3">
      <c r="A265" s="354"/>
      <c r="B265" s="354"/>
      <c r="C265" s="354"/>
      <c r="D265" s="359"/>
      <c r="E265" s="172"/>
      <c r="F265" s="173" t="s">
        <v>582</v>
      </c>
      <c r="G265" s="168"/>
      <c r="H265" s="168"/>
      <c r="I265" s="168"/>
      <c r="J265" s="168"/>
      <c r="K265" s="168"/>
      <c r="L265" s="169"/>
      <c r="M265" s="170"/>
      <c r="N265" s="170"/>
      <c r="O265" s="170"/>
      <c r="P265" s="170"/>
      <c r="Q265" s="170"/>
      <c r="R265" s="170"/>
      <c r="S265" s="170"/>
      <c r="T265" s="170"/>
      <c r="U265" s="170"/>
      <c r="V265" s="170"/>
      <c r="W265" s="170"/>
      <c r="X265" s="170"/>
      <c r="Y265" s="170"/>
      <c r="Z265" s="170"/>
      <c r="AA265" s="170"/>
      <c r="AB265" s="170"/>
      <c r="AC265" s="170"/>
      <c r="AD265" s="170"/>
      <c r="AE265" s="170"/>
      <c r="AF265" s="170"/>
      <c r="AG265" s="170"/>
      <c r="AH265" s="170"/>
      <c r="AI265" s="170"/>
      <c r="AJ265" s="170"/>
      <c r="AK265" s="170"/>
      <c r="AL265" s="170"/>
      <c r="AM265" s="170"/>
      <c r="AN265" s="170"/>
      <c r="AO265" s="170"/>
      <c r="AP265" s="170"/>
      <c r="AQ265" s="170"/>
      <c r="AR265" s="170"/>
      <c r="AS265" s="170"/>
      <c r="AT265" s="170"/>
      <c r="AU265" s="170"/>
      <c r="AV265" s="170"/>
      <c r="AW265" s="170"/>
      <c r="AX265" s="170"/>
      <c r="AY265" s="170"/>
      <c r="AZ265" s="170"/>
      <c r="BA265" s="170"/>
      <c r="BB265" s="170"/>
      <c r="BC265" s="170"/>
      <c r="BD265" s="170"/>
      <c r="BE265" s="170"/>
      <c r="BF265" s="170"/>
      <c r="BG265" s="170"/>
      <c r="BH265" s="170"/>
      <c r="BI265" s="170"/>
      <c r="BJ265" s="170"/>
      <c r="BK265" s="170"/>
      <c r="BL265" s="170"/>
      <c r="BM265" s="170"/>
      <c r="BN265" s="170"/>
      <c r="BO265" s="170"/>
      <c r="BP265" s="171"/>
    </row>
    <row r="266" spans="1:81" x14ac:dyDescent="0.3">
      <c r="A266" s="180"/>
      <c r="B266" s="180"/>
      <c r="C266" s="180"/>
      <c r="D266" s="181">
        <f t="shared" ref="D266:D268" si="223">AVERAGE(L266:R266)</f>
        <v>7.3451926606512258E-2</v>
      </c>
      <c r="E266" s="172"/>
      <c r="F266" s="174" t="s">
        <v>577</v>
      </c>
      <c r="G266" s="179">
        <v>0</v>
      </c>
      <c r="H266" s="179">
        <v>0</v>
      </c>
      <c r="I266" s="179">
        <v>0</v>
      </c>
      <c r="J266" s="179">
        <v>0</v>
      </c>
      <c r="K266" s="179">
        <v>0</v>
      </c>
      <c r="L266" s="182">
        <f t="shared" ref="L266:R268" si="224">L262/L$260</f>
        <v>5.3037076314010632E-2</v>
      </c>
      <c r="M266" s="182">
        <f t="shared" si="224"/>
        <v>7.0122115441766469E-2</v>
      </c>
      <c r="N266" s="182">
        <f t="shared" si="224"/>
        <v>6.7368192565890966E-2</v>
      </c>
      <c r="O266" s="182">
        <f t="shared" si="224"/>
        <v>6.7252413216410359E-2</v>
      </c>
      <c r="P266" s="182">
        <f t="shared" si="224"/>
        <v>7.7608370661614121E-2</v>
      </c>
      <c r="Q266" s="182">
        <f t="shared" si="224"/>
        <v>8.2727017145551945E-2</v>
      </c>
      <c r="R266" s="182">
        <f t="shared" si="224"/>
        <v>9.604830090034136E-2</v>
      </c>
      <c r="S266" s="183"/>
      <c r="T266" s="170"/>
      <c r="U266" s="170"/>
      <c r="V266" s="170"/>
      <c r="W266" s="170"/>
      <c r="X266" s="170"/>
      <c r="Y266" s="170"/>
      <c r="Z266" s="170"/>
      <c r="AA266" s="170"/>
      <c r="AB266" s="170"/>
      <c r="AC266" s="170"/>
      <c r="AD266" s="170"/>
      <c r="AE266" s="170"/>
      <c r="AF266" s="170"/>
      <c r="AG266" s="170"/>
      <c r="AH266" s="170"/>
      <c r="AI266" s="170"/>
      <c r="AJ266" s="170"/>
      <c r="AK266" s="170"/>
      <c r="AL266" s="170"/>
      <c r="AM266" s="170"/>
      <c r="AN266" s="170"/>
      <c r="AO266" s="170"/>
      <c r="AP266" s="170"/>
      <c r="AQ266" s="170"/>
      <c r="AR266" s="170"/>
      <c r="AS266" s="170"/>
      <c r="AT266" s="170"/>
      <c r="AU266" s="170"/>
      <c r="AV266" s="170"/>
      <c r="AW266" s="170"/>
      <c r="AX266" s="170"/>
      <c r="AY266" s="170"/>
      <c r="AZ266" s="170"/>
      <c r="BA266" s="170"/>
      <c r="BB266" s="170"/>
      <c r="BC266" s="170"/>
      <c r="BD266" s="170"/>
      <c r="BE266" s="170"/>
      <c r="BF266" s="170"/>
      <c r="BG266" s="170"/>
      <c r="BH266" s="170"/>
      <c r="BI266" s="170"/>
      <c r="BJ266" s="170"/>
      <c r="BK266" s="170"/>
      <c r="BL266" s="170"/>
      <c r="BM266" s="170"/>
      <c r="BN266" s="170"/>
      <c r="BO266" s="170"/>
      <c r="BP266" s="171"/>
    </row>
    <row r="267" spans="1:81" x14ac:dyDescent="0.3">
      <c r="A267" s="180"/>
      <c r="B267" s="180"/>
      <c r="C267" s="180"/>
      <c r="D267" s="181">
        <f t="shared" si="223"/>
        <v>0.30964336046428326</v>
      </c>
      <c r="E267" s="172"/>
      <c r="F267" s="174" t="s">
        <v>578</v>
      </c>
      <c r="G267" s="179">
        <v>0</v>
      </c>
      <c r="H267" s="179">
        <v>0</v>
      </c>
      <c r="I267" s="179">
        <v>0</v>
      </c>
      <c r="J267" s="179">
        <v>0</v>
      </c>
      <c r="K267" s="179">
        <v>0</v>
      </c>
      <c r="L267" s="182">
        <f t="shared" si="224"/>
        <v>0.31648554863298894</v>
      </c>
      <c r="M267" s="182">
        <f t="shared" si="224"/>
        <v>0.30919984620642516</v>
      </c>
      <c r="N267" s="182">
        <f t="shared" si="224"/>
        <v>0.30949968043590581</v>
      </c>
      <c r="O267" s="182">
        <f t="shared" si="224"/>
        <v>0.30959024328309515</v>
      </c>
      <c r="P267" s="182">
        <f t="shared" si="224"/>
        <v>0.3088479433851366</v>
      </c>
      <c r="Q267" s="182">
        <f t="shared" si="224"/>
        <v>0.28799784820701985</v>
      </c>
      <c r="R267" s="182">
        <f t="shared" si="224"/>
        <v>0.32588241309941168</v>
      </c>
      <c r="S267" s="183"/>
      <c r="T267" s="170"/>
      <c r="U267" s="170"/>
      <c r="V267" s="170"/>
      <c r="W267" s="170"/>
      <c r="X267" s="170"/>
      <c r="Y267" s="170"/>
      <c r="Z267" s="170"/>
      <c r="AA267" s="170"/>
      <c r="AB267" s="170"/>
      <c r="AC267" s="170"/>
      <c r="AD267" s="170"/>
      <c r="AE267" s="170"/>
      <c r="AF267" s="170"/>
      <c r="AG267" s="170"/>
      <c r="AH267" s="170"/>
      <c r="AI267" s="170"/>
      <c r="AJ267" s="170"/>
      <c r="AK267" s="170"/>
      <c r="AL267" s="170"/>
      <c r="AM267" s="170"/>
      <c r="AN267" s="170"/>
      <c r="AO267" s="170"/>
      <c r="AP267" s="170"/>
      <c r="AQ267" s="170"/>
      <c r="AR267" s="170"/>
      <c r="AS267" s="170"/>
      <c r="AT267" s="170"/>
      <c r="AU267" s="170"/>
      <c r="AV267" s="170"/>
      <c r="AW267" s="170"/>
      <c r="AX267" s="170"/>
      <c r="AY267" s="170"/>
      <c r="AZ267" s="170"/>
      <c r="BA267" s="170"/>
      <c r="BB267" s="170"/>
      <c r="BC267" s="170"/>
      <c r="BD267" s="170"/>
      <c r="BE267" s="170"/>
      <c r="BF267" s="170"/>
      <c r="BG267" s="170"/>
      <c r="BH267" s="170"/>
      <c r="BI267" s="170"/>
      <c r="BJ267" s="170"/>
      <c r="BK267" s="170"/>
      <c r="BL267" s="170"/>
      <c r="BM267" s="170"/>
      <c r="BN267" s="170"/>
      <c r="BO267" s="170"/>
      <c r="BP267" s="171"/>
    </row>
    <row r="268" spans="1:81" x14ac:dyDescent="0.3">
      <c r="A268" s="180"/>
      <c r="B268" s="180"/>
      <c r="C268" s="180"/>
      <c r="D268" s="181">
        <f t="shared" si="223"/>
        <v>0.46925360031883195</v>
      </c>
      <c r="E268" s="172"/>
      <c r="F268" s="174" t="s">
        <v>579</v>
      </c>
      <c r="G268" s="179">
        <v>0</v>
      </c>
      <c r="H268" s="179">
        <v>0</v>
      </c>
      <c r="I268" s="179">
        <v>0</v>
      </c>
      <c r="J268" s="179">
        <v>0</v>
      </c>
      <c r="K268" s="179">
        <v>0</v>
      </c>
      <c r="L268" s="182">
        <f t="shared" si="224"/>
        <v>0.49282437896680459</v>
      </c>
      <c r="M268" s="182">
        <f t="shared" si="224"/>
        <v>0.48220113339177983</v>
      </c>
      <c r="N268" s="182">
        <f t="shared" si="224"/>
        <v>0.47565144230546247</v>
      </c>
      <c r="O268" s="182">
        <f t="shared" si="224"/>
        <v>0.48474844438202103</v>
      </c>
      <c r="P268" s="182">
        <f t="shared" si="224"/>
        <v>0.48942030731488279</v>
      </c>
      <c r="Q268" s="182">
        <f t="shared" si="224"/>
        <v>0.47387798971041262</v>
      </c>
      <c r="R268" s="182">
        <f t="shared" si="224"/>
        <v>0.38605150616046008</v>
      </c>
      <c r="S268" s="183"/>
      <c r="T268" s="170"/>
      <c r="U268" s="170"/>
      <c r="V268" s="170"/>
      <c r="W268" s="170"/>
      <c r="X268" s="170"/>
      <c r="Y268" s="170"/>
      <c r="Z268" s="170"/>
      <c r="AA268" s="170"/>
      <c r="AB268" s="170"/>
      <c r="AC268" s="170"/>
      <c r="AD268" s="170"/>
      <c r="AE268" s="170"/>
      <c r="AF268" s="170"/>
      <c r="AG268" s="170"/>
      <c r="AH268" s="170"/>
      <c r="AI268" s="170"/>
      <c r="AJ268" s="170"/>
      <c r="AK268" s="170"/>
      <c r="AL268" s="170"/>
      <c r="AM268" s="170"/>
      <c r="AN268" s="170"/>
      <c r="AO268" s="170"/>
      <c r="AP268" s="170"/>
      <c r="AQ268" s="170"/>
      <c r="AR268" s="170"/>
      <c r="AS268" s="170"/>
      <c r="AT268" s="170"/>
      <c r="AU268" s="170"/>
      <c r="AV268" s="170"/>
      <c r="AW268" s="170"/>
      <c r="AX268" s="170"/>
      <c r="AY268" s="170"/>
      <c r="AZ268" s="170"/>
      <c r="BA268" s="170"/>
      <c r="BB268" s="170"/>
      <c r="BC268" s="170"/>
      <c r="BD268" s="170"/>
      <c r="BE268" s="170"/>
      <c r="BF268" s="170"/>
      <c r="BG268" s="170"/>
      <c r="BH268" s="170"/>
      <c r="BI268" s="170"/>
      <c r="BJ268" s="170"/>
      <c r="BK268" s="170"/>
      <c r="BL268" s="170"/>
      <c r="BM268" s="170"/>
      <c r="BN268" s="170"/>
      <c r="BO268" s="170"/>
      <c r="BP268" s="171"/>
    </row>
    <row r="269" spans="1:81" ht="15.6" x14ac:dyDescent="0.3">
      <c r="A269" s="354"/>
      <c r="B269" s="354"/>
      <c r="C269" s="354"/>
      <c r="D269" s="359"/>
      <c r="E269" s="166"/>
      <c r="F269" s="167" t="s">
        <v>583</v>
      </c>
      <c r="G269" s="170"/>
      <c r="H269" s="170"/>
      <c r="I269" s="170"/>
      <c r="J269" s="170"/>
      <c r="K269" s="170"/>
      <c r="L269" s="170"/>
      <c r="M269" s="170"/>
      <c r="N269" s="170"/>
      <c r="O269" s="170"/>
      <c r="P269" s="170"/>
      <c r="Q269" s="170"/>
      <c r="R269" s="170"/>
      <c r="S269" s="170"/>
      <c r="T269" s="170"/>
      <c r="U269" s="170"/>
      <c r="V269" s="170"/>
      <c r="W269" s="170"/>
      <c r="X269" s="170"/>
      <c r="Y269" s="170"/>
      <c r="Z269" s="170"/>
      <c r="AA269" s="170"/>
      <c r="AB269" s="170"/>
      <c r="AC269" s="170"/>
      <c r="AD269" s="170"/>
      <c r="AE269" s="170"/>
      <c r="AF269" s="170"/>
      <c r="AG269" s="170"/>
      <c r="AH269" s="170"/>
      <c r="AI269" s="170"/>
      <c r="AJ269" s="170"/>
      <c r="AK269" s="170"/>
      <c r="AL269" s="170"/>
      <c r="AM269" s="170"/>
      <c r="AN269" s="170"/>
      <c r="AO269" s="170"/>
      <c r="AP269" s="170"/>
      <c r="AQ269" s="170"/>
      <c r="AR269" s="170"/>
      <c r="AS269" s="170"/>
      <c r="AT269" s="170"/>
      <c r="AU269" s="170"/>
      <c r="AV269" s="170"/>
      <c r="AW269" s="170"/>
      <c r="AX269" s="170"/>
      <c r="AY269" s="170"/>
      <c r="AZ269" s="170"/>
      <c r="BA269" s="170"/>
      <c r="BB269" s="170"/>
      <c r="BC269" s="170"/>
      <c r="BD269" s="170"/>
      <c r="BE269" s="170"/>
      <c r="BF269" s="170"/>
      <c r="BG269" s="170"/>
      <c r="BH269" s="170"/>
      <c r="BI269" s="170"/>
      <c r="BJ269" s="170"/>
      <c r="BK269" s="170"/>
      <c r="BL269" s="170"/>
      <c r="BM269" s="170"/>
      <c r="BN269" s="170"/>
      <c r="BO269" s="170"/>
      <c r="BP269" s="171"/>
    </row>
    <row r="270" spans="1:81" ht="15.6" x14ac:dyDescent="0.3">
      <c r="A270" s="354"/>
      <c r="B270" s="354"/>
      <c r="C270" s="354"/>
      <c r="D270" s="359"/>
      <c r="E270" s="172"/>
      <c r="F270" s="173" t="s">
        <v>573</v>
      </c>
      <c r="G270" s="168"/>
      <c r="H270" s="168"/>
      <c r="I270" s="168"/>
      <c r="J270" s="168"/>
      <c r="K270" s="168"/>
      <c r="L270" s="169"/>
      <c r="M270" s="170"/>
      <c r="N270" s="170"/>
      <c r="O270" s="170"/>
      <c r="P270" s="170"/>
      <c r="Q270" s="170"/>
      <c r="R270" s="170"/>
      <c r="S270" s="170"/>
      <c r="T270" s="170"/>
      <c r="U270" s="170"/>
      <c r="V270" s="170"/>
      <c r="W270" s="170"/>
      <c r="X270" s="170"/>
      <c r="Y270" s="170"/>
      <c r="Z270" s="170"/>
      <c r="AA270" s="170"/>
      <c r="AB270" s="170"/>
      <c r="AC270" s="170"/>
      <c r="AD270" s="170"/>
      <c r="AE270" s="170"/>
      <c r="AF270" s="170"/>
      <c r="AG270" s="170"/>
      <c r="AH270" s="170"/>
      <c r="AI270" s="170"/>
      <c r="AJ270" s="170"/>
      <c r="AK270" s="170"/>
      <c r="AL270" s="170"/>
      <c r="AM270" s="170"/>
      <c r="AN270" s="170"/>
      <c r="AO270" s="170"/>
      <c r="AP270" s="170"/>
      <c r="AQ270" s="170"/>
      <c r="AR270" s="170"/>
      <c r="AS270" s="170"/>
      <c r="AT270" s="170"/>
      <c r="AU270" s="170"/>
      <c r="AV270" s="170"/>
      <c r="AW270" s="170"/>
      <c r="AX270" s="170"/>
      <c r="AY270" s="170"/>
      <c r="AZ270" s="170"/>
      <c r="BA270" s="170"/>
      <c r="BB270" s="170"/>
      <c r="BC270" s="170"/>
      <c r="BD270" s="170"/>
      <c r="BE270" s="170"/>
      <c r="BF270" s="170"/>
      <c r="BG270" s="170"/>
      <c r="BH270" s="170"/>
      <c r="BI270" s="170"/>
      <c r="BJ270" s="170"/>
      <c r="BK270" s="170"/>
      <c r="BL270" s="170"/>
      <c r="BM270" s="170"/>
      <c r="BN270" s="170"/>
      <c r="BO270" s="170"/>
      <c r="BP270" s="171"/>
    </row>
    <row r="271" spans="1:81" x14ac:dyDescent="0.3">
      <c r="A271" s="393" t="s">
        <v>487</v>
      </c>
      <c r="B271" s="359"/>
      <c r="C271" s="359"/>
      <c r="D271" s="359"/>
      <c r="E271" s="172"/>
      <c r="F271" s="174" t="s">
        <v>584</v>
      </c>
      <c r="G271" s="177">
        <v>1489761</v>
      </c>
      <c r="H271" s="177">
        <v>1831066</v>
      </c>
      <c r="I271" s="177">
        <v>1161932.1340866045</v>
      </c>
      <c r="J271" s="177">
        <v>1218537.5906119025</v>
      </c>
      <c r="K271" s="177">
        <v>1934161.9360749994</v>
      </c>
      <c r="L271" s="178">
        <v>1637661.6133549255</v>
      </c>
      <c r="M271" s="178">
        <v>1141243.8146573999</v>
      </c>
      <c r="N271" s="178">
        <v>1115472.7973779477</v>
      </c>
      <c r="O271" s="178">
        <v>1283337.7520061445</v>
      </c>
      <c r="P271" s="178">
        <v>1162685.2354139835</v>
      </c>
      <c r="Q271" s="178">
        <v>2495825.7799999914</v>
      </c>
      <c r="R271" s="178">
        <v>2485226.4569992716</v>
      </c>
      <c r="S271" s="175">
        <v>2518635.9979334828</v>
      </c>
      <c r="T271" s="175">
        <v>2551760.6334020202</v>
      </c>
      <c r="U271" s="175">
        <v>2584580.6230261805</v>
      </c>
      <c r="V271" s="175">
        <v>2617089.8066877876</v>
      </c>
      <c r="W271" s="175">
        <v>2649251.7836885238</v>
      </c>
      <c r="X271" s="175">
        <v>2681054.3737947219</v>
      </c>
      <c r="Y271" s="175">
        <v>2712474.7565685906</v>
      </c>
      <c r="Z271" s="175">
        <v>2743508.4519241839</v>
      </c>
      <c r="AA271" s="175">
        <v>2774120.5991927278</v>
      </c>
      <c r="AB271" s="175">
        <v>2804294.8180599799</v>
      </c>
      <c r="AC271" s="175">
        <v>2834009.9681203794</v>
      </c>
      <c r="AD271" s="175">
        <v>2863241.5489039053</v>
      </c>
      <c r="AE271" s="175">
        <v>2891977.5201795762</v>
      </c>
      <c r="AF271" s="175">
        <v>2920196.8815445164</v>
      </c>
      <c r="AG271" s="175">
        <v>2947887.3127623722</v>
      </c>
      <c r="AH271" s="175">
        <v>2975025.1533792377</v>
      </c>
      <c r="AI271" s="175">
        <v>3001601.0232151621</v>
      </c>
      <c r="AJ271" s="175">
        <v>3027597.4219344156</v>
      </c>
      <c r="AK271" s="175">
        <v>3053002.1693033306</v>
      </c>
      <c r="AL271" s="175">
        <v>3077812.0452601328</v>
      </c>
      <c r="AM271" s="175">
        <v>3102018.5096409866</v>
      </c>
      <c r="AN271" s="175">
        <v>3125606.5821585078</v>
      </c>
      <c r="AO271" s="175">
        <v>3148573.1827536076</v>
      </c>
      <c r="AP271" s="175">
        <v>3170903.3311389023</v>
      </c>
      <c r="AQ271" s="175">
        <v>3192593.2472418742</v>
      </c>
      <c r="AR271" s="175">
        <v>3213646.4311296693</v>
      </c>
      <c r="AS271" s="175">
        <v>3234044.8224558136</v>
      </c>
      <c r="AT271" s="175">
        <v>3253793.8813250558</v>
      </c>
      <c r="AU271" s="175">
        <v>3272900.4678690019</v>
      </c>
      <c r="AV271" s="175">
        <v>3291351.6970935338</v>
      </c>
      <c r="AW271" s="175">
        <v>3309135.0663994905</v>
      </c>
      <c r="AX271" s="175">
        <v>3326238.4696461298</v>
      </c>
      <c r="AY271" s="175">
        <v>3342650.210835584</v>
      </c>
      <c r="AZ271" s="175">
        <v>3358359.0173967448</v>
      </c>
      <c r="BA271" s="175">
        <v>3373354.0530475331</v>
      </c>
      <c r="BB271" s="175">
        <v>3387624.9302150756</v>
      </c>
      <c r="BC271" s="175">
        <v>3401161.7219939246</v>
      </c>
      <c r="BD271" s="175">
        <v>3413954.9736231058</v>
      </c>
      <c r="BE271" s="175">
        <v>3425995.7134634736</v>
      </c>
      <c r="BF271" s="175">
        <v>3437275.4634575751</v>
      </c>
      <c r="BG271" s="175">
        <v>3447786.2490549982</v>
      </c>
      <c r="BH271" s="175">
        <v>3457520.6085869712</v>
      </c>
      <c r="BI271" s="175">
        <v>3466471.6020748289</v>
      </c>
      <c r="BJ271" s="175">
        <v>3474632.8194578146</v>
      </c>
      <c r="BK271" s="175">
        <v>3481998.3882265985</v>
      </c>
      <c r="BL271" s="175">
        <v>3488562.9804498106</v>
      </c>
      <c r="BM271" s="175">
        <v>3494321.8191818446</v>
      </c>
      <c r="BN271" s="175">
        <v>3499270.6842411738</v>
      </c>
      <c r="BO271" s="175">
        <v>3503405.9173494168</v>
      </c>
      <c r="BP271" s="171"/>
      <c r="BQ271" s="176"/>
      <c r="BR271" s="176"/>
      <c r="BS271" s="176"/>
      <c r="BT271" s="176"/>
      <c r="BU271" s="176"/>
      <c r="BV271" s="176"/>
      <c r="BW271" s="176"/>
      <c r="BX271" s="176"/>
      <c r="BY271" s="176"/>
      <c r="BZ271" s="176"/>
      <c r="CA271" s="176"/>
      <c r="CB271" s="176"/>
      <c r="CC271" s="176"/>
    </row>
    <row r="272" spans="1:81" x14ac:dyDescent="0.3">
      <c r="A272" s="388"/>
      <c r="D272" s="359"/>
      <c r="E272" s="172"/>
      <c r="F272" s="174" t="s">
        <v>585</v>
      </c>
      <c r="G272" s="177">
        <v>792498</v>
      </c>
      <c r="H272" s="177">
        <v>742963</v>
      </c>
      <c r="I272" s="177">
        <v>711696.56862134859</v>
      </c>
      <c r="J272" s="177">
        <v>739475.42172958155</v>
      </c>
      <c r="K272" s="177">
        <v>674394.97396300174</v>
      </c>
      <c r="L272" s="178">
        <v>506696.26119205443</v>
      </c>
      <c r="M272" s="178">
        <v>478485.64683701348</v>
      </c>
      <c r="N272" s="178">
        <v>390119.66704434477</v>
      </c>
      <c r="O272" s="178">
        <v>355896.59829091246</v>
      </c>
      <c r="P272" s="178">
        <v>464644.16994897404</v>
      </c>
      <c r="Q272" s="178">
        <v>496535.03513383406</v>
      </c>
      <c r="R272" s="178">
        <v>528827.55917191226</v>
      </c>
      <c r="S272" s="175">
        <v>535936.72459043341</v>
      </c>
      <c r="T272" s="175">
        <v>542985.26540809264</v>
      </c>
      <c r="U272" s="175">
        <v>549968.98109971965</v>
      </c>
      <c r="V272" s="175">
        <v>556886.56086313364</v>
      </c>
      <c r="W272" s="175">
        <v>563730.25904908439</v>
      </c>
      <c r="X272" s="175">
        <v>570497.48384416895</v>
      </c>
      <c r="Y272" s="175">
        <v>577183.37932212662</v>
      </c>
      <c r="Z272" s="175">
        <v>583786.99217228056</v>
      </c>
      <c r="AA272" s="175">
        <v>590300.90444592573</v>
      </c>
      <c r="AB272" s="175">
        <v>596721.63060089957</v>
      </c>
      <c r="AC272" s="175">
        <v>603044.67220244522</v>
      </c>
      <c r="AD272" s="175">
        <v>609264.81583279814</v>
      </c>
      <c r="AE272" s="175">
        <v>615379.49946951412</v>
      </c>
      <c r="AF272" s="175">
        <v>621384.25446879491</v>
      </c>
      <c r="AG272" s="175">
        <v>627276.45922627894</v>
      </c>
      <c r="AH272" s="175">
        <v>633051.07906995364</v>
      </c>
      <c r="AI272" s="175">
        <v>638706.11800558912</v>
      </c>
      <c r="AJ272" s="175">
        <v>644237.85216335347</v>
      </c>
      <c r="AK272" s="175">
        <v>649643.68972984375</v>
      </c>
      <c r="AL272" s="175">
        <v>654922.94551301107</v>
      </c>
      <c r="AM272" s="175">
        <v>660073.80226437736</v>
      </c>
      <c r="AN272" s="175">
        <v>665093.07235136663</v>
      </c>
      <c r="AO272" s="175">
        <v>669980.1003728885</v>
      </c>
      <c r="AP272" s="175">
        <v>674731.69869636698</v>
      </c>
      <c r="AQ272" s="175">
        <v>679347.06296591833</v>
      </c>
      <c r="AR272" s="175">
        <v>683826.93795550894</v>
      </c>
      <c r="AS272" s="175">
        <v>688167.48063147231</v>
      </c>
      <c r="AT272" s="175">
        <v>692369.852841196</v>
      </c>
      <c r="AU272" s="175">
        <v>696435.51434165414</v>
      </c>
      <c r="AV272" s="175">
        <v>700361.72335453914</v>
      </c>
      <c r="AW272" s="175">
        <v>704145.81947078474</v>
      </c>
      <c r="AX272" s="175">
        <v>707785.226643109</v>
      </c>
      <c r="AY272" s="175">
        <v>711277.45609790855</v>
      </c>
      <c r="AZ272" s="175">
        <v>714620.10916191665</v>
      </c>
      <c r="BA272" s="175">
        <v>717810.87999914517</v>
      </c>
      <c r="BB272" s="175">
        <v>720847.55825375614</v>
      </c>
      <c r="BC272" s="175">
        <v>723728.03159463254</v>
      </c>
      <c r="BD272" s="175">
        <v>726450.28815756191</v>
      </c>
      <c r="BE272" s="175">
        <v>729012.41888109129</v>
      </c>
      <c r="BF272" s="175">
        <v>731412.61973226536</v>
      </c>
      <c r="BG272" s="175">
        <v>733649.19381862681</v>
      </c>
      <c r="BH272" s="175">
        <v>735720.55338302266</v>
      </c>
      <c r="BI272" s="175">
        <v>737625.22167794453</v>
      </c>
      <c r="BJ272" s="175">
        <v>739361.83471630991</v>
      </c>
      <c r="BK272" s="175">
        <v>740929.14289578749</v>
      </c>
      <c r="BL272" s="175">
        <v>742326.01249396161</v>
      </c>
      <c r="BM272" s="175">
        <v>743551.42703183973</v>
      </c>
      <c r="BN272" s="175">
        <v>744604.4885034113</v>
      </c>
      <c r="BO272" s="175">
        <v>745484.41846918163</v>
      </c>
      <c r="BP272" s="171"/>
    </row>
    <row r="273" spans="1:81" x14ac:dyDescent="0.3">
      <c r="A273" s="180"/>
      <c r="B273" s="180"/>
      <c r="C273" s="180"/>
      <c r="D273" s="359"/>
      <c r="E273" s="172"/>
      <c r="F273" s="174" t="s">
        <v>586</v>
      </c>
      <c r="G273" s="177">
        <v>766479</v>
      </c>
      <c r="H273" s="177">
        <v>176427</v>
      </c>
      <c r="I273" s="177">
        <v>686378</v>
      </c>
      <c r="J273" s="177">
        <v>638073</v>
      </c>
      <c r="K273" s="177">
        <v>491780</v>
      </c>
      <c r="L273" s="178">
        <v>397646</v>
      </c>
      <c r="M273" s="178">
        <v>384761</v>
      </c>
      <c r="N273" s="178">
        <v>379412</v>
      </c>
      <c r="O273" s="178">
        <v>335294</v>
      </c>
      <c r="P273" s="178">
        <v>369439</v>
      </c>
      <c r="Q273" s="178">
        <v>285605</v>
      </c>
      <c r="R273" s="178">
        <v>366119</v>
      </c>
      <c r="S273" s="175">
        <v>371040.83224705467</v>
      </c>
      <c r="T273" s="175">
        <v>375920.69274385163</v>
      </c>
      <c r="U273" s="175">
        <v>380755.67337403388</v>
      </c>
      <c r="V273" s="175">
        <v>385544.86664029863</v>
      </c>
      <c r="W273" s="175">
        <v>390282.91005858342</v>
      </c>
      <c r="X273" s="175">
        <v>394968.0092592212</v>
      </c>
      <c r="Y273" s="175">
        <v>399596.8023772036</v>
      </c>
      <c r="Z273" s="175">
        <v>404168.62941449229</v>
      </c>
      <c r="AA273" s="175">
        <v>408678.35476135043</v>
      </c>
      <c r="AB273" s="175">
        <v>413123.56529994996</v>
      </c>
      <c r="AC273" s="175">
        <v>417501.14666454698</v>
      </c>
      <c r="AD273" s="175">
        <v>421807.4894908687</v>
      </c>
      <c r="AE273" s="175">
        <v>426040.82003418682</v>
      </c>
      <c r="AF273" s="175">
        <v>430198.04455369606</v>
      </c>
      <c r="AG273" s="175">
        <v>434277.34805479069</v>
      </c>
      <c r="AH273" s="175">
        <v>438275.24492283014</v>
      </c>
      <c r="AI273" s="175">
        <v>442190.3532869214</v>
      </c>
      <c r="AJ273" s="175">
        <v>446020.09502972674</v>
      </c>
      <c r="AK273" s="175">
        <v>449762.67578157911</v>
      </c>
      <c r="AL273" s="175">
        <v>453417.62116888841</v>
      </c>
      <c r="AM273" s="175">
        <v>456983.67307039385</v>
      </c>
      <c r="AN273" s="175">
        <v>460458.62461765431</v>
      </c>
      <c r="AO273" s="175">
        <v>463842.0220620184</v>
      </c>
      <c r="AP273" s="175">
        <v>467131.65853504511</v>
      </c>
      <c r="AQ273" s="175">
        <v>470326.97716338944</v>
      </c>
      <c r="AR273" s="175">
        <v>473428.49357051897</v>
      </c>
      <c r="AS273" s="175">
        <v>476433.54713934107</v>
      </c>
      <c r="AT273" s="175">
        <v>479342.94224246516</v>
      </c>
      <c r="AU273" s="175">
        <v>482157.68950188771</v>
      </c>
      <c r="AV273" s="175">
        <v>484875.89072392567</v>
      </c>
      <c r="AW273" s="175">
        <v>487495.7040486192</v>
      </c>
      <c r="AX273" s="175">
        <v>490015.34602153505</v>
      </c>
      <c r="AY273" s="175">
        <v>492433.09360973543</v>
      </c>
      <c r="AZ273" s="175">
        <v>494747.28615873557</v>
      </c>
      <c r="BA273" s="175">
        <v>496956.3272873495</v>
      </c>
      <c r="BB273" s="175">
        <v>499058.68671740807</v>
      </c>
      <c r="BC273" s="175">
        <v>501052.90203542158</v>
      </c>
      <c r="BD273" s="175">
        <v>502937.58038335759</v>
      </c>
      <c r="BE273" s="175">
        <v>504711.40007580462</v>
      </c>
      <c r="BF273" s="175">
        <v>506373.11214090022</v>
      </c>
      <c r="BG273" s="175">
        <v>507921.54178251495</v>
      </c>
      <c r="BH273" s="175">
        <v>509355.58976130141</v>
      </c>
      <c r="BI273" s="175">
        <v>510674.23369234096</v>
      </c>
      <c r="BJ273" s="175">
        <v>511876.52925724856</v>
      </c>
      <c r="BK273" s="175">
        <v>512961.6113287289</v>
      </c>
      <c r="BL273" s="175">
        <v>513928.69500571187</v>
      </c>
      <c r="BM273" s="175">
        <v>514777.07655733888</v>
      </c>
      <c r="BN273" s="175">
        <v>515506.13427421363</v>
      </c>
      <c r="BO273" s="175">
        <v>516115.32922547968</v>
      </c>
      <c r="BP273" s="171"/>
    </row>
    <row r="274" spans="1:81" ht="15.6" x14ac:dyDescent="0.3">
      <c r="A274" s="354"/>
      <c r="B274" s="354"/>
      <c r="C274" s="354"/>
      <c r="D274" s="359"/>
      <c r="E274" s="166"/>
      <c r="F274" s="167" t="s">
        <v>587</v>
      </c>
      <c r="G274" s="168"/>
      <c r="H274" s="168"/>
      <c r="I274" s="168"/>
      <c r="J274" s="168"/>
      <c r="K274" s="168"/>
      <c r="L274" s="169"/>
      <c r="M274" s="170"/>
      <c r="N274" s="170"/>
      <c r="O274" s="170"/>
      <c r="P274" s="170"/>
      <c r="Q274" s="170"/>
      <c r="R274" s="170"/>
      <c r="S274" s="170"/>
      <c r="T274" s="170"/>
      <c r="U274" s="170"/>
      <c r="V274" s="170"/>
      <c r="W274" s="170"/>
      <c r="X274" s="170"/>
      <c r="Y274" s="170"/>
      <c r="Z274" s="170"/>
      <c r="AA274" s="170"/>
      <c r="AB274" s="170"/>
      <c r="AC274" s="170"/>
      <c r="AD274" s="170"/>
      <c r="AE274" s="170"/>
      <c r="AF274" s="170"/>
      <c r="AG274" s="170"/>
      <c r="AH274" s="170"/>
      <c r="AI274" s="170"/>
      <c r="AJ274" s="170"/>
      <c r="AK274" s="170"/>
      <c r="AL274" s="170"/>
      <c r="AM274" s="170"/>
      <c r="AN274" s="170"/>
      <c r="AO274" s="170"/>
      <c r="AP274" s="170"/>
      <c r="AQ274" s="170"/>
      <c r="AR274" s="170"/>
      <c r="AS274" s="170"/>
      <c r="AT274" s="170"/>
      <c r="AU274" s="170"/>
      <c r="AV274" s="170"/>
      <c r="AW274" s="170"/>
      <c r="AX274" s="170"/>
      <c r="AY274" s="170"/>
      <c r="AZ274" s="170"/>
      <c r="BA274" s="170"/>
      <c r="BB274" s="170"/>
      <c r="BC274" s="170"/>
      <c r="BD274" s="170"/>
      <c r="BE274" s="170"/>
      <c r="BF274" s="170"/>
      <c r="BG274" s="170"/>
      <c r="BH274" s="170"/>
      <c r="BI274" s="170"/>
      <c r="BJ274" s="170"/>
      <c r="BK274" s="170"/>
      <c r="BL274" s="170"/>
      <c r="BM274" s="170"/>
      <c r="BN274" s="170"/>
      <c r="BO274" s="170"/>
      <c r="BP274" s="171"/>
    </row>
    <row r="275" spans="1:81" ht="15.6" x14ac:dyDescent="0.3">
      <c r="A275" s="354"/>
      <c r="B275" s="354"/>
      <c r="C275" s="354"/>
      <c r="D275" s="359"/>
      <c r="E275" s="172"/>
      <c r="F275" s="173" t="s">
        <v>573</v>
      </c>
      <c r="G275" s="168"/>
      <c r="H275" s="168"/>
      <c r="I275" s="168"/>
      <c r="J275" s="168"/>
      <c r="K275" s="168"/>
      <c r="L275" s="169"/>
      <c r="M275" s="170"/>
      <c r="N275" s="170"/>
      <c r="O275" s="170"/>
      <c r="P275" s="170"/>
      <c r="Q275" s="170"/>
      <c r="R275" s="170"/>
      <c r="S275" s="170"/>
      <c r="T275" s="170"/>
      <c r="U275" s="170"/>
      <c r="V275" s="170"/>
      <c r="W275" s="170"/>
      <c r="X275" s="170"/>
      <c r="Y275" s="170"/>
      <c r="Z275" s="170"/>
      <c r="AA275" s="170"/>
      <c r="AB275" s="170"/>
      <c r="AC275" s="170"/>
      <c r="AD275" s="170"/>
      <c r="AE275" s="170"/>
      <c r="AF275" s="170"/>
      <c r="AG275" s="170"/>
      <c r="AH275" s="170"/>
      <c r="AI275" s="170"/>
      <c r="AJ275" s="170"/>
      <c r="AK275" s="170"/>
      <c r="AL275" s="170"/>
      <c r="AM275" s="170"/>
      <c r="AN275" s="170"/>
      <c r="AO275" s="170"/>
      <c r="AP275" s="170"/>
      <c r="AQ275" s="170"/>
      <c r="AR275" s="170"/>
      <c r="AS275" s="170"/>
      <c r="AT275" s="170"/>
      <c r="AU275" s="170"/>
      <c r="AV275" s="170"/>
      <c r="AW275" s="170"/>
      <c r="AX275" s="170"/>
      <c r="AY275" s="170"/>
      <c r="AZ275" s="170"/>
      <c r="BA275" s="170"/>
      <c r="BB275" s="170"/>
      <c r="BC275" s="170"/>
      <c r="BD275" s="170"/>
      <c r="BE275" s="170"/>
      <c r="BF275" s="170"/>
      <c r="BG275" s="170"/>
      <c r="BH275" s="170"/>
      <c r="BI275" s="170"/>
      <c r="BJ275" s="170"/>
      <c r="BK275" s="170"/>
      <c r="BL275" s="170"/>
      <c r="BM275" s="170"/>
      <c r="BN275" s="170"/>
      <c r="BO275" s="170"/>
      <c r="BP275" s="171"/>
    </row>
    <row r="276" spans="1:81" x14ac:dyDescent="0.3">
      <c r="A276" s="393" t="s">
        <v>487</v>
      </c>
      <c r="B276" s="359"/>
      <c r="C276" s="359"/>
      <c r="D276" s="359"/>
      <c r="E276" s="172"/>
      <c r="F276" s="174" t="s">
        <v>588</v>
      </c>
      <c r="G276" s="178">
        <f t="shared" ref="G276:M276" si="225">0.393*G254</f>
        <v>2064639.648</v>
      </c>
      <c r="H276" s="178">
        <f t="shared" si="225"/>
        <v>2106049.2719999999</v>
      </c>
      <c r="I276" s="178">
        <f t="shared" si="225"/>
        <v>2057571.1500000001</v>
      </c>
      <c r="J276" s="178">
        <f t="shared" si="225"/>
        <v>2017709.946</v>
      </c>
      <c r="K276" s="178">
        <f t="shared" si="225"/>
        <v>1809617.2320000001</v>
      </c>
      <c r="L276" s="178">
        <f t="shared" si="225"/>
        <v>1617278.709</v>
      </c>
      <c r="M276" s="178">
        <f t="shared" si="225"/>
        <v>1622033.223</v>
      </c>
      <c r="N276" s="178">
        <f>0.393*N254</f>
        <v>1646910.1230000001</v>
      </c>
      <c r="O276" s="178">
        <f>0.393*O254</f>
        <v>1594320.828</v>
      </c>
      <c r="P276" s="178">
        <f t="shared" ref="P276:BO276" si="226">0.393*P254</f>
        <v>1692353.892</v>
      </c>
      <c r="Q276" s="178">
        <f t="shared" si="226"/>
        <v>1704018.132</v>
      </c>
      <c r="R276" s="178">
        <f t="shared" si="226"/>
        <v>1598303.49</v>
      </c>
      <c r="S276" s="178">
        <f>0.393*S254</f>
        <v>1619789.8964898628</v>
      </c>
      <c r="T276" s="178">
        <f t="shared" si="226"/>
        <v>1641093.0740434553</v>
      </c>
      <c r="U276" s="178">
        <f t="shared" si="226"/>
        <v>1662200.327191483</v>
      </c>
      <c r="V276" s="178">
        <f t="shared" si="226"/>
        <v>1683107.6942272158</v>
      </c>
      <c r="W276" s="178">
        <f t="shared" si="226"/>
        <v>1703791.76506543</v>
      </c>
      <c r="X276" s="178">
        <f t="shared" si="226"/>
        <v>1724244.7063314545</v>
      </c>
      <c r="Y276" s="178">
        <f t="shared" si="226"/>
        <v>1744451.8417026293</v>
      </c>
      <c r="Z276" s="178">
        <f t="shared" si="226"/>
        <v>1764410.2899376974</v>
      </c>
      <c r="AA276" s="178">
        <f t="shared" si="226"/>
        <v>1784097.6313781166</v>
      </c>
      <c r="AB276" s="178">
        <f t="shared" si="226"/>
        <v>1803503.3314855366</v>
      </c>
      <c r="AC276" s="178">
        <f t="shared" si="226"/>
        <v>1822613.7944027695</v>
      </c>
      <c r="AD276" s="178">
        <f t="shared" si="226"/>
        <v>1841413.2633416839</v>
      </c>
      <c r="AE276" s="178">
        <f t="shared" si="226"/>
        <v>1859893.9949663985</v>
      </c>
      <c r="AF276" s="178">
        <f t="shared" si="226"/>
        <v>1878042.483458515</v>
      </c>
      <c r="AG276" s="178">
        <f t="shared" si="226"/>
        <v>1895850.805404573</v>
      </c>
      <c r="AH276" s="178">
        <f t="shared" si="226"/>
        <v>1913303.7442491769</v>
      </c>
      <c r="AI276" s="178">
        <f t="shared" si="226"/>
        <v>1930395.2673934423</v>
      </c>
      <c r="AJ276" s="178">
        <f t="shared" si="226"/>
        <v>1947114.1199887036</v>
      </c>
      <c r="AK276" s="178">
        <f t="shared" si="226"/>
        <v>1963452.4686602897</v>
      </c>
      <c r="AL276" s="178">
        <f t="shared" si="226"/>
        <v>1979408.2425160466</v>
      </c>
      <c r="AM276" s="178">
        <f t="shared" si="226"/>
        <v>1994975.9491898254</v>
      </c>
      <c r="AN276" s="178">
        <f t="shared" si="226"/>
        <v>2010145.9545311688</v>
      </c>
      <c r="AO276" s="178">
        <f t="shared" si="226"/>
        <v>2024916.2776867121</v>
      </c>
      <c r="AP276" s="178">
        <f t="shared" si="226"/>
        <v>2039277.2845059971</v>
      </c>
      <c r="AQ276" s="178">
        <f t="shared" si="226"/>
        <v>2053226.5439417129</v>
      </c>
      <c r="AR276" s="178">
        <f t="shared" si="226"/>
        <v>2066766.3069635921</v>
      </c>
      <c r="AS276" s="178">
        <f t="shared" si="226"/>
        <v>2079884.9585678116</v>
      </c>
      <c r="AT276" s="178">
        <f t="shared" si="226"/>
        <v>2092586.0102671557</v>
      </c>
      <c r="AU276" s="178">
        <f t="shared" si="226"/>
        <v>2104873.8739623013</v>
      </c>
      <c r="AV276" s="178">
        <f t="shared" si="226"/>
        <v>2116740.2630317169</v>
      </c>
      <c r="AW276" s="178">
        <f t="shared" si="226"/>
        <v>2128177.1367804329</v>
      </c>
      <c r="AX276" s="178">
        <f t="shared" si="226"/>
        <v>2139176.709484559</v>
      </c>
      <c r="AY276" s="178">
        <f t="shared" si="226"/>
        <v>2149731.4591920576</v>
      </c>
      <c r="AZ276" s="178">
        <f t="shared" si="226"/>
        <v>2159834.1362659023</v>
      </c>
      <c r="BA276" s="178">
        <f t="shared" si="226"/>
        <v>2169477.771656082</v>
      </c>
      <c r="BB276" s="178">
        <f t="shared" si="226"/>
        <v>2178655.6848872909</v>
      </c>
      <c r="BC276" s="178">
        <f t="shared" si="226"/>
        <v>2187361.4917495199</v>
      </c>
      <c r="BD276" s="178">
        <f t="shared" si="226"/>
        <v>2195589.1116791973</v>
      </c>
      <c r="BE276" s="178">
        <f t="shared" si="226"/>
        <v>2203332.7748189657</v>
      </c>
      <c r="BF276" s="178">
        <f t="shared" si="226"/>
        <v>2210587.0287446496</v>
      </c>
      <c r="BG276" s="178">
        <f t="shared" si="226"/>
        <v>2217346.7448484632</v>
      </c>
      <c r="BH276" s="178">
        <f t="shared" si="226"/>
        <v>2223607.1243680236</v>
      </c>
      <c r="BI276" s="178">
        <f t="shared" si="226"/>
        <v>2229363.7040512627</v>
      </c>
      <c r="BJ276" s="178">
        <f t="shared" si="226"/>
        <v>2234612.3614479108</v>
      </c>
      <c r="BK276" s="178">
        <f t="shared" si="226"/>
        <v>2239349.3198187775</v>
      </c>
      <c r="BL276" s="178">
        <f t="shared" si="226"/>
        <v>2243571.1526546697</v>
      </c>
      <c r="BM276" s="178">
        <f t="shared" si="226"/>
        <v>2247274.7877973882</v>
      </c>
      <c r="BN276" s="178">
        <f t="shared" si="226"/>
        <v>2250457.5111558926</v>
      </c>
      <c r="BO276" s="178">
        <f t="shared" si="226"/>
        <v>2253116.9700113437</v>
      </c>
      <c r="BP276" s="171"/>
      <c r="BQ276" s="176"/>
      <c r="BR276" s="176"/>
      <c r="BS276" s="176"/>
      <c r="BT276" s="176"/>
      <c r="BU276" s="176"/>
      <c r="BV276" s="176"/>
      <c r="BW276" s="176"/>
      <c r="BX276" s="176"/>
      <c r="BY276" s="176"/>
      <c r="BZ276" s="176"/>
      <c r="CA276" s="176"/>
      <c r="CB276" s="176"/>
      <c r="CC276" s="176"/>
    </row>
    <row r="277" spans="1:81" x14ac:dyDescent="0.3">
      <c r="A277" s="388"/>
      <c r="D277" s="359"/>
      <c r="E277" s="172"/>
      <c r="F277" s="174" t="s">
        <v>589</v>
      </c>
      <c r="G277" s="178">
        <f t="shared" ref="G277:M277" si="227">0.248*G254</f>
        <v>1302876.9280000001</v>
      </c>
      <c r="H277" s="178">
        <f t="shared" si="227"/>
        <v>1329008.192</v>
      </c>
      <c r="I277" s="178">
        <f t="shared" si="227"/>
        <v>1298416.3999999999</v>
      </c>
      <c r="J277" s="178">
        <f t="shared" si="227"/>
        <v>1273262.2560000001</v>
      </c>
      <c r="K277" s="178">
        <f t="shared" si="227"/>
        <v>1141946.7520000001</v>
      </c>
      <c r="L277" s="178">
        <f t="shared" si="227"/>
        <v>1020572.824</v>
      </c>
      <c r="M277" s="178">
        <f t="shared" si="227"/>
        <v>1023573.128</v>
      </c>
      <c r="N277" s="178">
        <f>0.248*N254</f>
        <v>1039271.528</v>
      </c>
      <c r="O277" s="178">
        <f>0.248*O254</f>
        <v>1006085.4079999999</v>
      </c>
      <c r="P277" s="178">
        <f t="shared" ref="P277:BO277" si="228">0.248*P254</f>
        <v>1067948.5120000001</v>
      </c>
      <c r="Q277" s="178">
        <f t="shared" si="228"/>
        <v>1075309.152</v>
      </c>
      <c r="R277" s="178">
        <f t="shared" si="228"/>
        <v>1008598.64</v>
      </c>
      <c r="S277" s="178">
        <f>0.248*S254</f>
        <v>1022157.4919325343</v>
      </c>
      <c r="T277" s="178">
        <f t="shared" si="228"/>
        <v>1035600.7184803484</v>
      </c>
      <c r="U277" s="178">
        <f t="shared" si="228"/>
        <v>1048920.3082531495</v>
      </c>
      <c r="V277" s="178">
        <f t="shared" si="228"/>
        <v>1062113.7612426197</v>
      </c>
      <c r="W277" s="178">
        <f t="shared" si="228"/>
        <v>1075166.3046723322</v>
      </c>
      <c r="X277" s="178">
        <f t="shared" si="228"/>
        <v>1088072.9953440221</v>
      </c>
      <c r="Y277" s="178">
        <f t="shared" si="228"/>
        <v>1100824.5718632368</v>
      </c>
      <c r="Z277" s="178">
        <f t="shared" si="228"/>
        <v>1113419.2160421093</v>
      </c>
      <c r="AA277" s="178">
        <f t="shared" si="228"/>
        <v>1125842.7801062923</v>
      </c>
      <c r="AB277" s="178">
        <f t="shared" si="228"/>
        <v>1138088.6163063946</v>
      </c>
      <c r="AC277" s="178">
        <f t="shared" si="228"/>
        <v>1150148.1450684143</v>
      </c>
      <c r="AD277" s="178">
        <f t="shared" si="228"/>
        <v>1162011.4231774493</v>
      </c>
      <c r="AE277" s="178">
        <f t="shared" si="228"/>
        <v>1173673.5642536052</v>
      </c>
      <c r="AF277" s="178">
        <f t="shared" si="228"/>
        <v>1185126.0455412511</v>
      </c>
      <c r="AG277" s="178">
        <f t="shared" si="228"/>
        <v>1196363.8670237509</v>
      </c>
      <c r="AH277" s="178">
        <f t="shared" si="228"/>
        <v>1207377.426396427</v>
      </c>
      <c r="AI277" s="178">
        <f t="shared" si="228"/>
        <v>1218162.9168284317</v>
      </c>
      <c r="AJ277" s="178">
        <f t="shared" si="228"/>
        <v>1228713.2360234058</v>
      </c>
      <c r="AK277" s="178">
        <f t="shared" si="228"/>
        <v>1239023.4407830834</v>
      </c>
      <c r="AL277" s="178">
        <f t="shared" si="228"/>
        <v>1249092.2242849353</v>
      </c>
      <c r="AM277" s="178">
        <f t="shared" si="228"/>
        <v>1258916.1206083377</v>
      </c>
      <c r="AN277" s="178">
        <f t="shared" si="228"/>
        <v>1268489.0501876078</v>
      </c>
      <c r="AO277" s="178">
        <f t="shared" si="228"/>
        <v>1277809.7630185867</v>
      </c>
      <c r="AP277" s="178">
        <f t="shared" si="228"/>
        <v>1286872.179535591</v>
      </c>
      <c r="AQ277" s="178">
        <f t="shared" si="228"/>
        <v>1295674.7656426076</v>
      </c>
      <c r="AR277" s="178">
        <f t="shared" si="228"/>
        <v>1304218.9417989079</v>
      </c>
      <c r="AS277" s="178">
        <f t="shared" si="228"/>
        <v>1312497.3784346497</v>
      </c>
      <c r="AT277" s="178">
        <f t="shared" si="228"/>
        <v>1320512.2914662967</v>
      </c>
      <c r="AU277" s="178">
        <f t="shared" si="228"/>
        <v>1328266.4649940219</v>
      </c>
      <c r="AV277" s="178">
        <f t="shared" si="228"/>
        <v>1335754.6698011851</v>
      </c>
      <c r="AW277" s="178">
        <f t="shared" si="228"/>
        <v>1342971.8318614436</v>
      </c>
      <c r="AX277" s="178">
        <f t="shared" si="228"/>
        <v>1349913.0380462357</v>
      </c>
      <c r="AY277" s="178">
        <f t="shared" si="228"/>
        <v>1356573.5416784487</v>
      </c>
      <c r="AZ277" s="178">
        <f t="shared" si="228"/>
        <v>1362948.7679235209</v>
      </c>
      <c r="BA277" s="178">
        <f t="shared" si="228"/>
        <v>1369034.3190094358</v>
      </c>
      <c r="BB277" s="178">
        <f t="shared" si="228"/>
        <v>1374825.979267298</v>
      </c>
      <c r="BC277" s="178">
        <f t="shared" si="228"/>
        <v>1380319.7199844299</v>
      </c>
      <c r="BD277" s="178">
        <f t="shared" si="228"/>
        <v>1385511.7040621908</v>
      </c>
      <c r="BE277" s="178">
        <f t="shared" si="228"/>
        <v>1390398.2904710013</v>
      </c>
      <c r="BF277" s="178">
        <f t="shared" si="228"/>
        <v>1394976.0384953513</v>
      </c>
      <c r="BG277" s="178">
        <f t="shared" si="228"/>
        <v>1399241.7117618802</v>
      </c>
      <c r="BH277" s="178">
        <f t="shared" si="228"/>
        <v>1403192.2820439436</v>
      </c>
      <c r="BI277" s="178">
        <f t="shared" si="228"/>
        <v>1406824.9328364201</v>
      </c>
      <c r="BJ277" s="178">
        <f t="shared" si="228"/>
        <v>1410137.0626948646</v>
      </c>
      <c r="BK277" s="178">
        <f t="shared" si="228"/>
        <v>1413126.2883334779</v>
      </c>
      <c r="BL277" s="178">
        <f t="shared" si="228"/>
        <v>1415790.4474767379</v>
      </c>
      <c r="BM277" s="178">
        <f t="shared" si="228"/>
        <v>1418127.6014599295</v>
      </c>
      <c r="BN277" s="178">
        <f t="shared" si="228"/>
        <v>1420136.0375742021</v>
      </c>
      <c r="BO277" s="178">
        <f t="shared" si="228"/>
        <v>1421814.2711521967</v>
      </c>
      <c r="BP277" s="171"/>
    </row>
    <row r="278" spans="1:81" x14ac:dyDescent="0.3">
      <c r="A278" s="180"/>
      <c r="B278" s="180"/>
      <c r="C278" s="180"/>
      <c r="D278" s="359"/>
      <c r="E278" s="172"/>
      <c r="F278" s="174" t="s">
        <v>590</v>
      </c>
      <c r="G278" s="178">
        <f t="shared" ref="G278:M278" si="229">0.359*G254</f>
        <v>1886019.4239999999</v>
      </c>
      <c r="H278" s="178">
        <f t="shared" si="229"/>
        <v>1923846.5359999998</v>
      </c>
      <c r="I278" s="178">
        <f t="shared" si="229"/>
        <v>1879562.45</v>
      </c>
      <c r="J278" s="178">
        <f t="shared" si="229"/>
        <v>1843149.798</v>
      </c>
      <c r="K278" s="178">
        <f t="shared" si="229"/>
        <v>1653060.0159999998</v>
      </c>
      <c r="L278" s="178">
        <f t="shared" si="229"/>
        <v>1477361.4669999999</v>
      </c>
      <c r="M278" s="178">
        <f t="shared" si="229"/>
        <v>1481704.649</v>
      </c>
      <c r="N278" s="178">
        <f>0.359*N254</f>
        <v>1504429.3489999999</v>
      </c>
      <c r="O278" s="178">
        <f>0.359*O254</f>
        <v>1456389.764</v>
      </c>
      <c r="P278" s="178">
        <f t="shared" ref="P278:BO278" si="230">0.359*P254</f>
        <v>1545941.5959999999</v>
      </c>
      <c r="Q278" s="178">
        <f t="shared" si="230"/>
        <v>1556596.716</v>
      </c>
      <c r="R278" s="178">
        <f t="shared" si="230"/>
        <v>1460027.8699999999</v>
      </c>
      <c r="S278" s="178">
        <f>0.359*S254</f>
        <v>1479655.4016281443</v>
      </c>
      <c r="T278" s="178">
        <f t="shared" si="230"/>
        <v>1499115.5561872784</v>
      </c>
      <c r="U278" s="178">
        <f t="shared" si="230"/>
        <v>1518396.7365438736</v>
      </c>
      <c r="V278" s="178">
        <f t="shared" si="230"/>
        <v>1537495.323734276</v>
      </c>
      <c r="W278" s="178">
        <f t="shared" si="230"/>
        <v>1556389.9329732552</v>
      </c>
      <c r="X278" s="178">
        <f t="shared" si="230"/>
        <v>1575073.4085826771</v>
      </c>
      <c r="Y278" s="178">
        <f t="shared" si="230"/>
        <v>1593532.3439471854</v>
      </c>
      <c r="Z278" s="178">
        <f t="shared" si="230"/>
        <v>1611764.1070932145</v>
      </c>
      <c r="AA278" s="178">
        <f t="shared" si="230"/>
        <v>1629748.2179764474</v>
      </c>
      <c r="AB278" s="178">
        <f t="shared" si="230"/>
        <v>1647475.0534435308</v>
      </c>
      <c r="AC278" s="178">
        <f t="shared" si="230"/>
        <v>1664932.1938691963</v>
      </c>
      <c r="AD278" s="178">
        <f t="shared" si="230"/>
        <v>1682105.2456480011</v>
      </c>
      <c r="AE278" s="178">
        <f t="shared" si="230"/>
        <v>1698987.1353509848</v>
      </c>
      <c r="AF278" s="178">
        <f t="shared" si="230"/>
        <v>1715565.5256020532</v>
      </c>
      <c r="AG278" s="178">
        <f t="shared" si="230"/>
        <v>1731833.1784738973</v>
      </c>
      <c r="AH278" s="178">
        <f t="shared" si="230"/>
        <v>1747776.1938561182</v>
      </c>
      <c r="AI278" s="178">
        <f t="shared" si="230"/>
        <v>1763389.0610540602</v>
      </c>
      <c r="AJ278" s="178">
        <f t="shared" si="230"/>
        <v>1778661.4989209785</v>
      </c>
      <c r="AK278" s="178">
        <f t="shared" si="230"/>
        <v>1793586.3517787377</v>
      </c>
      <c r="AL278" s="178">
        <f t="shared" si="230"/>
        <v>1808161.7278963376</v>
      </c>
      <c r="AM278" s="178">
        <f t="shared" si="230"/>
        <v>1822382.6100741662</v>
      </c>
      <c r="AN278" s="178">
        <f t="shared" si="230"/>
        <v>1836240.1976506095</v>
      </c>
      <c r="AO278" s="178">
        <f t="shared" si="230"/>
        <v>1849732.681143841</v>
      </c>
      <c r="AP278" s="178">
        <f t="shared" si="230"/>
        <v>1862851.2598922465</v>
      </c>
      <c r="AQ278" s="178">
        <f t="shared" si="230"/>
        <v>1875593.7131681293</v>
      </c>
      <c r="AR278" s="178">
        <f t="shared" si="230"/>
        <v>1887962.0972008384</v>
      </c>
      <c r="AS278" s="178">
        <f t="shared" si="230"/>
        <v>1899945.8018469322</v>
      </c>
      <c r="AT278" s="178">
        <f t="shared" si="230"/>
        <v>1911548.0348241956</v>
      </c>
      <c r="AU278" s="178">
        <f t="shared" si="230"/>
        <v>1922772.8263421527</v>
      </c>
      <c r="AV278" s="178">
        <f t="shared" si="230"/>
        <v>1933612.6066880058</v>
      </c>
      <c r="AW278" s="178">
        <f t="shared" si="230"/>
        <v>1944060.0307994285</v>
      </c>
      <c r="AX278" s="178">
        <f t="shared" si="230"/>
        <v>1954107.9865266073</v>
      </c>
      <c r="AY278" s="178">
        <f t="shared" si="230"/>
        <v>1963749.6026716251</v>
      </c>
      <c r="AZ278" s="178">
        <f t="shared" si="230"/>
        <v>1972978.256792516</v>
      </c>
      <c r="BA278" s="178">
        <f t="shared" si="230"/>
        <v>1981787.5827596269</v>
      </c>
      <c r="BB278" s="178">
        <f t="shared" si="230"/>
        <v>1990171.4780522578</v>
      </c>
      <c r="BC278" s="178">
        <f t="shared" si="230"/>
        <v>1998124.1107839125</v>
      </c>
      <c r="BD278" s="178">
        <f t="shared" si="230"/>
        <v>2005639.9264448648</v>
      </c>
      <c r="BE278" s="178">
        <f t="shared" si="230"/>
        <v>2012713.6543511671</v>
      </c>
      <c r="BF278" s="178">
        <f t="shared" si="230"/>
        <v>2019340.3137896415</v>
      </c>
      <c r="BG278" s="178">
        <f t="shared" si="230"/>
        <v>2025515.2198488505</v>
      </c>
      <c r="BH278" s="178">
        <f t="shared" si="230"/>
        <v>2031233.988926515</v>
      </c>
      <c r="BI278" s="178">
        <f t="shared" si="230"/>
        <v>2036492.5439043341</v>
      </c>
      <c r="BJ278" s="178">
        <f t="shared" si="230"/>
        <v>2041287.118981679</v>
      </c>
      <c r="BK278" s="178">
        <f t="shared" si="230"/>
        <v>2045614.2641601553</v>
      </c>
      <c r="BL278" s="178">
        <f t="shared" si="230"/>
        <v>2049470.8493715683</v>
      </c>
      <c r="BM278" s="178">
        <f t="shared" si="230"/>
        <v>2052854.0682423979</v>
      </c>
      <c r="BN278" s="178">
        <f t="shared" si="230"/>
        <v>2055761.4414884618</v>
      </c>
      <c r="BO278" s="178">
        <f t="shared" si="230"/>
        <v>2058190.8199340266</v>
      </c>
      <c r="BP278" s="171"/>
    </row>
    <row r="279" spans="1:81" x14ac:dyDescent="0.3">
      <c r="A279" s="354"/>
      <c r="B279" s="354"/>
      <c r="C279" s="354"/>
      <c r="D279" s="359"/>
      <c r="E279" s="172"/>
      <c r="F279" s="179"/>
      <c r="G279" s="184"/>
      <c r="H279" s="184"/>
      <c r="I279" s="184"/>
      <c r="J279" s="184"/>
      <c r="K279" s="184"/>
      <c r="L279" s="185"/>
      <c r="M279" s="185"/>
      <c r="N279" s="185"/>
      <c r="O279" s="185"/>
      <c r="P279" s="185"/>
      <c r="Q279" s="185"/>
      <c r="R279" s="185"/>
      <c r="S279" s="185"/>
      <c r="T279" s="185"/>
      <c r="U279" s="185"/>
      <c r="V279" s="185"/>
      <c r="W279" s="185"/>
      <c r="X279" s="185"/>
      <c r="Y279" s="185"/>
      <c r="Z279" s="185"/>
      <c r="AA279" s="185"/>
      <c r="AB279" s="185"/>
      <c r="AC279" s="185"/>
      <c r="AD279" s="185"/>
      <c r="AE279" s="185"/>
      <c r="AF279" s="185"/>
      <c r="AG279" s="185"/>
      <c r="AH279" s="185"/>
      <c r="AI279" s="185"/>
      <c r="AJ279" s="185"/>
      <c r="AK279" s="185"/>
      <c r="AL279" s="185"/>
      <c r="AM279" s="185"/>
      <c r="AN279" s="185"/>
      <c r="AO279" s="185"/>
      <c r="AP279" s="185"/>
      <c r="AQ279" s="185"/>
      <c r="AR279" s="185"/>
      <c r="AS279" s="185"/>
      <c r="AT279" s="185"/>
      <c r="AU279" s="185"/>
      <c r="AV279" s="185"/>
      <c r="AW279" s="185"/>
      <c r="AX279" s="185"/>
      <c r="AY279" s="185"/>
      <c r="AZ279" s="185"/>
      <c r="BA279" s="185"/>
      <c r="BB279" s="185"/>
      <c r="BC279" s="185"/>
      <c r="BD279" s="185"/>
      <c r="BE279" s="185"/>
      <c r="BF279" s="185"/>
      <c r="BG279" s="185"/>
      <c r="BH279" s="185"/>
      <c r="BI279" s="185"/>
      <c r="BJ279" s="185"/>
      <c r="BK279" s="185"/>
      <c r="BL279" s="185"/>
      <c r="BM279" s="185"/>
      <c r="BN279" s="185"/>
      <c r="BO279" s="185"/>
      <c r="BP279" s="171"/>
    </row>
    <row r="280" spans="1:81" ht="15.6" x14ac:dyDescent="0.3">
      <c r="A280" s="354"/>
      <c r="B280" s="354"/>
      <c r="C280" s="354"/>
      <c r="D280" s="359"/>
      <c r="E280" s="166"/>
      <c r="F280" s="167" t="s">
        <v>591</v>
      </c>
      <c r="G280" s="168"/>
      <c r="H280" s="168"/>
      <c r="I280" s="168"/>
      <c r="J280" s="168"/>
      <c r="K280" s="168"/>
      <c r="L280" s="169"/>
      <c r="M280" s="170"/>
      <c r="N280" s="170"/>
      <c r="O280" s="170"/>
      <c r="P280" s="170"/>
      <c r="Q280" s="170"/>
      <c r="R280" s="170"/>
      <c r="S280" s="170"/>
      <c r="T280" s="170"/>
      <c r="U280" s="170"/>
      <c r="V280" s="170"/>
      <c r="W280" s="170"/>
      <c r="X280" s="170"/>
      <c r="Y280" s="170"/>
      <c r="Z280" s="170"/>
      <c r="AA280" s="170"/>
      <c r="AB280" s="170"/>
      <c r="AC280" s="170"/>
      <c r="AD280" s="170"/>
      <c r="AE280" s="170"/>
      <c r="AF280" s="170"/>
      <c r="AG280" s="170"/>
      <c r="AH280" s="170"/>
      <c r="AI280" s="170"/>
      <c r="AJ280" s="170"/>
      <c r="AK280" s="170"/>
      <c r="AL280" s="170"/>
      <c r="AM280" s="170"/>
      <c r="AN280" s="170"/>
      <c r="AO280" s="170"/>
      <c r="AP280" s="170"/>
      <c r="AQ280" s="170"/>
      <c r="AR280" s="170"/>
      <c r="AS280" s="170"/>
      <c r="AT280" s="170"/>
      <c r="AU280" s="170"/>
      <c r="AV280" s="170"/>
      <c r="AW280" s="170"/>
      <c r="AX280" s="170"/>
      <c r="AY280" s="170"/>
      <c r="AZ280" s="170"/>
      <c r="BA280" s="170"/>
      <c r="BB280" s="170"/>
      <c r="BC280" s="170"/>
      <c r="BD280" s="170"/>
      <c r="BE280" s="170"/>
      <c r="BF280" s="170"/>
      <c r="BG280" s="170"/>
      <c r="BH280" s="170"/>
      <c r="BI280" s="170"/>
      <c r="BJ280" s="170"/>
      <c r="BK280" s="170"/>
      <c r="BL280" s="170"/>
      <c r="BM280" s="170"/>
      <c r="BN280" s="170"/>
      <c r="BO280" s="170"/>
      <c r="BP280" s="171"/>
    </row>
    <row r="281" spans="1:81" ht="15.6" x14ac:dyDescent="0.3">
      <c r="A281" s="354"/>
      <c r="B281" s="354"/>
      <c r="C281" s="354"/>
      <c r="D281" s="359"/>
      <c r="E281" s="172"/>
      <c r="F281" s="173" t="s">
        <v>592</v>
      </c>
      <c r="G281" s="168"/>
      <c r="H281" s="168"/>
      <c r="I281" s="168"/>
      <c r="J281" s="168"/>
      <c r="K281" s="168"/>
      <c r="L281" s="169"/>
      <c r="M281" s="170"/>
      <c r="N281" s="170"/>
      <c r="O281" s="170"/>
      <c r="P281" s="170"/>
      <c r="Q281" s="170"/>
      <c r="R281" s="170"/>
      <c r="S281" s="170"/>
      <c r="T281" s="170"/>
      <c r="U281" s="170"/>
      <c r="V281" s="170"/>
      <c r="W281" s="170"/>
      <c r="X281" s="170"/>
      <c r="Y281" s="170"/>
      <c r="Z281" s="170"/>
      <c r="AA281" s="170"/>
      <c r="AB281" s="170"/>
      <c r="AC281" s="170"/>
      <c r="AD281" s="170"/>
      <c r="AE281" s="170"/>
      <c r="AF281" s="170"/>
      <c r="AG281" s="170"/>
      <c r="AH281" s="170"/>
      <c r="AI281" s="170"/>
      <c r="AJ281" s="170"/>
      <c r="AK281" s="170"/>
      <c r="AL281" s="170"/>
      <c r="AM281" s="170"/>
      <c r="AN281" s="170"/>
      <c r="AO281" s="170"/>
      <c r="AP281" s="170"/>
      <c r="AQ281" s="170"/>
      <c r="AR281" s="170"/>
      <c r="AS281" s="170"/>
      <c r="AT281" s="170"/>
      <c r="AU281" s="170"/>
      <c r="AV281" s="170"/>
      <c r="AW281" s="170"/>
      <c r="AX281" s="170"/>
      <c r="AY281" s="170"/>
      <c r="AZ281" s="170"/>
      <c r="BA281" s="170"/>
      <c r="BB281" s="170"/>
      <c r="BC281" s="170"/>
      <c r="BD281" s="170"/>
      <c r="BE281" s="170"/>
      <c r="BF281" s="170"/>
      <c r="BG281" s="170"/>
      <c r="BH281" s="170"/>
      <c r="BI281" s="170"/>
      <c r="BJ281" s="170"/>
      <c r="BK281" s="170"/>
      <c r="BL281" s="170"/>
      <c r="BM281" s="170"/>
      <c r="BN281" s="170"/>
      <c r="BO281" s="170"/>
      <c r="BP281" s="171"/>
    </row>
    <row r="282" spans="1:81" x14ac:dyDescent="0.3">
      <c r="A282" s="354" t="s">
        <v>487</v>
      </c>
      <c r="B282" s="354"/>
      <c r="C282" s="354"/>
      <c r="D282" s="359"/>
      <c r="E282" s="172"/>
      <c r="F282" s="174" t="s">
        <v>593</v>
      </c>
      <c r="G282" s="186">
        <v>4.9199240000000009</v>
      </c>
      <c r="H282" s="186">
        <v>4.8109590000000004</v>
      </c>
      <c r="I282" s="186">
        <v>4.9761220000000002</v>
      </c>
      <c r="J282" s="186">
        <v>4.8506799999999997</v>
      </c>
      <c r="K282" s="186">
        <v>3.0877800000000004</v>
      </c>
      <c r="L282" s="187">
        <v>3.238219</v>
      </c>
      <c r="M282" s="187">
        <v>3.101035</v>
      </c>
      <c r="N282" s="187">
        <v>3.1255449999999998</v>
      </c>
      <c r="O282" s="187">
        <v>3.0943149999999999</v>
      </c>
      <c r="P282" s="187">
        <v>2.9013369999999998</v>
      </c>
      <c r="Q282" s="187">
        <v>2.9091149999999999</v>
      </c>
      <c r="R282" s="187">
        <v>3.0226899999999999</v>
      </c>
      <c r="S282" s="188">
        <f>(S254/S286)/1000000</f>
        <v>3.0633248021131103</v>
      </c>
      <c r="T282" s="188">
        <f>(T254/T286)/1000000</f>
        <v>3.1036130841336096</v>
      </c>
      <c r="U282" s="188">
        <f t="shared" ref="U282:BO282" si="231">(U254/U286)/1000000</f>
        <v>3.1435308365612236</v>
      </c>
      <c r="V282" s="188">
        <f t="shared" si="231"/>
        <v>3.1830705670696262</v>
      </c>
      <c r="W282" s="188">
        <f t="shared" si="231"/>
        <v>3.222188002821432</v>
      </c>
      <c r="X282" s="188">
        <f t="shared" si="231"/>
        <v>3.2608683294441305</v>
      </c>
      <c r="Y282" s="188">
        <f t="shared" si="231"/>
        <v>3.2990837912742843</v>
      </c>
      <c r="Z282" s="188">
        <f t="shared" si="231"/>
        <v>3.3368289393472943</v>
      </c>
      <c r="AA282" s="188">
        <f t="shared" si="231"/>
        <v>3.3740613739073542</v>
      </c>
      <c r="AB282" s="188">
        <f t="shared" si="231"/>
        <v>3.4107611721776423</v>
      </c>
      <c r="AC282" s="188">
        <f t="shared" si="231"/>
        <v>3.4469026218564456</v>
      </c>
      <c r="AD282" s="188">
        <f t="shared" si="231"/>
        <v>3.4824559239186006</v>
      </c>
      <c r="AE282" s="188">
        <f t="shared" si="231"/>
        <v>3.5174064342717433</v>
      </c>
      <c r="AF282" s="188">
        <f t="shared" si="231"/>
        <v>3.5517286108943042</v>
      </c>
      <c r="AG282" s="188">
        <f t="shared" si="231"/>
        <v>3.5854074691336302</v>
      </c>
      <c r="AH282" s="188">
        <f t="shared" si="231"/>
        <v>3.6184142316454206</v>
      </c>
      <c r="AI282" s="188">
        <f t="shared" si="231"/>
        <v>3.6507374896600417</v>
      </c>
      <c r="AJ282" s="188">
        <f t="shared" si="231"/>
        <v>3.6823559581595195</v>
      </c>
      <c r="AK282" s="188">
        <f t="shared" si="231"/>
        <v>3.7132548227713444</v>
      </c>
      <c r="AL282" s="188">
        <f t="shared" si="231"/>
        <v>3.743430167052209</v>
      </c>
      <c r="AM282" s="188">
        <f t="shared" si="231"/>
        <v>3.7728716039133428</v>
      </c>
      <c r="AN282" s="188">
        <f t="shared" si="231"/>
        <v>3.80156091337936</v>
      </c>
      <c r="AO282" s="188">
        <f t="shared" si="231"/>
        <v>3.8294943492870979</v>
      </c>
      <c r="AP282" s="188">
        <f t="shared" si="231"/>
        <v>3.8566536916611702</v>
      </c>
      <c r="AQ282" s="188">
        <f t="shared" si="231"/>
        <v>3.8830343429376959</v>
      </c>
      <c r="AR282" s="188">
        <f t="shared" si="231"/>
        <v>3.9086405601202681</v>
      </c>
      <c r="AS282" s="188">
        <f t="shared" si="231"/>
        <v>3.9334503770703391</v>
      </c>
      <c r="AT282" s="188">
        <f t="shared" si="231"/>
        <v>3.9574704347135157</v>
      </c>
      <c r="AU282" s="188">
        <f t="shared" si="231"/>
        <v>3.980709076776844</v>
      </c>
      <c r="AV282" s="188">
        <f t="shared" si="231"/>
        <v>4.003150631713468</v>
      </c>
      <c r="AW282" s="188">
        <f t="shared" si="231"/>
        <v>4.0247798930695238</v>
      </c>
      <c r="AX282" s="188">
        <f t="shared" si="231"/>
        <v>4.0455821365890161</v>
      </c>
      <c r="AY282" s="188">
        <f t="shared" si="231"/>
        <v>4.0655431368577197</v>
      </c>
      <c r="AZ282" s="188">
        <f t="shared" si="231"/>
        <v>4.0846491834598817</v>
      </c>
      <c r="BA282" s="188">
        <f t="shared" si="231"/>
        <v>4.1028870966221325</v>
      </c>
      <c r="BB282" s="188">
        <f t="shared" si="231"/>
        <v>4.1202442423196892</v>
      </c>
      <c r="BC282" s="188">
        <f t="shared" si="231"/>
        <v>4.1367085468207021</v>
      </c>
      <c r="BD282" s="188">
        <f t="shared" si="231"/>
        <v>4.1522685106453681</v>
      </c>
      <c r="BE282" s="188">
        <f t="shared" si="231"/>
        <v>4.1669132219172837</v>
      </c>
      <c r="BF282" s="188">
        <f t="shared" si="231"/>
        <v>4.1806323690854006</v>
      </c>
      <c r="BG282" s="188">
        <f t="shared" si="231"/>
        <v>4.1934162529958572</v>
      </c>
      <c r="BH282" s="188">
        <f t="shared" si="231"/>
        <v>4.2052557982939653</v>
      </c>
      <c r="BI282" s="188">
        <f t="shared" si="231"/>
        <v>4.2161425641376225</v>
      </c>
      <c r="BJ282" s="188">
        <f t="shared" si="231"/>
        <v>4.226068754204487</v>
      </c>
      <c r="BK282" s="188">
        <f t="shared" si="231"/>
        <v>4.2350272259763511</v>
      </c>
      <c r="BL282" s="188">
        <f t="shared" si="231"/>
        <v>4.243011499285247</v>
      </c>
      <c r="BM282" s="188">
        <f t="shared" si="231"/>
        <v>4.2500157641070331</v>
      </c>
      <c r="BN282" s="188">
        <f t="shared" si="231"/>
        <v>4.2560348875893439</v>
      </c>
      <c r="BO282" s="188">
        <f t="shared" si="231"/>
        <v>4.2610644203020476</v>
      </c>
      <c r="BP282" s="171"/>
    </row>
    <row r="283" spans="1:81" x14ac:dyDescent="0.3">
      <c r="A283" s="354"/>
      <c r="B283" s="354"/>
      <c r="C283" s="354"/>
      <c r="D283" s="359"/>
      <c r="E283" s="172"/>
      <c r="F283" s="179"/>
      <c r="G283" s="184"/>
      <c r="H283" s="184"/>
      <c r="I283" s="184"/>
      <c r="J283" s="184"/>
      <c r="K283" s="184"/>
      <c r="L283" s="185"/>
      <c r="M283" s="185"/>
      <c r="N283" s="185"/>
      <c r="O283" s="185"/>
      <c r="P283" s="185"/>
      <c r="Q283" s="185"/>
      <c r="R283" s="185"/>
      <c r="S283" s="185"/>
      <c r="T283" s="185"/>
      <c r="U283" s="185"/>
      <c r="V283" s="185"/>
      <c r="W283" s="185"/>
      <c r="X283" s="185"/>
      <c r="Y283" s="185"/>
      <c r="Z283" s="185"/>
      <c r="AA283" s="185"/>
      <c r="AB283" s="185"/>
      <c r="AC283" s="185"/>
      <c r="AD283" s="185"/>
      <c r="AE283" s="185"/>
      <c r="AF283" s="185"/>
      <c r="AG283" s="185"/>
      <c r="AH283" s="185"/>
      <c r="AI283" s="185"/>
      <c r="AJ283" s="185"/>
      <c r="AK283" s="185"/>
      <c r="AL283" s="185"/>
      <c r="AM283" s="185"/>
      <c r="AN283" s="185"/>
      <c r="AO283" s="185"/>
      <c r="AP283" s="185"/>
      <c r="AQ283" s="185"/>
      <c r="AR283" s="185"/>
      <c r="AS283" s="185"/>
      <c r="AT283" s="185"/>
      <c r="AU283" s="185"/>
      <c r="AV283" s="185"/>
      <c r="AW283" s="185"/>
      <c r="AX283" s="185"/>
      <c r="AY283" s="185"/>
      <c r="AZ283" s="185"/>
      <c r="BA283" s="185"/>
      <c r="BB283" s="185"/>
      <c r="BC283" s="185"/>
      <c r="BD283" s="185"/>
      <c r="BE283" s="185"/>
      <c r="BF283" s="185"/>
      <c r="BG283" s="185"/>
      <c r="BH283" s="185"/>
      <c r="BI283" s="185"/>
      <c r="BJ283" s="185"/>
      <c r="BK283" s="185"/>
      <c r="BL283" s="185"/>
      <c r="BM283" s="185"/>
      <c r="BN283" s="185"/>
      <c r="BO283" s="185"/>
      <c r="BP283" s="171"/>
    </row>
    <row r="284" spans="1:81" ht="15.6" x14ac:dyDescent="0.3">
      <c r="A284" s="354"/>
      <c r="B284" s="354"/>
      <c r="C284" s="354"/>
      <c r="D284" s="359"/>
      <c r="E284" s="172"/>
      <c r="F284" s="167" t="s">
        <v>594</v>
      </c>
      <c r="G284" s="168"/>
      <c r="H284" s="168"/>
      <c r="I284" s="168"/>
      <c r="J284" s="168"/>
      <c r="K284" s="168"/>
      <c r="L284" s="169"/>
      <c r="M284" s="170"/>
      <c r="N284" s="170"/>
      <c r="O284" s="170"/>
      <c r="P284" s="170"/>
      <c r="Q284" s="170"/>
      <c r="R284" s="170"/>
      <c r="S284" s="170"/>
      <c r="T284" s="170"/>
      <c r="U284" s="170"/>
      <c r="V284" s="170"/>
      <c r="W284" s="170"/>
      <c r="X284" s="170"/>
      <c r="Y284" s="170"/>
      <c r="Z284" s="170"/>
      <c r="AA284" s="170"/>
      <c r="AB284" s="170"/>
      <c r="AC284" s="170"/>
      <c r="AD284" s="170"/>
      <c r="AE284" s="170"/>
      <c r="AF284" s="170"/>
      <c r="AG284" s="170"/>
      <c r="AH284" s="170"/>
      <c r="AI284" s="170"/>
      <c r="AJ284" s="170"/>
      <c r="AK284" s="170"/>
      <c r="AL284" s="170"/>
      <c r="AM284" s="170"/>
      <c r="AN284" s="170"/>
      <c r="AO284" s="170"/>
      <c r="AP284" s="170"/>
      <c r="AQ284" s="170"/>
      <c r="AR284" s="170"/>
      <c r="AS284" s="170"/>
      <c r="AT284" s="170"/>
      <c r="AU284" s="170"/>
      <c r="AV284" s="170"/>
      <c r="AW284" s="170"/>
      <c r="AX284" s="170"/>
      <c r="AY284" s="170"/>
      <c r="AZ284" s="170"/>
      <c r="BA284" s="170"/>
      <c r="BB284" s="170"/>
      <c r="BC284" s="170"/>
      <c r="BD284" s="170"/>
      <c r="BE284" s="170"/>
      <c r="BF284" s="170"/>
      <c r="BG284" s="170"/>
      <c r="BH284" s="170"/>
      <c r="BI284" s="170"/>
      <c r="BJ284" s="170"/>
      <c r="BK284" s="170"/>
      <c r="BL284" s="170"/>
      <c r="BM284" s="170"/>
      <c r="BN284" s="170"/>
      <c r="BO284" s="170"/>
      <c r="BP284" s="171"/>
    </row>
    <row r="285" spans="1:81" ht="15.6" x14ac:dyDescent="0.3">
      <c r="A285" s="354"/>
      <c r="B285" s="354"/>
      <c r="C285" s="354"/>
      <c r="D285" s="359"/>
      <c r="E285" s="172"/>
      <c r="F285" s="173" t="s">
        <v>595</v>
      </c>
      <c r="G285" s="168"/>
      <c r="H285" s="168"/>
      <c r="I285" s="168"/>
      <c r="J285" s="168"/>
      <c r="K285" s="168"/>
      <c r="L285" s="169"/>
      <c r="M285" s="170"/>
      <c r="N285" s="170"/>
      <c r="O285" s="170"/>
      <c r="P285" s="170"/>
      <c r="Q285" s="170"/>
      <c r="R285" s="170"/>
      <c r="S285" s="170"/>
      <c r="T285" s="170"/>
      <c r="U285" s="170"/>
      <c r="V285" s="170"/>
      <c r="W285" s="170"/>
      <c r="X285" s="170"/>
      <c r="Y285" s="170"/>
      <c r="Z285" s="170"/>
      <c r="AA285" s="170"/>
      <c r="AB285" s="170"/>
      <c r="AC285" s="170"/>
      <c r="AD285" s="170"/>
      <c r="AE285" s="170"/>
      <c r="AF285" s="170"/>
      <c r="AG285" s="170"/>
      <c r="AH285" s="170"/>
      <c r="AI285" s="170"/>
      <c r="AJ285" s="170"/>
      <c r="AK285" s="170"/>
      <c r="AL285" s="170"/>
      <c r="AM285" s="170"/>
      <c r="AN285" s="170"/>
      <c r="AO285" s="170"/>
      <c r="AP285" s="170"/>
      <c r="AQ285" s="170"/>
      <c r="AR285" s="170"/>
      <c r="AS285" s="170"/>
      <c r="AT285" s="170"/>
      <c r="AU285" s="170"/>
      <c r="AV285" s="170"/>
      <c r="AW285" s="170"/>
      <c r="AX285" s="170"/>
      <c r="AY285" s="170"/>
      <c r="AZ285" s="170"/>
      <c r="BA285" s="170"/>
      <c r="BB285" s="170"/>
      <c r="BC285" s="170"/>
      <c r="BD285" s="170"/>
      <c r="BE285" s="170"/>
      <c r="BF285" s="170"/>
      <c r="BG285" s="170"/>
      <c r="BH285" s="170"/>
      <c r="BI285" s="170"/>
      <c r="BJ285" s="170"/>
      <c r="BK285" s="170"/>
      <c r="BL285" s="170"/>
      <c r="BM285" s="170"/>
      <c r="BN285" s="170"/>
      <c r="BO285" s="170"/>
      <c r="BP285" s="171"/>
    </row>
    <row r="286" spans="1:81" ht="27.6" x14ac:dyDescent="0.3">
      <c r="A286" s="352" t="s">
        <v>596</v>
      </c>
      <c r="B286" s="352"/>
      <c r="C286" s="352"/>
      <c r="D286" s="359"/>
      <c r="E286" s="172"/>
      <c r="F286" s="174" t="s">
        <v>597</v>
      </c>
      <c r="G286" s="189">
        <v>1.0678083645194518</v>
      </c>
      <c r="H286" s="189">
        <v>1.1138951714200849</v>
      </c>
      <c r="I286" s="189">
        <v>1.0521345738709782</v>
      </c>
      <c r="J286" s="189">
        <v>1.0584334567524554</v>
      </c>
      <c r="K286" s="189">
        <v>1.4912409562857456</v>
      </c>
      <c r="L286" s="190">
        <v>1.2708260312227184</v>
      </c>
      <c r="M286" s="190">
        <v>1.3309462808384942</v>
      </c>
      <c r="N286" s="190">
        <v>1.3407616911610616</v>
      </c>
      <c r="O286" s="190">
        <v>1.3110481641332572</v>
      </c>
      <c r="P286" s="190">
        <v>1.4842274441059415</v>
      </c>
      <c r="Q286" s="190">
        <v>1.4904615321154371</v>
      </c>
      <c r="R286" s="190">
        <v>1.3454671170381349</v>
      </c>
      <c r="S286" s="191">
        <f>R286</f>
        <v>1.3454671170381349</v>
      </c>
      <c r="T286" s="191">
        <f t="shared" ref="T286:BO286" si="232">S286</f>
        <v>1.3454671170381349</v>
      </c>
      <c r="U286" s="191">
        <f t="shared" si="232"/>
        <v>1.3454671170381349</v>
      </c>
      <c r="V286" s="191">
        <f t="shared" si="232"/>
        <v>1.3454671170381349</v>
      </c>
      <c r="W286" s="191">
        <f t="shared" si="232"/>
        <v>1.3454671170381349</v>
      </c>
      <c r="X286" s="191">
        <f t="shared" si="232"/>
        <v>1.3454671170381349</v>
      </c>
      <c r="Y286" s="191">
        <f t="shared" si="232"/>
        <v>1.3454671170381349</v>
      </c>
      <c r="Z286" s="191">
        <f t="shared" si="232"/>
        <v>1.3454671170381349</v>
      </c>
      <c r="AA286" s="191">
        <f t="shared" si="232"/>
        <v>1.3454671170381349</v>
      </c>
      <c r="AB286" s="191">
        <f t="shared" si="232"/>
        <v>1.3454671170381349</v>
      </c>
      <c r="AC286" s="191">
        <f t="shared" si="232"/>
        <v>1.3454671170381349</v>
      </c>
      <c r="AD286" s="191">
        <f t="shared" si="232"/>
        <v>1.3454671170381349</v>
      </c>
      <c r="AE286" s="191">
        <f t="shared" si="232"/>
        <v>1.3454671170381349</v>
      </c>
      <c r="AF286" s="191">
        <f t="shared" si="232"/>
        <v>1.3454671170381349</v>
      </c>
      <c r="AG286" s="191">
        <f t="shared" si="232"/>
        <v>1.3454671170381349</v>
      </c>
      <c r="AH286" s="191">
        <f t="shared" si="232"/>
        <v>1.3454671170381349</v>
      </c>
      <c r="AI286" s="191">
        <f t="shared" si="232"/>
        <v>1.3454671170381349</v>
      </c>
      <c r="AJ286" s="191">
        <f t="shared" si="232"/>
        <v>1.3454671170381349</v>
      </c>
      <c r="AK286" s="191">
        <f t="shared" si="232"/>
        <v>1.3454671170381349</v>
      </c>
      <c r="AL286" s="191">
        <f t="shared" si="232"/>
        <v>1.3454671170381349</v>
      </c>
      <c r="AM286" s="191">
        <f t="shared" si="232"/>
        <v>1.3454671170381349</v>
      </c>
      <c r="AN286" s="191">
        <f t="shared" si="232"/>
        <v>1.3454671170381349</v>
      </c>
      <c r="AO286" s="191">
        <f t="shared" si="232"/>
        <v>1.3454671170381349</v>
      </c>
      <c r="AP286" s="191">
        <f t="shared" si="232"/>
        <v>1.3454671170381349</v>
      </c>
      <c r="AQ286" s="191">
        <f t="shared" si="232"/>
        <v>1.3454671170381349</v>
      </c>
      <c r="AR286" s="191">
        <f t="shared" si="232"/>
        <v>1.3454671170381349</v>
      </c>
      <c r="AS286" s="191">
        <f t="shared" si="232"/>
        <v>1.3454671170381349</v>
      </c>
      <c r="AT286" s="191">
        <f t="shared" si="232"/>
        <v>1.3454671170381349</v>
      </c>
      <c r="AU286" s="191">
        <f t="shared" si="232"/>
        <v>1.3454671170381349</v>
      </c>
      <c r="AV286" s="191">
        <f t="shared" si="232"/>
        <v>1.3454671170381349</v>
      </c>
      <c r="AW286" s="191">
        <f t="shared" si="232"/>
        <v>1.3454671170381349</v>
      </c>
      <c r="AX286" s="191">
        <f t="shared" si="232"/>
        <v>1.3454671170381349</v>
      </c>
      <c r="AY286" s="191">
        <f t="shared" si="232"/>
        <v>1.3454671170381349</v>
      </c>
      <c r="AZ286" s="191">
        <f t="shared" si="232"/>
        <v>1.3454671170381349</v>
      </c>
      <c r="BA286" s="191">
        <f t="shared" si="232"/>
        <v>1.3454671170381349</v>
      </c>
      <c r="BB286" s="191">
        <f t="shared" si="232"/>
        <v>1.3454671170381349</v>
      </c>
      <c r="BC286" s="191">
        <f t="shared" si="232"/>
        <v>1.3454671170381349</v>
      </c>
      <c r="BD286" s="191">
        <f t="shared" si="232"/>
        <v>1.3454671170381349</v>
      </c>
      <c r="BE286" s="191">
        <f t="shared" si="232"/>
        <v>1.3454671170381349</v>
      </c>
      <c r="BF286" s="191">
        <f t="shared" si="232"/>
        <v>1.3454671170381349</v>
      </c>
      <c r="BG286" s="191">
        <f t="shared" si="232"/>
        <v>1.3454671170381349</v>
      </c>
      <c r="BH286" s="191">
        <f t="shared" si="232"/>
        <v>1.3454671170381349</v>
      </c>
      <c r="BI286" s="191">
        <f t="shared" si="232"/>
        <v>1.3454671170381349</v>
      </c>
      <c r="BJ286" s="191">
        <f t="shared" si="232"/>
        <v>1.3454671170381349</v>
      </c>
      <c r="BK286" s="191">
        <f t="shared" si="232"/>
        <v>1.3454671170381349</v>
      </c>
      <c r="BL286" s="191">
        <f t="shared" si="232"/>
        <v>1.3454671170381349</v>
      </c>
      <c r="BM286" s="191">
        <f t="shared" si="232"/>
        <v>1.3454671170381349</v>
      </c>
      <c r="BN286" s="191">
        <f t="shared" si="232"/>
        <v>1.3454671170381349</v>
      </c>
      <c r="BO286" s="191">
        <f t="shared" si="232"/>
        <v>1.3454671170381349</v>
      </c>
      <c r="BP286" s="171"/>
    </row>
    <row r="287" spans="1:81" ht="15" thickBot="1" x14ac:dyDescent="0.35">
      <c r="A287" s="354"/>
      <c r="B287" s="354"/>
      <c r="C287" s="354"/>
      <c r="D287" s="359"/>
      <c r="E287" s="192"/>
      <c r="F287" s="193"/>
      <c r="G287" s="193"/>
      <c r="H287" s="193"/>
      <c r="I287" s="193"/>
      <c r="J287" s="193"/>
      <c r="K287" s="193"/>
      <c r="L287" s="194"/>
      <c r="M287" s="194"/>
      <c r="N287" s="194"/>
      <c r="O287" s="195"/>
      <c r="P287" s="195"/>
      <c r="Q287" s="195"/>
      <c r="R287" s="195"/>
      <c r="S287" s="195"/>
      <c r="T287" s="195"/>
      <c r="U287" s="195"/>
      <c r="V287" s="195"/>
      <c r="W287" s="195"/>
      <c r="X287" s="195"/>
      <c r="Y287" s="195"/>
      <c r="Z287" s="195"/>
      <c r="AA287" s="195"/>
      <c r="AB287" s="195"/>
      <c r="AC287" s="195"/>
      <c r="AD287" s="195"/>
      <c r="AE287" s="195"/>
      <c r="AF287" s="195"/>
      <c r="AG287" s="195"/>
      <c r="AH287" s="195"/>
      <c r="AI287" s="195"/>
      <c r="AJ287" s="195"/>
      <c r="AK287" s="195"/>
      <c r="AL287" s="195"/>
      <c r="AM287" s="195"/>
      <c r="AN287" s="195"/>
      <c r="AO287" s="195"/>
      <c r="AP287" s="195"/>
      <c r="AQ287" s="195"/>
      <c r="AR287" s="195"/>
      <c r="AS287" s="195"/>
      <c r="AT287" s="195"/>
      <c r="AU287" s="195"/>
      <c r="AV287" s="195"/>
      <c r="AW287" s="195"/>
      <c r="AX287" s="195"/>
      <c r="AY287" s="195"/>
      <c r="AZ287" s="195"/>
      <c r="BA287" s="195"/>
      <c r="BB287" s="195"/>
      <c r="BC287" s="195"/>
      <c r="BD287" s="195"/>
      <c r="BE287" s="195"/>
      <c r="BF287" s="195"/>
      <c r="BG287" s="195"/>
      <c r="BH287" s="195"/>
      <c r="BI287" s="195"/>
      <c r="BJ287" s="195"/>
      <c r="BK287" s="195"/>
      <c r="BL287" s="195"/>
      <c r="BM287" s="195"/>
      <c r="BN287" s="195"/>
      <c r="BO287" s="195"/>
      <c r="BP287" s="196"/>
    </row>
    <row r="288" spans="1:81" x14ac:dyDescent="0.3">
      <c r="A288" s="354"/>
      <c r="B288" s="354"/>
      <c r="C288" s="354"/>
      <c r="D288" s="359"/>
      <c r="E288" s="359"/>
      <c r="F288" s="176"/>
      <c r="G288" s="176"/>
      <c r="H288" s="176"/>
      <c r="I288" s="176"/>
      <c r="J288" s="176"/>
      <c r="K288" s="176"/>
      <c r="L288" s="197"/>
      <c r="M288" s="197"/>
      <c r="N288" s="197"/>
      <c r="O288" s="359"/>
      <c r="P288" s="359"/>
      <c r="Q288" s="359"/>
      <c r="R288" s="359"/>
      <c r="S288" s="359"/>
      <c r="T288" s="359"/>
      <c r="U288" s="359"/>
      <c r="V288" s="359"/>
      <c r="W288" s="359"/>
      <c r="X288" s="359"/>
      <c r="Y288" s="359"/>
      <c r="Z288" s="359"/>
      <c r="AA288" s="359"/>
      <c r="AB288" s="359"/>
      <c r="AC288" s="359"/>
      <c r="AD288" s="359"/>
      <c r="AE288" s="359"/>
      <c r="AF288" s="359"/>
      <c r="AG288" s="359"/>
      <c r="AH288" s="359"/>
      <c r="AI288" s="359"/>
      <c r="AJ288" s="359"/>
      <c r="AK288" s="359"/>
      <c r="AL288" s="359"/>
      <c r="AM288" s="359"/>
      <c r="AN288" s="359"/>
      <c r="AO288" s="359"/>
      <c r="AP288" s="359"/>
      <c r="AQ288" s="359"/>
      <c r="AR288" s="359"/>
      <c r="AS288" s="359"/>
      <c r="AT288" s="359"/>
      <c r="AU288" s="359"/>
      <c r="AV288" s="359"/>
      <c r="AW288" s="359"/>
      <c r="AX288" s="359"/>
      <c r="AY288" s="359"/>
      <c r="AZ288" s="359"/>
      <c r="BA288" s="359"/>
      <c r="BB288" s="359"/>
      <c r="BC288" s="359"/>
      <c r="BD288" s="359"/>
      <c r="BE288" s="359"/>
      <c r="BF288" s="359"/>
      <c r="BG288" s="359"/>
      <c r="BH288" s="359"/>
      <c r="BI288" s="359"/>
      <c r="BJ288" s="359"/>
      <c r="BK288" s="359"/>
      <c r="BL288" s="359"/>
      <c r="BM288" s="359"/>
      <c r="BN288" s="359"/>
      <c r="BO288" s="359"/>
      <c r="BP288" s="103"/>
    </row>
    <row r="289" spans="1:68" ht="25.8" x14ac:dyDescent="0.3">
      <c r="A289" s="354"/>
      <c r="B289" s="354"/>
      <c r="C289" s="354"/>
      <c r="D289" s="359"/>
      <c r="E289" s="104"/>
      <c r="F289" s="104" t="s">
        <v>598</v>
      </c>
      <c r="G289" s="104"/>
      <c r="H289" s="103"/>
      <c r="I289" s="103"/>
      <c r="J289" s="103"/>
      <c r="K289" s="103"/>
      <c r="L289" s="359"/>
      <c r="M289" s="359"/>
      <c r="N289" s="359"/>
      <c r="O289" s="359"/>
      <c r="P289" s="359"/>
      <c r="Q289" s="359"/>
      <c r="R289" s="359"/>
      <c r="S289" s="359"/>
      <c r="T289" s="359"/>
      <c r="U289" s="359"/>
      <c r="V289" s="359"/>
      <c r="W289" s="359"/>
      <c r="X289" s="359"/>
      <c r="Y289" s="359"/>
      <c r="Z289" s="359"/>
      <c r="AA289" s="359"/>
      <c r="AB289" s="359"/>
      <c r="AC289" s="359"/>
      <c r="AD289" s="359"/>
      <c r="AE289" s="359"/>
      <c r="AF289" s="359"/>
      <c r="AG289" s="359"/>
      <c r="AH289" s="359"/>
      <c r="AI289" s="359"/>
      <c r="AJ289" s="359"/>
      <c r="AK289" s="359"/>
      <c r="AL289" s="359"/>
      <c r="AM289" s="359"/>
      <c r="AN289" s="359"/>
      <c r="AO289" s="359"/>
      <c r="AP289" s="359"/>
      <c r="AQ289" s="359"/>
      <c r="AR289" s="359"/>
      <c r="AS289" s="359"/>
      <c r="AT289" s="359"/>
      <c r="AU289" s="359"/>
      <c r="AV289" s="359"/>
      <c r="AW289" s="359"/>
      <c r="AX289" s="359"/>
      <c r="AY289" s="359"/>
      <c r="AZ289" s="359"/>
      <c r="BA289" s="359"/>
      <c r="BB289" s="359"/>
      <c r="BC289" s="359"/>
      <c r="BD289" s="359"/>
      <c r="BE289" s="359"/>
      <c r="BF289" s="359"/>
      <c r="BG289" s="359"/>
      <c r="BH289" s="359"/>
      <c r="BI289" s="359"/>
      <c r="BJ289" s="359"/>
      <c r="BK289" s="359"/>
      <c r="BL289" s="359"/>
      <c r="BM289" s="359"/>
      <c r="BN289" s="359"/>
      <c r="BO289" s="359"/>
      <c r="BP289" s="103"/>
    </row>
    <row r="290" spans="1:68" ht="15" thickBot="1" x14ac:dyDescent="0.35">
      <c r="A290" s="354"/>
      <c r="B290" s="354"/>
      <c r="C290" s="354"/>
      <c r="D290" s="359"/>
      <c r="E290" s="359"/>
      <c r="F290" s="103"/>
      <c r="G290" s="103"/>
      <c r="H290" s="103"/>
      <c r="I290" s="103"/>
      <c r="J290" s="103"/>
      <c r="K290" s="103"/>
      <c r="L290" s="359"/>
      <c r="M290" s="359"/>
      <c r="N290" s="359"/>
      <c r="O290" s="359"/>
      <c r="P290" s="359"/>
      <c r="Q290" s="359"/>
      <c r="R290" s="359"/>
      <c r="S290" s="359"/>
      <c r="T290" s="359"/>
      <c r="U290" s="359"/>
      <c r="V290" s="359"/>
      <c r="W290" s="359"/>
      <c r="X290" s="359"/>
      <c r="Y290" s="359"/>
      <c r="Z290" s="359"/>
      <c r="AA290" s="359"/>
      <c r="AB290" s="359"/>
      <c r="AC290" s="359"/>
      <c r="AD290" s="359"/>
      <c r="AE290" s="359"/>
      <c r="AF290" s="359"/>
      <c r="AG290" s="359"/>
      <c r="AH290" s="359"/>
      <c r="AI290" s="359"/>
      <c r="AJ290" s="359"/>
      <c r="AK290" s="359"/>
      <c r="AL290" s="359"/>
      <c r="AM290" s="359"/>
      <c r="AN290" s="359"/>
      <c r="AO290" s="359"/>
      <c r="AP290" s="359"/>
      <c r="AQ290" s="359"/>
      <c r="AR290" s="359"/>
      <c r="AS290" s="359"/>
      <c r="AT290" s="359"/>
      <c r="AU290" s="359"/>
      <c r="AV290" s="359"/>
      <c r="AW290" s="359"/>
      <c r="AX290" s="359"/>
      <c r="AY290" s="359"/>
      <c r="AZ290" s="359"/>
      <c r="BA290" s="359"/>
      <c r="BB290" s="359"/>
      <c r="BC290" s="359"/>
      <c r="BD290" s="359"/>
      <c r="BE290" s="359"/>
      <c r="BF290" s="359"/>
      <c r="BG290" s="359"/>
      <c r="BH290" s="359"/>
      <c r="BI290" s="359"/>
      <c r="BJ290" s="359"/>
      <c r="BK290" s="359"/>
      <c r="BL290" s="359"/>
      <c r="BM290" s="359"/>
      <c r="BN290" s="359"/>
      <c r="BO290" s="359"/>
      <c r="BP290" s="103"/>
    </row>
    <row r="291" spans="1:68" x14ac:dyDescent="0.3">
      <c r="A291" s="354"/>
      <c r="B291" s="354"/>
      <c r="C291" s="354"/>
      <c r="D291" s="359"/>
      <c r="E291" s="162"/>
      <c r="F291" s="163"/>
      <c r="G291" s="163"/>
      <c r="H291" s="163"/>
      <c r="I291" s="163"/>
      <c r="J291" s="163"/>
      <c r="K291" s="163"/>
      <c r="L291" s="164"/>
      <c r="M291" s="164"/>
      <c r="N291" s="164"/>
      <c r="O291" s="164"/>
      <c r="P291" s="164"/>
      <c r="Q291" s="164"/>
      <c r="R291" s="164"/>
      <c r="S291" s="164"/>
      <c r="T291" s="164"/>
      <c r="U291" s="164"/>
      <c r="V291" s="164"/>
      <c r="W291" s="164"/>
      <c r="X291" s="164"/>
      <c r="Y291" s="164"/>
      <c r="Z291" s="164"/>
      <c r="AA291" s="164"/>
      <c r="AB291" s="164"/>
      <c r="AC291" s="164"/>
      <c r="AD291" s="164"/>
      <c r="AE291" s="164"/>
      <c r="AF291" s="164"/>
      <c r="AG291" s="164"/>
      <c r="AH291" s="164"/>
      <c r="AI291" s="164"/>
      <c r="AJ291" s="164"/>
      <c r="AK291" s="164"/>
      <c r="AL291" s="164"/>
      <c r="AM291" s="164"/>
      <c r="AN291" s="164"/>
      <c r="AO291" s="164"/>
      <c r="AP291" s="164"/>
      <c r="AQ291" s="164"/>
      <c r="AR291" s="164"/>
      <c r="AS291" s="164"/>
      <c r="AT291" s="164"/>
      <c r="AU291" s="164"/>
      <c r="AV291" s="164"/>
      <c r="AW291" s="164"/>
      <c r="AX291" s="164"/>
      <c r="AY291" s="164"/>
      <c r="AZ291" s="164"/>
      <c r="BA291" s="164"/>
      <c r="BB291" s="164"/>
      <c r="BC291" s="164"/>
      <c r="BD291" s="164"/>
      <c r="BE291" s="164"/>
      <c r="BF291" s="164"/>
      <c r="BG291" s="164"/>
      <c r="BH291" s="164"/>
      <c r="BI291" s="164"/>
      <c r="BJ291" s="164"/>
      <c r="BK291" s="164"/>
      <c r="BL291" s="164"/>
      <c r="BM291" s="164"/>
      <c r="BN291" s="164"/>
      <c r="BO291" s="164"/>
      <c r="BP291" s="165"/>
    </row>
    <row r="292" spans="1:68" ht="15.6" x14ac:dyDescent="0.3">
      <c r="A292" s="354"/>
      <c r="B292" s="354"/>
      <c r="C292" s="354"/>
      <c r="D292" s="359"/>
      <c r="E292" s="166"/>
      <c r="F292" s="167" t="s">
        <v>599</v>
      </c>
      <c r="G292" s="168"/>
      <c r="H292" s="168"/>
      <c r="I292" s="168"/>
      <c r="J292" s="168"/>
      <c r="K292" s="168"/>
      <c r="L292" s="169"/>
      <c r="M292" s="170"/>
      <c r="N292" s="170"/>
      <c r="O292" s="170"/>
      <c r="P292" s="170"/>
      <c r="Q292" s="170"/>
      <c r="R292" s="170"/>
      <c r="S292" s="170"/>
      <c r="T292" s="170"/>
      <c r="U292" s="170"/>
      <c r="V292" s="170"/>
      <c r="W292" s="170"/>
      <c r="X292" s="170"/>
      <c r="Y292" s="170"/>
      <c r="Z292" s="170"/>
      <c r="AA292" s="170"/>
      <c r="AB292" s="170"/>
      <c r="AC292" s="170"/>
      <c r="AD292" s="170"/>
      <c r="AE292" s="170"/>
      <c r="AF292" s="170"/>
      <c r="AG292" s="170"/>
      <c r="AH292" s="170"/>
      <c r="AI292" s="170"/>
      <c r="AJ292" s="170"/>
      <c r="AK292" s="170"/>
      <c r="AL292" s="170"/>
      <c r="AM292" s="170"/>
      <c r="AN292" s="170"/>
      <c r="AO292" s="170"/>
      <c r="AP292" s="170"/>
      <c r="AQ292" s="170"/>
      <c r="AR292" s="170"/>
      <c r="AS292" s="170"/>
      <c r="AT292" s="170"/>
      <c r="AU292" s="170"/>
      <c r="AV292" s="170"/>
      <c r="AW292" s="170"/>
      <c r="AX292" s="170"/>
      <c r="AY292" s="170"/>
      <c r="AZ292" s="170"/>
      <c r="BA292" s="170"/>
      <c r="BB292" s="170"/>
      <c r="BC292" s="170"/>
      <c r="BD292" s="170"/>
      <c r="BE292" s="170"/>
      <c r="BF292" s="170"/>
      <c r="BG292" s="170"/>
      <c r="BH292" s="170"/>
      <c r="BI292" s="170"/>
      <c r="BJ292" s="170"/>
      <c r="BK292" s="170"/>
      <c r="BL292" s="170"/>
      <c r="BM292" s="170"/>
      <c r="BN292" s="170"/>
      <c r="BO292" s="170"/>
      <c r="BP292" s="171"/>
    </row>
    <row r="293" spans="1:68" ht="15.6" x14ac:dyDescent="0.3">
      <c r="A293" s="354"/>
      <c r="B293" s="354"/>
      <c r="C293" s="354"/>
      <c r="D293" s="359"/>
      <c r="E293" s="166"/>
      <c r="F293" s="173" t="s">
        <v>600</v>
      </c>
      <c r="G293" s="168"/>
      <c r="H293" s="168"/>
      <c r="I293" s="168"/>
      <c r="J293" s="168"/>
      <c r="K293" s="168"/>
      <c r="L293" s="169"/>
      <c r="M293" s="170"/>
      <c r="N293" s="170"/>
      <c r="O293" s="170"/>
      <c r="P293" s="170"/>
      <c r="Q293" s="170"/>
      <c r="R293" s="170"/>
      <c r="S293" s="170"/>
      <c r="T293" s="170"/>
      <c r="U293" s="170"/>
      <c r="V293" s="170"/>
      <c r="W293" s="170"/>
      <c r="X293" s="170"/>
      <c r="Y293" s="170"/>
      <c r="Z293" s="170"/>
      <c r="AA293" s="170"/>
      <c r="AB293" s="170"/>
      <c r="AC293" s="170"/>
      <c r="AD293" s="170"/>
      <c r="AE293" s="170"/>
      <c r="AF293" s="170"/>
      <c r="AG293" s="170"/>
      <c r="AH293" s="170"/>
      <c r="AI293" s="170"/>
      <c r="AJ293" s="170"/>
      <c r="AK293" s="170"/>
      <c r="AL293" s="170"/>
      <c r="AM293" s="170"/>
      <c r="AN293" s="170"/>
      <c r="AO293" s="170"/>
      <c r="AP293" s="170"/>
      <c r="AQ293" s="170"/>
      <c r="AR293" s="170"/>
      <c r="AS293" s="170"/>
      <c r="AT293" s="170"/>
      <c r="AU293" s="170"/>
      <c r="AV293" s="170"/>
      <c r="AW293" s="170"/>
      <c r="AX293" s="170"/>
      <c r="AY293" s="170"/>
      <c r="AZ293" s="170"/>
      <c r="BA293" s="170"/>
      <c r="BB293" s="170"/>
      <c r="BC293" s="170"/>
      <c r="BD293" s="170"/>
      <c r="BE293" s="170"/>
      <c r="BF293" s="170"/>
      <c r="BG293" s="170"/>
      <c r="BH293" s="170"/>
      <c r="BI293" s="170"/>
      <c r="BJ293" s="170"/>
      <c r="BK293" s="170"/>
      <c r="BL293" s="170"/>
      <c r="BM293" s="170"/>
      <c r="BN293" s="170"/>
      <c r="BO293" s="170"/>
      <c r="BP293" s="171"/>
    </row>
    <row r="294" spans="1:68" x14ac:dyDescent="0.3">
      <c r="A294" s="354" t="s">
        <v>601</v>
      </c>
      <c r="B294" s="354"/>
      <c r="C294" s="354"/>
      <c r="D294" s="359"/>
      <c r="E294" s="172"/>
      <c r="F294" s="174" t="s">
        <v>602</v>
      </c>
      <c r="G294" s="189">
        <v>0.26</v>
      </c>
      <c r="H294" s="189">
        <v>0.26800000000000002</v>
      </c>
      <c r="I294" s="189">
        <v>0.26500000000000001</v>
      </c>
      <c r="J294" s="189">
        <v>0.26050000000000001</v>
      </c>
      <c r="K294" s="189">
        <v>0.23157</v>
      </c>
      <c r="L294" s="190">
        <v>0.21478800000000001</v>
      </c>
      <c r="M294" s="190">
        <v>0.21424799999999999</v>
      </c>
      <c r="N294" s="190">
        <v>0.21926599999999999</v>
      </c>
      <c r="O294" s="190">
        <v>0.213424</v>
      </c>
      <c r="P294" s="190">
        <v>0.228878</v>
      </c>
      <c r="Q294" s="190">
        <v>0.23342499999999999</v>
      </c>
      <c r="R294" s="198">
        <f t="shared" ref="R294:BO294" si="233">R301*R254*0.28/1000000</f>
        <v>0.24539855620000003</v>
      </c>
      <c r="S294" s="198">
        <f t="shared" si="233"/>
        <v>0.25042858552347097</v>
      </c>
      <c r="T294" s="198">
        <f t="shared" si="233"/>
        <v>0.25372217602768543</v>
      </c>
      <c r="U294" s="198">
        <f t="shared" si="233"/>
        <v>0.25703901416275537</v>
      </c>
      <c r="V294" s="198">
        <f t="shared" si="233"/>
        <v>0.2603262956175687</v>
      </c>
      <c r="W294" s="198">
        <f t="shared" si="233"/>
        <v>0.26358037948512436</v>
      </c>
      <c r="X294" s="198">
        <f t="shared" si="233"/>
        <v>0.2668000320958348</v>
      </c>
      <c r="Y294" s="198">
        <f t="shared" si="233"/>
        <v>0.26998295971077058</v>
      </c>
      <c r="Z294" s="198">
        <f t="shared" si="233"/>
        <v>0.27312869256522959</v>
      </c>
      <c r="AA294" s="198">
        <f t="shared" si="233"/>
        <v>0.27623373536935036</v>
      </c>
      <c r="AB294" s="198">
        <f t="shared" si="233"/>
        <v>0.2792964305133917</v>
      </c>
      <c r="AC294" s="198">
        <f t="shared" si="233"/>
        <v>0.28231464484590224</v>
      </c>
      <c r="AD294" s="198">
        <f t="shared" si="233"/>
        <v>0.28528590867572179</v>
      </c>
      <c r="AE294" s="198">
        <f t="shared" si="233"/>
        <v>0.28820899204539635</v>
      </c>
      <c r="AF294" s="198">
        <f t="shared" si="233"/>
        <v>0.29108177086050041</v>
      </c>
      <c r="AG294" s="198">
        <f t="shared" si="233"/>
        <v>0.29390298469508352</v>
      </c>
      <c r="AH294" s="198">
        <f t="shared" si="233"/>
        <v>0.29667024125307023</v>
      </c>
      <c r="AI294" s="198">
        <f t="shared" si="233"/>
        <v>0.29938257060616236</v>
      </c>
      <c r="AJ294" s="198">
        <f t="shared" si="233"/>
        <v>0.30203819196848669</v>
      </c>
      <c r="AK294" s="198">
        <f t="shared" si="233"/>
        <v>0.30463585395661813</v>
      </c>
      <c r="AL294" s="198">
        <f t="shared" si="233"/>
        <v>0.30717519843087071</v>
      </c>
      <c r="AM294" s="198">
        <f t="shared" si="233"/>
        <v>0.30965533591184086</v>
      </c>
      <c r="AN294" s="198">
        <f t="shared" si="233"/>
        <v>0.31207473320136353</v>
      </c>
      <c r="AO294" s="198">
        <f t="shared" si="233"/>
        <v>0.31443304427928903</v>
      </c>
      <c r="AP294" s="198">
        <f t="shared" si="233"/>
        <v>0.31672873420448966</v>
      </c>
      <c r="AQ294" s="198">
        <f t="shared" si="233"/>
        <v>0.31896138577085437</v>
      </c>
      <c r="AR294" s="198">
        <f t="shared" si="233"/>
        <v>0.32113130894443581</v>
      </c>
      <c r="AS294" s="198">
        <f t="shared" si="233"/>
        <v>0.32323665905876225</v>
      </c>
      <c r="AT294" s="198">
        <f t="shared" si="233"/>
        <v>0.32527794126270915</v>
      </c>
      <c r="AU294" s="198">
        <f t="shared" si="233"/>
        <v>0.32725580114560493</v>
      </c>
      <c r="AV294" s="198">
        <f t="shared" si="233"/>
        <v>0.32916891015021421</v>
      </c>
      <c r="AW294" s="198">
        <f t="shared" si="233"/>
        <v>0.33101597690300655</v>
      </c>
      <c r="AX294" s="198">
        <f t="shared" si="233"/>
        <v>0.33279574866083567</v>
      </c>
      <c r="AY294" s="198">
        <f t="shared" si="233"/>
        <v>0.33450701272143779</v>
      </c>
      <c r="AZ294" s="198">
        <f t="shared" si="233"/>
        <v>0.33614859779553724</v>
      </c>
      <c r="BA294" s="198">
        <f t="shared" si="233"/>
        <v>0.33771937533839286</v>
      </c>
      <c r="BB294" s="198">
        <f t="shared" si="233"/>
        <v>0.33921826083867435</v>
      </c>
      <c r="BC294" s="198">
        <f t="shared" si="233"/>
        <v>0.34064421506261539</v>
      </c>
      <c r="BD294" s="198">
        <f t="shared" si="233"/>
        <v>0.34199624525145056</v>
      </c>
      <c r="BE294" s="198">
        <f t="shared" si="233"/>
        <v>0.34327340627021141</v>
      </c>
      <c r="BF294" s="198">
        <f t="shared" si="233"/>
        <v>0.34447480170602551</v>
      </c>
      <c r="BG294" s="198">
        <f t="shared" si="233"/>
        <v>0.34559958491413612</v>
      </c>
      <c r="BH294" s="198">
        <f t="shared" si="233"/>
        <v>0.34664696000993866</v>
      </c>
      <c r="BI294" s="198">
        <f t="shared" si="233"/>
        <v>0.34761618280541029</v>
      </c>
      <c r="BJ294" s="198">
        <f t="shared" si="233"/>
        <v>0.34850656168839339</v>
      </c>
      <c r="BK294" s="198">
        <f t="shared" si="233"/>
        <v>0.34931745844328338</v>
      </c>
      <c r="BL294" s="198">
        <f t="shared" si="233"/>
        <v>0.35004828901175833</v>
      </c>
      <c r="BM294" s="198">
        <f t="shared" si="233"/>
        <v>0.35069852419228537</v>
      </c>
      <c r="BN294" s="198">
        <f t="shared" si="233"/>
        <v>0.35126769027723326</v>
      </c>
      <c r="BO294" s="198">
        <f t="shared" si="233"/>
        <v>0.35175536962652032</v>
      </c>
      <c r="BP294" s="171"/>
    </row>
    <row r="295" spans="1:68" x14ac:dyDescent="0.3">
      <c r="A295" s="354"/>
      <c r="B295" s="354"/>
      <c r="C295" s="354"/>
      <c r="D295" s="359"/>
      <c r="E295" s="172"/>
      <c r="F295" s="174" t="s">
        <v>603</v>
      </c>
      <c r="G295" s="174">
        <v>2.1485539999999999</v>
      </c>
      <c r="H295" s="174">
        <v>2.3991289999999998</v>
      </c>
      <c r="I295" s="174">
        <v>2.1356130000000002</v>
      </c>
      <c r="J295" s="174">
        <v>2.3566379999999998</v>
      </c>
      <c r="K295" s="174">
        <v>2.0661049999999999</v>
      </c>
      <c r="L295" s="170">
        <v>1.85</v>
      </c>
      <c r="M295" s="170">
        <v>1.9</v>
      </c>
      <c r="N295" s="170">
        <v>1.85</v>
      </c>
      <c r="O295" s="170">
        <v>1.8666670000000001</v>
      </c>
      <c r="P295" s="170">
        <v>1.851925</v>
      </c>
      <c r="Q295" s="170">
        <v>1.7874890000000001</v>
      </c>
      <c r="R295" s="198">
        <f t="shared" ref="R295:BO295" si="234">R302*R255*0.95/1000000</f>
        <v>1.9764750003367035</v>
      </c>
      <c r="S295" s="198">
        <f t="shared" si="234"/>
        <v>2.0058040270839923</v>
      </c>
      <c r="T295" s="198">
        <f t="shared" si="234"/>
        <v>2.036417707837078</v>
      </c>
      <c r="U295" s="198">
        <f t="shared" si="234"/>
        <v>2.0668976788171856</v>
      </c>
      <c r="V295" s="198">
        <f t="shared" si="234"/>
        <v>2.0972374871907458</v>
      </c>
      <c r="W295" s="198">
        <f t="shared" si="234"/>
        <v>2.1274063554038354</v>
      </c>
      <c r="X295" s="198">
        <f t="shared" si="234"/>
        <v>2.1573927540686144</v>
      </c>
      <c r="Y295" s="198">
        <f t="shared" si="234"/>
        <v>2.1871764933419917</v>
      </c>
      <c r="Z295" s="198">
        <f t="shared" si="234"/>
        <v>2.2167520509178025</v>
      </c>
      <c r="AA295" s="198">
        <f t="shared" si="234"/>
        <v>2.2460892768719405</v>
      </c>
      <c r="AB295" s="198">
        <f t="shared" si="234"/>
        <v>2.2751727833565778</v>
      </c>
      <c r="AC295" s="198">
        <f t="shared" si="234"/>
        <v>2.3039832039733699</v>
      </c>
      <c r="AD295" s="198">
        <f t="shared" si="234"/>
        <v>2.3324982947968911</v>
      </c>
      <c r="AE295" s="198">
        <f t="shared" si="234"/>
        <v>2.3607058205299705</v>
      </c>
      <c r="AF295" s="198">
        <f t="shared" si="234"/>
        <v>2.3885861369632861</v>
      </c>
      <c r="AG295" s="198">
        <f t="shared" si="234"/>
        <v>2.4161265748942244</v>
      </c>
      <c r="AH295" s="198">
        <f t="shared" si="234"/>
        <v>2.4433050699524497</v>
      </c>
      <c r="AI295" s="198">
        <f t="shared" si="234"/>
        <v>2.4701111524271102</v>
      </c>
      <c r="AJ295" s="198">
        <f t="shared" si="234"/>
        <v>2.4965275945533616</v>
      </c>
      <c r="AK295" s="198">
        <f t="shared" si="234"/>
        <v>2.5225414481561979</v>
      </c>
      <c r="AL295" s="198">
        <f t="shared" si="234"/>
        <v>2.5481471024294686</v>
      </c>
      <c r="AM295" s="198">
        <f t="shared" si="234"/>
        <v>2.5733345118118565</v>
      </c>
      <c r="AN295" s="198">
        <f t="shared" si="234"/>
        <v>2.5980882208610567</v>
      </c>
      <c r="AO295" s="198">
        <f t="shared" si="234"/>
        <v>2.6224025862512392</v>
      </c>
      <c r="AP295" s="198">
        <f t="shared" si="234"/>
        <v>2.6462620129377603</v>
      </c>
      <c r="AQ295" s="198">
        <f t="shared" si="234"/>
        <v>2.6696601721264006</v>
      </c>
      <c r="AR295" s="198">
        <f t="shared" si="234"/>
        <v>2.6925968096990918</v>
      </c>
      <c r="AS295" s="198">
        <f t="shared" si="234"/>
        <v>2.7150535943124328</v>
      </c>
      <c r="AT295" s="198">
        <f t="shared" si="234"/>
        <v>2.7370318597378556</v>
      </c>
      <c r="AU295" s="198">
        <f t="shared" si="234"/>
        <v>2.7585341559828103</v>
      </c>
      <c r="AV295" s="198">
        <f t="shared" si="234"/>
        <v>2.7795464038242477</v>
      </c>
      <c r="AW295" s="198">
        <f t="shared" si="234"/>
        <v>2.800054762094291</v>
      </c>
      <c r="AX295" s="198">
        <f t="shared" si="234"/>
        <v>2.8200456427757161</v>
      </c>
      <c r="AY295" s="198">
        <f t="shared" si="234"/>
        <v>2.8395057259154801</v>
      </c>
      <c r="AZ295" s="198">
        <f t="shared" si="234"/>
        <v>2.8584219743335351</v>
      </c>
      <c r="BA295" s="198">
        <f t="shared" si="234"/>
        <v>2.8767816481043225</v>
      </c>
      <c r="BB295" s="198">
        <f t="shared" si="234"/>
        <v>2.8945723187885726</v>
      </c>
      <c r="BC295" s="198">
        <f t="shared" si="234"/>
        <v>2.9117818833932447</v>
      </c>
      <c r="BD295" s="198">
        <f t="shared" si="234"/>
        <v>2.9283985780377795</v>
      </c>
      <c r="BE295" s="198">
        <f t="shared" si="234"/>
        <v>2.9444109913051486</v>
      </c>
      <c r="BF295" s="198">
        <f t="shared" si="234"/>
        <v>2.9598080772565796</v>
      </c>
      <c r="BG295" s="198">
        <f t="shared" si="234"/>
        <v>2.9745791680892411</v>
      </c>
      <c r="BH295" s="198">
        <f t="shared" si="234"/>
        <v>2.9887139864166796</v>
      </c>
      <c r="BI295" s="198">
        <f t="shared" si="234"/>
        <v>3.0022026571522482</v>
      </c>
      <c r="BJ295" s="198">
        <f t="shared" si="234"/>
        <v>3.0150357189763746</v>
      </c>
      <c r="BK295" s="198">
        <f t="shared" si="234"/>
        <v>3.027204135369074</v>
      </c>
      <c r="BL295" s="198">
        <f t="shared" si="234"/>
        <v>3.0386993051897337</v>
      </c>
      <c r="BM295" s="198">
        <f t="shared" si="234"/>
        <v>3.0495130727868833</v>
      </c>
      <c r="BN295" s="198">
        <f t="shared" si="234"/>
        <v>3.0596377376213435</v>
      </c>
      <c r="BO295" s="198">
        <f t="shared" si="234"/>
        <v>3.0690660633869093</v>
      </c>
      <c r="BP295" s="171"/>
    </row>
    <row r="296" spans="1:68" x14ac:dyDescent="0.3">
      <c r="A296" s="354"/>
      <c r="B296" s="354"/>
      <c r="C296" s="354"/>
      <c r="D296" s="359"/>
      <c r="E296" s="172"/>
      <c r="F296" s="199"/>
      <c r="G296" s="199"/>
      <c r="H296" s="199"/>
      <c r="I296" s="199"/>
      <c r="J296" s="199"/>
      <c r="K296" s="199"/>
      <c r="L296" s="200"/>
      <c r="M296" s="200"/>
      <c r="N296" s="200"/>
      <c r="O296" s="201"/>
      <c r="P296" s="201"/>
      <c r="Q296" s="201"/>
      <c r="R296" s="201"/>
      <c r="S296" s="201"/>
      <c r="T296" s="201"/>
      <c r="U296" s="201"/>
      <c r="V296" s="201"/>
      <c r="W296" s="201"/>
      <c r="X296" s="201"/>
      <c r="Y296" s="201"/>
      <c r="Z296" s="201"/>
      <c r="AA296" s="201"/>
      <c r="AB296" s="201"/>
      <c r="AC296" s="201"/>
      <c r="AD296" s="201"/>
      <c r="AE296" s="201"/>
      <c r="AF296" s="201"/>
      <c r="AG296" s="201"/>
      <c r="AH296" s="201"/>
      <c r="AI296" s="201"/>
      <c r="AJ296" s="201"/>
      <c r="AK296" s="201"/>
      <c r="AL296" s="201"/>
      <c r="AM296" s="201"/>
      <c r="AN296" s="201"/>
      <c r="AO296" s="201"/>
      <c r="AP296" s="201"/>
      <c r="AQ296" s="201"/>
      <c r="AR296" s="201"/>
      <c r="AS296" s="201"/>
      <c r="AT296" s="201"/>
      <c r="AU296" s="201"/>
      <c r="AV296" s="201"/>
      <c r="AW296" s="201"/>
      <c r="AX296" s="201"/>
      <c r="AY296" s="201"/>
      <c r="AZ296" s="201"/>
      <c r="BA296" s="201"/>
      <c r="BB296" s="201"/>
      <c r="BC296" s="201"/>
      <c r="BD296" s="201"/>
      <c r="BE296" s="201"/>
      <c r="BF296" s="201"/>
      <c r="BG296" s="201"/>
      <c r="BH296" s="201"/>
      <c r="BI296" s="201"/>
      <c r="BJ296" s="201"/>
      <c r="BK296" s="201"/>
      <c r="BL296" s="201"/>
      <c r="BM296" s="201"/>
      <c r="BN296" s="201"/>
      <c r="BO296" s="201"/>
      <c r="BP296" s="171"/>
    </row>
    <row r="297" spans="1:68" ht="15.6" x14ac:dyDescent="0.3">
      <c r="A297" s="354"/>
      <c r="B297" s="354"/>
      <c r="C297" s="354"/>
      <c r="D297" s="359"/>
      <c r="E297" s="172"/>
      <c r="F297" s="167" t="s">
        <v>604</v>
      </c>
      <c r="G297" s="168"/>
      <c r="H297" s="168"/>
      <c r="I297" s="168"/>
      <c r="J297" s="168"/>
      <c r="K297" s="168"/>
      <c r="L297" s="169"/>
      <c r="M297" s="170"/>
      <c r="N297" s="170"/>
      <c r="O297" s="170"/>
      <c r="P297" s="170"/>
      <c r="Q297" s="170"/>
      <c r="R297" s="170"/>
      <c r="S297" s="170"/>
      <c r="T297" s="170"/>
      <c r="U297" s="170"/>
      <c r="V297" s="170"/>
      <c r="W297" s="170"/>
      <c r="X297" s="170"/>
      <c r="Y297" s="170"/>
      <c r="Z297" s="170"/>
      <c r="AA297" s="170"/>
      <c r="AB297" s="170"/>
      <c r="AC297" s="170"/>
      <c r="AD297" s="170"/>
      <c r="AE297" s="170"/>
      <c r="AF297" s="170"/>
      <c r="AG297" s="170"/>
      <c r="AH297" s="170"/>
      <c r="AI297" s="170"/>
      <c r="AJ297" s="170"/>
      <c r="AK297" s="170"/>
      <c r="AL297" s="170"/>
      <c r="AM297" s="170"/>
      <c r="AN297" s="170"/>
      <c r="AO297" s="170"/>
      <c r="AP297" s="170"/>
      <c r="AQ297" s="170"/>
      <c r="AR297" s="170"/>
      <c r="AS297" s="170"/>
      <c r="AT297" s="170"/>
      <c r="AU297" s="170"/>
      <c r="AV297" s="170"/>
      <c r="AW297" s="170"/>
      <c r="AX297" s="170"/>
      <c r="AY297" s="170"/>
      <c r="AZ297" s="170"/>
      <c r="BA297" s="170"/>
      <c r="BB297" s="170"/>
      <c r="BC297" s="170"/>
      <c r="BD297" s="170"/>
      <c r="BE297" s="170"/>
      <c r="BF297" s="170"/>
      <c r="BG297" s="170"/>
      <c r="BH297" s="170"/>
      <c r="BI297" s="170"/>
      <c r="BJ297" s="170"/>
      <c r="BK297" s="170"/>
      <c r="BL297" s="170"/>
      <c r="BM297" s="170"/>
      <c r="BN297" s="170"/>
      <c r="BO297" s="170"/>
      <c r="BP297" s="171"/>
    </row>
    <row r="298" spans="1:68" ht="15.6" x14ac:dyDescent="0.3">
      <c r="A298" s="354"/>
      <c r="B298" s="354"/>
      <c r="C298" s="354"/>
      <c r="D298" s="359"/>
      <c r="E298" s="172"/>
      <c r="F298" s="173" t="s">
        <v>605</v>
      </c>
      <c r="G298" s="168"/>
      <c r="H298" s="168"/>
      <c r="I298" s="168"/>
      <c r="J298" s="168"/>
      <c r="K298" s="168"/>
      <c r="L298" s="169"/>
      <c r="M298" s="170"/>
      <c r="N298" s="170"/>
      <c r="O298" s="170"/>
      <c r="P298" s="170"/>
      <c r="Q298" s="170"/>
      <c r="R298" s="170"/>
      <c r="S298" s="170"/>
      <c r="T298" s="170"/>
      <c r="U298" s="170"/>
      <c r="V298" s="170"/>
      <c r="W298" s="170"/>
      <c r="X298" s="170"/>
      <c r="Y298" s="170"/>
      <c r="Z298" s="170"/>
      <c r="AA298" s="170"/>
      <c r="AB298" s="170"/>
      <c r="AC298" s="170"/>
      <c r="AD298" s="170"/>
      <c r="AE298" s="170"/>
      <c r="AF298" s="170"/>
      <c r="AG298" s="170"/>
      <c r="AH298" s="170"/>
      <c r="AI298" s="170"/>
      <c r="AJ298" s="170"/>
      <c r="AK298" s="170"/>
      <c r="AL298" s="170"/>
      <c r="AM298" s="170"/>
      <c r="AN298" s="170"/>
      <c r="AO298" s="170"/>
      <c r="AP298" s="170"/>
      <c r="AQ298" s="170"/>
      <c r="AR298" s="170"/>
      <c r="AS298" s="170"/>
      <c r="AT298" s="170"/>
      <c r="AU298" s="170"/>
      <c r="AV298" s="170"/>
      <c r="AW298" s="170"/>
      <c r="AX298" s="170"/>
      <c r="AY298" s="170"/>
      <c r="AZ298" s="170"/>
      <c r="BA298" s="170"/>
      <c r="BB298" s="170"/>
      <c r="BC298" s="170"/>
      <c r="BD298" s="170"/>
      <c r="BE298" s="170"/>
      <c r="BF298" s="170"/>
      <c r="BG298" s="170"/>
      <c r="BH298" s="170"/>
      <c r="BI298" s="170"/>
      <c r="BJ298" s="170"/>
      <c r="BK298" s="170"/>
      <c r="BL298" s="170"/>
      <c r="BM298" s="170"/>
      <c r="BN298" s="170"/>
      <c r="BO298" s="170"/>
      <c r="BP298" s="171"/>
    </row>
    <row r="299" spans="1:68" ht="27.6" x14ac:dyDescent="0.3">
      <c r="A299" s="352" t="s">
        <v>565</v>
      </c>
      <c r="B299" s="352"/>
      <c r="C299" s="352"/>
      <c r="D299" s="359"/>
      <c r="E299" s="172"/>
      <c r="F299" s="174" t="s">
        <v>606</v>
      </c>
      <c r="G299" s="186">
        <f>SUM(G294:G295)/G282</f>
        <v>0.48955105810577548</v>
      </c>
      <c r="H299" s="186">
        <f t="shared" ref="H299:BO299" si="235">SUM(H294:H295)/H282</f>
        <v>0.55438614213922832</v>
      </c>
      <c r="I299" s="186">
        <f t="shared" si="235"/>
        <v>0.48242647587820398</v>
      </c>
      <c r="J299" s="186">
        <f t="shared" si="235"/>
        <v>0.53954043556779663</v>
      </c>
      <c r="K299" s="186">
        <f t="shared" si="235"/>
        <v>0.74411875198362565</v>
      </c>
      <c r="L299" s="186">
        <f t="shared" si="235"/>
        <v>0.63763074702483069</v>
      </c>
      <c r="M299" s="186">
        <f t="shared" si="235"/>
        <v>0.68178785470012426</v>
      </c>
      <c r="N299" s="186">
        <f t="shared" si="235"/>
        <v>0.66204965853955078</v>
      </c>
      <c r="O299" s="186">
        <f t="shared" si="235"/>
        <v>0.67222987963410319</v>
      </c>
      <c r="P299" s="186">
        <f t="shared" si="235"/>
        <v>0.71718762763512134</v>
      </c>
      <c r="Q299" s="186">
        <f t="shared" si="235"/>
        <v>0.69468343465280691</v>
      </c>
      <c r="R299" s="186">
        <f t="shared" si="235"/>
        <v>0.73506497739983379</v>
      </c>
      <c r="S299" s="186">
        <f t="shared" si="235"/>
        <v>0.73653065161457665</v>
      </c>
      <c r="T299" s="186">
        <f t="shared" si="235"/>
        <v>0.73789477675954196</v>
      </c>
      <c r="U299" s="186">
        <f t="shared" si="235"/>
        <v>0.73927593327576369</v>
      </c>
      <c r="V299" s="186">
        <f t="shared" si="235"/>
        <v>0.74065708979198552</v>
      </c>
      <c r="W299" s="186">
        <f t="shared" si="235"/>
        <v>0.74203824630820714</v>
      </c>
      <c r="X299" s="186">
        <f t="shared" si="235"/>
        <v>0.74341940282442909</v>
      </c>
      <c r="Y299" s="186">
        <f t="shared" si="235"/>
        <v>0.74480055934065093</v>
      </c>
      <c r="Z299" s="186">
        <f t="shared" si="235"/>
        <v>0.74618171585687243</v>
      </c>
      <c r="AA299" s="186">
        <f t="shared" si="235"/>
        <v>0.74756287237309438</v>
      </c>
      <c r="AB299" s="186">
        <f t="shared" si="235"/>
        <v>0.74894402888931599</v>
      </c>
      <c r="AC299" s="186">
        <f t="shared" si="235"/>
        <v>0.75032518540553794</v>
      </c>
      <c r="AD299" s="186">
        <f t="shared" si="235"/>
        <v>0.75170634192175967</v>
      </c>
      <c r="AE299" s="186">
        <f t="shared" si="235"/>
        <v>0.7530874984379814</v>
      </c>
      <c r="AF299" s="186">
        <f t="shared" si="235"/>
        <v>0.75446865495420334</v>
      </c>
      <c r="AG299" s="186">
        <f t="shared" si="235"/>
        <v>0.75584981147042496</v>
      </c>
      <c r="AH299" s="186">
        <f t="shared" si="235"/>
        <v>0.75723096798664657</v>
      </c>
      <c r="AI299" s="186">
        <f t="shared" si="235"/>
        <v>0.7586121245028683</v>
      </c>
      <c r="AJ299" s="186">
        <f t="shared" si="235"/>
        <v>0.75999328101909014</v>
      </c>
      <c r="AK299" s="186">
        <f t="shared" si="235"/>
        <v>0.76137443753531175</v>
      </c>
      <c r="AL299" s="186">
        <f t="shared" si="235"/>
        <v>0.76275559405153359</v>
      </c>
      <c r="AM299" s="186">
        <f t="shared" si="235"/>
        <v>0.76413675056775543</v>
      </c>
      <c r="AN299" s="186">
        <f t="shared" si="235"/>
        <v>0.76551790708397716</v>
      </c>
      <c r="AO299" s="186">
        <f t="shared" si="235"/>
        <v>0.76689906360019888</v>
      </c>
      <c r="AP299" s="186">
        <f t="shared" si="235"/>
        <v>0.76828022011642061</v>
      </c>
      <c r="AQ299" s="186">
        <f t="shared" si="235"/>
        <v>0.76966137663264234</v>
      </c>
      <c r="AR299" s="186">
        <f t="shared" si="235"/>
        <v>0.77104253314886428</v>
      </c>
      <c r="AS299" s="186">
        <f t="shared" si="235"/>
        <v>0.77242368966508601</v>
      </c>
      <c r="AT299" s="186">
        <f t="shared" si="235"/>
        <v>0.77380484618130763</v>
      </c>
      <c r="AU299" s="186">
        <f t="shared" si="235"/>
        <v>0.77518600269752957</v>
      </c>
      <c r="AV299" s="186">
        <f t="shared" si="235"/>
        <v>0.7765671592137513</v>
      </c>
      <c r="AW299" s="186">
        <f t="shared" si="235"/>
        <v>0.77794831572997314</v>
      </c>
      <c r="AX299" s="186">
        <f t="shared" si="235"/>
        <v>0.77932947224619498</v>
      </c>
      <c r="AY299" s="186">
        <f t="shared" si="235"/>
        <v>0.7807106287624167</v>
      </c>
      <c r="AZ299" s="186">
        <f t="shared" si="235"/>
        <v>0.78209178527863854</v>
      </c>
      <c r="BA299" s="186">
        <f t="shared" si="235"/>
        <v>0.78347294179486027</v>
      </c>
      <c r="BB299" s="186">
        <f t="shared" si="235"/>
        <v>0.78485409831108199</v>
      </c>
      <c r="BC299" s="186">
        <f t="shared" si="235"/>
        <v>0.78623525482730372</v>
      </c>
      <c r="BD299" s="186">
        <f t="shared" si="235"/>
        <v>0.78761641134352545</v>
      </c>
      <c r="BE299" s="186">
        <f t="shared" si="235"/>
        <v>0.78899756785974717</v>
      </c>
      <c r="BF299" s="186">
        <f t="shared" si="235"/>
        <v>0.79037872437596923</v>
      </c>
      <c r="BG299" s="186">
        <f t="shared" si="235"/>
        <v>0.79175988089219085</v>
      </c>
      <c r="BH299" s="186">
        <f t="shared" si="235"/>
        <v>0.79314103740841269</v>
      </c>
      <c r="BI299" s="186">
        <f t="shared" si="235"/>
        <v>0.79452219392463463</v>
      </c>
      <c r="BJ299" s="186">
        <f t="shared" si="235"/>
        <v>0.79590335044085658</v>
      </c>
      <c r="BK299" s="186">
        <f t="shared" si="235"/>
        <v>0.79728450695707809</v>
      </c>
      <c r="BL299" s="186">
        <f t="shared" si="235"/>
        <v>0.7986656634732997</v>
      </c>
      <c r="BM299" s="186">
        <f t="shared" si="235"/>
        <v>0.80004681998952165</v>
      </c>
      <c r="BN299" s="186">
        <f t="shared" si="235"/>
        <v>0.80142797650574338</v>
      </c>
      <c r="BO299" s="186">
        <f t="shared" si="235"/>
        <v>0.80280913302196522</v>
      </c>
      <c r="BP299" s="171"/>
    </row>
    <row r="300" spans="1:68" ht="15.6" x14ac:dyDescent="0.3">
      <c r="A300" s="354"/>
      <c r="B300" s="354"/>
      <c r="C300" s="354"/>
      <c r="D300" s="359"/>
      <c r="E300" s="172"/>
      <c r="F300" s="173" t="s">
        <v>607</v>
      </c>
      <c r="G300" s="168"/>
      <c r="H300" s="168"/>
      <c r="I300" s="168"/>
      <c r="J300" s="168"/>
      <c r="K300" s="168"/>
      <c r="L300" s="169"/>
      <c r="M300" s="170"/>
      <c r="N300" s="170"/>
      <c r="O300" s="170"/>
      <c r="P300" s="170"/>
      <c r="Q300" s="170"/>
      <c r="R300" s="170"/>
      <c r="S300" s="170"/>
      <c r="T300" s="170"/>
      <c r="U300" s="170"/>
      <c r="V300" s="170"/>
      <c r="W300" s="170"/>
      <c r="X300" s="170"/>
      <c r="Y300" s="170"/>
      <c r="Z300" s="170"/>
      <c r="AA300" s="170"/>
      <c r="AB300" s="170"/>
      <c r="AC300" s="170"/>
      <c r="AD300" s="170"/>
      <c r="AE300" s="170"/>
      <c r="AF300" s="170"/>
      <c r="AG300" s="170"/>
      <c r="AH300" s="170"/>
      <c r="AI300" s="170"/>
      <c r="AJ300" s="170"/>
      <c r="AK300" s="170"/>
      <c r="AL300" s="170"/>
      <c r="AM300" s="170"/>
      <c r="AN300" s="170"/>
      <c r="AO300" s="170"/>
      <c r="AP300" s="170"/>
      <c r="AQ300" s="170"/>
      <c r="AR300" s="170"/>
      <c r="AS300" s="170"/>
      <c r="AT300" s="170"/>
      <c r="AU300" s="170"/>
      <c r="AV300" s="170"/>
      <c r="AW300" s="170"/>
      <c r="AX300" s="170"/>
      <c r="AY300" s="170"/>
      <c r="AZ300" s="170"/>
      <c r="BA300" s="170"/>
      <c r="BB300" s="170"/>
      <c r="BC300" s="170"/>
      <c r="BD300" s="170"/>
      <c r="BE300" s="170"/>
      <c r="BF300" s="170"/>
      <c r="BG300" s="170"/>
      <c r="BH300" s="170"/>
      <c r="BI300" s="170"/>
      <c r="BJ300" s="170"/>
      <c r="BK300" s="170"/>
      <c r="BL300" s="170"/>
      <c r="BM300" s="170"/>
      <c r="BN300" s="170"/>
      <c r="BO300" s="170"/>
      <c r="BP300" s="171"/>
    </row>
    <row r="301" spans="1:68" x14ac:dyDescent="0.3">
      <c r="A301" s="202"/>
      <c r="B301" s="202"/>
      <c r="C301" s="202"/>
      <c r="D301" s="359"/>
      <c r="E301" s="172"/>
      <c r="F301" s="174" t="s">
        <v>608</v>
      </c>
      <c r="G301" s="203">
        <v>0.13023809607772546</v>
      </c>
      <c r="H301" s="203">
        <v>0.13160585781994544</v>
      </c>
      <c r="I301" s="203">
        <v>0.13319869374805543</v>
      </c>
      <c r="J301" s="203">
        <v>0.13352357341517668</v>
      </c>
      <c r="K301" s="203">
        <v>0.13234408213181037</v>
      </c>
      <c r="L301" s="203">
        <v>0.13735171884113129</v>
      </c>
      <c r="M301" s="203">
        <v>0.13660480790417526</v>
      </c>
      <c r="N301" s="203">
        <v>0.13769252012980548</v>
      </c>
      <c r="O301" s="204">
        <v>0.21360000000000001</v>
      </c>
      <c r="P301" s="204">
        <v>0.21529999999999999</v>
      </c>
      <c r="Q301" s="204">
        <v>0.215</v>
      </c>
      <c r="R301" s="204">
        <v>0.2155</v>
      </c>
      <c r="S301" s="204">
        <v>0.217</v>
      </c>
      <c r="T301" s="204">
        <f t="shared" ref="T301" si="236">S301</f>
        <v>0.217</v>
      </c>
      <c r="U301" s="204">
        <f>T301+$S$301*0.01/48</f>
        <v>0.21704520833333332</v>
      </c>
      <c r="V301" s="204">
        <f t="shared" ref="V301:BO301" si="237">U301+$S$301*0.01/48</f>
        <v>0.21709041666666665</v>
      </c>
      <c r="W301" s="204">
        <f t="shared" si="237"/>
        <v>0.21713562499999997</v>
      </c>
      <c r="X301" s="204">
        <f t="shared" si="237"/>
        <v>0.2171808333333333</v>
      </c>
      <c r="Y301" s="204">
        <f t="shared" si="237"/>
        <v>0.21722604166666662</v>
      </c>
      <c r="Z301" s="204">
        <f t="shared" si="237"/>
        <v>0.21727124999999994</v>
      </c>
      <c r="AA301" s="204">
        <f t="shared" si="237"/>
        <v>0.21731645833333327</v>
      </c>
      <c r="AB301" s="204">
        <f t="shared" si="237"/>
        <v>0.21736166666666659</v>
      </c>
      <c r="AC301" s="204">
        <f t="shared" si="237"/>
        <v>0.21740687499999992</v>
      </c>
      <c r="AD301" s="204">
        <f t="shared" si="237"/>
        <v>0.21745208333333324</v>
      </c>
      <c r="AE301" s="204">
        <f t="shared" si="237"/>
        <v>0.21749729166666656</v>
      </c>
      <c r="AF301" s="204">
        <f t="shared" si="237"/>
        <v>0.21754249999999989</v>
      </c>
      <c r="AG301" s="204">
        <f t="shared" si="237"/>
        <v>0.21758770833333321</v>
      </c>
      <c r="AH301" s="204">
        <f t="shared" si="237"/>
        <v>0.21763291666666654</v>
      </c>
      <c r="AI301" s="204">
        <f t="shared" si="237"/>
        <v>0.21767812499999986</v>
      </c>
      <c r="AJ301" s="204">
        <f t="shared" si="237"/>
        <v>0.21772333333333319</v>
      </c>
      <c r="AK301" s="204">
        <f t="shared" si="237"/>
        <v>0.21776854166666651</v>
      </c>
      <c r="AL301" s="204">
        <f t="shared" si="237"/>
        <v>0.21781374999999983</v>
      </c>
      <c r="AM301" s="204">
        <f t="shared" si="237"/>
        <v>0.21785895833333316</v>
      </c>
      <c r="AN301" s="204">
        <f t="shared" si="237"/>
        <v>0.21790416666666648</v>
      </c>
      <c r="AO301" s="204">
        <f t="shared" si="237"/>
        <v>0.21794937499999981</v>
      </c>
      <c r="AP301" s="204">
        <f t="shared" si="237"/>
        <v>0.21799458333333313</v>
      </c>
      <c r="AQ301" s="204">
        <f t="shared" si="237"/>
        <v>0.21803979166666645</v>
      </c>
      <c r="AR301" s="204">
        <f t="shared" si="237"/>
        <v>0.21808499999999978</v>
      </c>
      <c r="AS301" s="204">
        <f t="shared" si="237"/>
        <v>0.2181302083333331</v>
      </c>
      <c r="AT301" s="204">
        <f t="shared" si="237"/>
        <v>0.21817541666666643</v>
      </c>
      <c r="AU301" s="204">
        <f t="shared" si="237"/>
        <v>0.21822062499999975</v>
      </c>
      <c r="AV301" s="204">
        <f t="shared" si="237"/>
        <v>0.21826583333333308</v>
      </c>
      <c r="AW301" s="204">
        <f t="shared" si="237"/>
        <v>0.2183110416666664</v>
      </c>
      <c r="AX301" s="204">
        <f t="shared" si="237"/>
        <v>0.21835624999999972</v>
      </c>
      <c r="AY301" s="204">
        <f t="shared" si="237"/>
        <v>0.21840145833333305</v>
      </c>
      <c r="AZ301" s="204">
        <f t="shared" si="237"/>
        <v>0.21844666666666637</v>
      </c>
      <c r="BA301" s="204">
        <f t="shared" si="237"/>
        <v>0.2184918749999997</v>
      </c>
      <c r="BB301" s="204">
        <f t="shared" si="237"/>
        <v>0.21853708333333302</v>
      </c>
      <c r="BC301" s="204">
        <f t="shared" si="237"/>
        <v>0.21858229166666635</v>
      </c>
      <c r="BD301" s="204">
        <f t="shared" si="237"/>
        <v>0.21862749999999967</v>
      </c>
      <c r="BE301" s="204">
        <f t="shared" si="237"/>
        <v>0.21867270833333299</v>
      </c>
      <c r="BF301" s="204">
        <f t="shared" si="237"/>
        <v>0.21871791666666632</v>
      </c>
      <c r="BG301" s="204">
        <f t="shared" si="237"/>
        <v>0.21876312499999964</v>
      </c>
      <c r="BH301" s="204">
        <f t="shared" si="237"/>
        <v>0.21880833333333297</v>
      </c>
      <c r="BI301" s="204">
        <f t="shared" si="237"/>
        <v>0.21885354166666629</v>
      </c>
      <c r="BJ301" s="204">
        <f t="shared" si="237"/>
        <v>0.21889874999999961</v>
      </c>
      <c r="BK301" s="204">
        <f t="shared" si="237"/>
        <v>0.21894395833333294</v>
      </c>
      <c r="BL301" s="204">
        <f t="shared" si="237"/>
        <v>0.21898916666666626</v>
      </c>
      <c r="BM301" s="204">
        <f t="shared" si="237"/>
        <v>0.21903437499999959</v>
      </c>
      <c r="BN301" s="204">
        <f t="shared" si="237"/>
        <v>0.21907958333333291</v>
      </c>
      <c r="BO301" s="204">
        <f t="shared" si="237"/>
        <v>0.21912479166666624</v>
      </c>
      <c r="BP301" s="171"/>
    </row>
    <row r="302" spans="1:68" x14ac:dyDescent="0.3">
      <c r="A302" s="202"/>
      <c r="B302" s="202"/>
      <c r="C302" s="202"/>
      <c r="D302" s="359"/>
      <c r="E302" s="172"/>
      <c r="F302" s="174" t="s">
        <v>609</v>
      </c>
      <c r="G302" s="203">
        <v>2.7264861863197156</v>
      </c>
      <c r="H302" s="203">
        <v>2.984601577735547</v>
      </c>
      <c r="I302" s="203">
        <v>2.7193742777740639</v>
      </c>
      <c r="J302" s="203">
        <v>3.0600986887339259</v>
      </c>
      <c r="K302" s="203">
        <v>2.9913481173127994</v>
      </c>
      <c r="L302" s="203">
        <v>2.997009713308481</v>
      </c>
      <c r="M302" s="203">
        <v>3.0689876936016369</v>
      </c>
      <c r="N302" s="203">
        <v>2.9430871377308305</v>
      </c>
      <c r="O302" s="204">
        <v>2.1920000000000002</v>
      </c>
      <c r="P302" s="204">
        <v>2.4357678800000002</v>
      </c>
      <c r="Q302" s="204">
        <v>2.3321593319999998</v>
      </c>
      <c r="R302" s="204">
        <v>2.457143195</v>
      </c>
      <c r="S302" s="204">
        <v>2.4605273799999998</v>
      </c>
      <c r="T302" s="204">
        <f>S302+$S$302*0.1/48</f>
        <v>2.4656534787083331</v>
      </c>
      <c r="U302" s="204">
        <f t="shared" ref="U302:BO302" si="238">T302+$S$302*0.1/48</f>
        <v>2.4707795774166663</v>
      </c>
      <c r="V302" s="204">
        <f t="shared" si="238"/>
        <v>2.4759056761249996</v>
      </c>
      <c r="W302" s="204">
        <f t="shared" si="238"/>
        <v>2.4810317748333328</v>
      </c>
      <c r="X302" s="204">
        <f t="shared" si="238"/>
        <v>2.4861578735416661</v>
      </c>
      <c r="Y302" s="204">
        <f t="shared" si="238"/>
        <v>2.4912839722499993</v>
      </c>
      <c r="Z302" s="204">
        <f t="shared" si="238"/>
        <v>2.4964100709583326</v>
      </c>
      <c r="AA302" s="204">
        <f t="shared" si="238"/>
        <v>2.5015361696666658</v>
      </c>
      <c r="AB302" s="204">
        <f t="shared" si="238"/>
        <v>2.5066622683749991</v>
      </c>
      <c r="AC302" s="204">
        <f t="shared" si="238"/>
        <v>2.5117883670833323</v>
      </c>
      <c r="AD302" s="204">
        <f t="shared" si="238"/>
        <v>2.5169144657916656</v>
      </c>
      <c r="AE302" s="204">
        <f t="shared" si="238"/>
        <v>2.5220405644999988</v>
      </c>
      <c r="AF302" s="204">
        <f t="shared" si="238"/>
        <v>2.5271666632083321</v>
      </c>
      <c r="AG302" s="204">
        <f t="shared" si="238"/>
        <v>2.5322927619166653</v>
      </c>
      <c r="AH302" s="204">
        <f t="shared" si="238"/>
        <v>2.5374188606249986</v>
      </c>
      <c r="AI302" s="204">
        <f t="shared" si="238"/>
        <v>2.5425449593333318</v>
      </c>
      <c r="AJ302" s="204">
        <f t="shared" si="238"/>
        <v>2.547671058041665</v>
      </c>
      <c r="AK302" s="204">
        <f t="shared" si="238"/>
        <v>2.5527971567499983</v>
      </c>
      <c r="AL302" s="204">
        <f t="shared" si="238"/>
        <v>2.5579232554583315</v>
      </c>
      <c r="AM302" s="204">
        <f t="shared" si="238"/>
        <v>2.5630493541666648</v>
      </c>
      <c r="AN302" s="204">
        <f t="shared" si="238"/>
        <v>2.568175452874998</v>
      </c>
      <c r="AO302" s="204">
        <f t="shared" si="238"/>
        <v>2.5733015515833313</v>
      </c>
      <c r="AP302" s="204">
        <f t="shared" si="238"/>
        <v>2.5784276502916645</v>
      </c>
      <c r="AQ302" s="204">
        <f t="shared" si="238"/>
        <v>2.5835537489999978</v>
      </c>
      <c r="AR302" s="204">
        <f t="shared" si="238"/>
        <v>2.588679847708331</v>
      </c>
      <c r="AS302" s="204">
        <f t="shared" si="238"/>
        <v>2.5938059464166643</v>
      </c>
      <c r="AT302" s="204">
        <f t="shared" si="238"/>
        <v>2.5989320451249975</v>
      </c>
      <c r="AU302" s="204">
        <f t="shared" si="238"/>
        <v>2.6040581438333308</v>
      </c>
      <c r="AV302" s="204">
        <f t="shared" si="238"/>
        <v>2.609184242541664</v>
      </c>
      <c r="AW302" s="204">
        <f t="shared" si="238"/>
        <v>2.6143103412499973</v>
      </c>
      <c r="AX302" s="204">
        <f t="shared" si="238"/>
        <v>2.6194364399583305</v>
      </c>
      <c r="AY302" s="204">
        <f t="shared" si="238"/>
        <v>2.6245625386666638</v>
      </c>
      <c r="AZ302" s="204">
        <f t="shared" si="238"/>
        <v>2.629688637374997</v>
      </c>
      <c r="BA302" s="204">
        <f t="shared" si="238"/>
        <v>2.6348147360833303</v>
      </c>
      <c r="BB302" s="204">
        <f t="shared" si="238"/>
        <v>2.6399408347916635</v>
      </c>
      <c r="BC302" s="204">
        <f t="shared" si="238"/>
        <v>2.6450669334999968</v>
      </c>
      <c r="BD302" s="204">
        <f t="shared" si="238"/>
        <v>2.65019303220833</v>
      </c>
      <c r="BE302" s="204">
        <f t="shared" si="238"/>
        <v>2.6553191309166633</v>
      </c>
      <c r="BF302" s="204">
        <f t="shared" si="238"/>
        <v>2.6604452296249965</v>
      </c>
      <c r="BG302" s="204">
        <f t="shared" si="238"/>
        <v>2.6655713283333298</v>
      </c>
      <c r="BH302" s="204">
        <f t="shared" si="238"/>
        <v>2.670697427041663</v>
      </c>
      <c r="BI302" s="204">
        <f t="shared" si="238"/>
        <v>2.6758235257499963</v>
      </c>
      <c r="BJ302" s="204">
        <f t="shared" si="238"/>
        <v>2.6809496244583295</v>
      </c>
      <c r="BK302" s="204">
        <f t="shared" si="238"/>
        <v>2.6860757231666628</v>
      </c>
      <c r="BL302" s="204">
        <f t="shared" si="238"/>
        <v>2.691201821874996</v>
      </c>
      <c r="BM302" s="204">
        <f t="shared" si="238"/>
        <v>2.6963279205833293</v>
      </c>
      <c r="BN302" s="204">
        <f t="shared" si="238"/>
        <v>2.7014540192916625</v>
      </c>
      <c r="BO302" s="204">
        <f t="shared" si="238"/>
        <v>2.7065801179999958</v>
      </c>
      <c r="BP302" s="171"/>
    </row>
    <row r="303" spans="1:68" x14ac:dyDescent="0.3">
      <c r="A303" s="354"/>
      <c r="B303" s="354"/>
      <c r="C303" s="354"/>
      <c r="D303" s="359"/>
      <c r="E303" s="172"/>
      <c r="F303" s="199"/>
      <c r="G303" s="199"/>
      <c r="H303" s="199"/>
      <c r="I303" s="199"/>
      <c r="J303" s="199"/>
      <c r="K303" s="199"/>
      <c r="L303" s="200"/>
      <c r="M303" s="200"/>
      <c r="N303" s="200"/>
      <c r="O303" s="201"/>
      <c r="P303" s="201"/>
      <c r="Q303" s="201"/>
      <c r="R303" s="201"/>
      <c r="S303" s="201"/>
      <c r="T303" s="201"/>
      <c r="U303" s="201"/>
      <c r="V303" s="201"/>
      <c r="W303" s="201"/>
      <c r="X303" s="201"/>
      <c r="Y303" s="201"/>
      <c r="Z303" s="201"/>
      <c r="AA303" s="201"/>
      <c r="AB303" s="201"/>
      <c r="AC303" s="201"/>
      <c r="AD303" s="201"/>
      <c r="AE303" s="201"/>
      <c r="AF303" s="201"/>
      <c r="AG303" s="201"/>
      <c r="AH303" s="201"/>
      <c r="AI303" s="201"/>
      <c r="AJ303" s="201"/>
      <c r="AK303" s="201"/>
      <c r="AL303" s="201"/>
      <c r="AM303" s="201"/>
      <c r="AN303" s="201"/>
      <c r="AO303" s="201"/>
      <c r="AP303" s="201"/>
      <c r="AQ303" s="201"/>
      <c r="AR303" s="201"/>
      <c r="AS303" s="201"/>
      <c r="AT303" s="201"/>
      <c r="AU303" s="201"/>
      <c r="AV303" s="201"/>
      <c r="AW303" s="201"/>
      <c r="AX303" s="201"/>
      <c r="AY303" s="201"/>
      <c r="AZ303" s="201"/>
      <c r="BA303" s="201"/>
      <c r="BB303" s="201"/>
      <c r="BC303" s="201"/>
      <c r="BD303" s="201"/>
      <c r="BE303" s="201"/>
      <c r="BF303" s="201"/>
      <c r="BG303" s="201"/>
      <c r="BH303" s="201"/>
      <c r="BI303" s="201"/>
      <c r="BJ303" s="201"/>
      <c r="BK303" s="201"/>
      <c r="BL303" s="201"/>
      <c r="BM303" s="201"/>
      <c r="BN303" s="201"/>
      <c r="BO303" s="201"/>
      <c r="BP303" s="171"/>
    </row>
    <row r="304" spans="1:68" ht="15.6" x14ac:dyDescent="0.3">
      <c r="A304" s="354"/>
      <c r="B304" s="354"/>
      <c r="C304" s="354"/>
      <c r="D304" s="359"/>
      <c r="E304" s="166"/>
      <c r="F304" s="167" t="s">
        <v>610</v>
      </c>
      <c r="G304" s="168"/>
      <c r="H304" s="168"/>
      <c r="I304" s="168"/>
      <c r="J304" s="168"/>
      <c r="K304" s="168"/>
      <c r="L304" s="169"/>
      <c r="M304" s="170"/>
      <c r="N304" s="170"/>
      <c r="O304" s="170"/>
      <c r="P304" s="170"/>
      <c r="Q304" s="170"/>
      <c r="R304" s="170"/>
      <c r="S304" s="170"/>
      <c r="T304" s="170"/>
      <c r="U304" s="170"/>
      <c r="V304" s="170"/>
      <c r="W304" s="170"/>
      <c r="X304" s="170"/>
      <c r="Y304" s="170"/>
      <c r="Z304" s="170"/>
      <c r="AA304" s="170"/>
      <c r="AB304" s="170"/>
      <c r="AC304" s="170"/>
      <c r="AD304" s="170"/>
      <c r="AE304" s="170"/>
      <c r="AF304" s="170"/>
      <c r="AG304" s="170"/>
      <c r="AH304" s="170"/>
      <c r="AI304" s="170"/>
      <c r="AJ304" s="170"/>
      <c r="AK304" s="170"/>
      <c r="AL304" s="170"/>
      <c r="AM304" s="170"/>
      <c r="AN304" s="170"/>
      <c r="AO304" s="170"/>
      <c r="AP304" s="170"/>
      <c r="AQ304" s="170"/>
      <c r="AR304" s="170"/>
      <c r="AS304" s="170"/>
      <c r="AT304" s="170"/>
      <c r="AU304" s="170"/>
      <c r="AV304" s="170"/>
      <c r="AW304" s="170"/>
      <c r="AX304" s="170"/>
      <c r="AY304" s="170"/>
      <c r="AZ304" s="170"/>
      <c r="BA304" s="170"/>
      <c r="BB304" s="170"/>
      <c r="BC304" s="170"/>
      <c r="BD304" s="170"/>
      <c r="BE304" s="170"/>
      <c r="BF304" s="170"/>
      <c r="BG304" s="170"/>
      <c r="BH304" s="170"/>
      <c r="BI304" s="170"/>
      <c r="BJ304" s="170"/>
      <c r="BK304" s="170"/>
      <c r="BL304" s="170"/>
      <c r="BM304" s="170"/>
      <c r="BN304" s="170"/>
      <c r="BO304" s="170"/>
      <c r="BP304" s="171"/>
    </row>
    <row r="305" spans="1:81" ht="15.6" hidden="1" x14ac:dyDescent="0.3">
      <c r="A305" s="354"/>
      <c r="B305" s="354"/>
      <c r="C305" s="354"/>
      <c r="D305" s="359"/>
      <c r="E305" s="172"/>
      <c r="F305" s="173" t="s">
        <v>611</v>
      </c>
      <c r="G305" s="168"/>
      <c r="H305" s="168"/>
      <c r="I305" s="168"/>
      <c r="J305" s="168"/>
      <c r="K305" s="168"/>
      <c r="L305" s="169"/>
      <c r="M305" s="170"/>
      <c r="N305" s="170"/>
      <c r="O305" s="170"/>
      <c r="P305" s="170"/>
      <c r="Q305" s="170"/>
      <c r="R305" s="170"/>
      <c r="S305" s="170"/>
      <c r="T305" s="170"/>
      <c r="U305" s="170"/>
      <c r="V305" s="170"/>
      <c r="W305" s="170"/>
      <c r="X305" s="170"/>
      <c r="Y305" s="170"/>
      <c r="Z305" s="170"/>
      <c r="AA305" s="170"/>
      <c r="AB305" s="170"/>
      <c r="AC305" s="170"/>
      <c r="AD305" s="170"/>
      <c r="AE305" s="170"/>
      <c r="AF305" s="170"/>
      <c r="AG305" s="170"/>
      <c r="AH305" s="170"/>
      <c r="AI305" s="170"/>
      <c r="AJ305" s="170"/>
      <c r="AK305" s="170"/>
      <c r="AL305" s="170"/>
      <c r="AM305" s="170"/>
      <c r="AN305" s="170"/>
      <c r="AO305" s="170"/>
      <c r="AP305" s="170"/>
      <c r="AQ305" s="170"/>
      <c r="AR305" s="170"/>
      <c r="AS305" s="170"/>
      <c r="AT305" s="170"/>
      <c r="AU305" s="170"/>
      <c r="AV305" s="170"/>
      <c r="AW305" s="170"/>
      <c r="AX305" s="170"/>
      <c r="AY305" s="170"/>
      <c r="AZ305" s="170"/>
      <c r="BA305" s="170"/>
      <c r="BB305" s="170"/>
      <c r="BC305" s="170"/>
      <c r="BD305" s="170"/>
      <c r="BE305" s="170"/>
      <c r="BF305" s="170"/>
      <c r="BG305" s="170"/>
      <c r="BH305" s="170"/>
      <c r="BI305" s="170"/>
      <c r="BJ305" s="170"/>
      <c r="BK305" s="170"/>
      <c r="BL305" s="170"/>
      <c r="BM305" s="170"/>
      <c r="BN305" s="170"/>
      <c r="BO305" s="170"/>
      <c r="BP305" s="171"/>
    </row>
    <row r="306" spans="1:81" hidden="1" x14ac:dyDescent="0.3">
      <c r="A306" s="382" t="s">
        <v>568</v>
      </c>
      <c r="B306" s="354"/>
      <c r="C306" s="354"/>
      <c r="D306" s="359"/>
      <c r="E306" s="172"/>
      <c r="F306" s="174" t="s">
        <v>612</v>
      </c>
      <c r="G306" s="189">
        <v>0</v>
      </c>
      <c r="H306" s="189">
        <v>0</v>
      </c>
      <c r="I306" s="189">
        <v>0</v>
      </c>
      <c r="J306" s="189">
        <v>0</v>
      </c>
      <c r="K306" s="189">
        <v>1.6520000000000001</v>
      </c>
      <c r="L306" s="190">
        <v>0.505</v>
      </c>
      <c r="M306" s="190">
        <v>0</v>
      </c>
      <c r="N306" s="190">
        <v>0.26</v>
      </c>
      <c r="O306" s="190">
        <v>0.5</v>
      </c>
      <c r="P306" s="190">
        <v>0</v>
      </c>
      <c r="Q306" s="190">
        <v>3.0000000000000001E-3</v>
      </c>
      <c r="R306" s="190">
        <v>0</v>
      </c>
      <c r="S306" s="190"/>
      <c r="T306" s="190"/>
      <c r="U306" s="190"/>
      <c r="V306" s="190"/>
      <c r="W306" s="190"/>
      <c r="X306" s="190"/>
      <c r="Y306" s="190"/>
      <c r="Z306" s="190"/>
      <c r="AA306" s="190"/>
      <c r="AB306" s="190"/>
      <c r="AC306" s="190"/>
      <c r="AD306" s="190"/>
      <c r="AE306" s="190"/>
      <c r="AF306" s="190"/>
      <c r="AG306" s="190"/>
      <c r="AH306" s="190"/>
      <c r="AI306" s="190"/>
      <c r="AJ306" s="190"/>
      <c r="AK306" s="190"/>
      <c r="AL306" s="190"/>
      <c r="AM306" s="190"/>
      <c r="AN306" s="190"/>
      <c r="AO306" s="190"/>
      <c r="AP306" s="190"/>
      <c r="AQ306" s="190"/>
      <c r="AR306" s="190"/>
      <c r="AS306" s="190"/>
      <c r="AT306" s="190"/>
      <c r="AU306" s="190"/>
      <c r="AV306" s="190"/>
      <c r="AW306" s="190"/>
      <c r="AX306" s="190"/>
      <c r="AY306" s="190"/>
      <c r="AZ306" s="190"/>
      <c r="BA306" s="190"/>
      <c r="BB306" s="190"/>
      <c r="BC306" s="190"/>
      <c r="BD306" s="190"/>
      <c r="BE306" s="190"/>
      <c r="BF306" s="190"/>
      <c r="BG306" s="190"/>
      <c r="BH306" s="190"/>
      <c r="BI306" s="190"/>
      <c r="BJ306" s="190"/>
      <c r="BK306" s="190"/>
      <c r="BL306" s="190"/>
      <c r="BM306" s="190"/>
      <c r="BN306" s="190"/>
      <c r="BO306" s="190"/>
      <c r="BP306" s="171"/>
    </row>
    <row r="307" spans="1:81" hidden="1" x14ac:dyDescent="0.3">
      <c r="A307" s="388"/>
      <c r="D307" s="359"/>
      <c r="E307" s="172"/>
      <c r="F307" s="174" t="s">
        <v>613</v>
      </c>
      <c r="G307" s="189">
        <v>10313.996000000001</v>
      </c>
      <c r="H307" s="205">
        <v>19429.969999999994</v>
      </c>
      <c r="I307" s="189">
        <v>19693.512999999999</v>
      </c>
      <c r="J307" s="189">
        <v>5047.5109999999995</v>
      </c>
      <c r="K307" s="189">
        <v>8285.5679999999993</v>
      </c>
      <c r="L307" s="190">
        <v>3121.2689999999993</v>
      </c>
      <c r="M307" s="190">
        <v>267.87599999999998</v>
      </c>
      <c r="N307" s="190">
        <v>53.98321</v>
      </c>
      <c r="O307" s="190">
        <v>8.0000000000000004E-4</v>
      </c>
      <c r="P307" s="190">
        <v>26.648029999999999</v>
      </c>
      <c r="Q307" s="190">
        <v>0.03</v>
      </c>
      <c r="R307" s="190">
        <v>537.36009999999999</v>
      </c>
      <c r="S307" s="190"/>
      <c r="T307" s="190"/>
      <c r="U307" s="190"/>
      <c r="V307" s="190"/>
      <c r="W307" s="190"/>
      <c r="X307" s="190"/>
      <c r="Y307" s="190"/>
      <c r="Z307" s="190"/>
      <c r="AA307" s="190"/>
      <c r="AB307" s="190"/>
      <c r="AC307" s="190"/>
      <c r="AD307" s="190"/>
      <c r="AE307" s="190"/>
      <c r="AF307" s="190"/>
      <c r="AG307" s="190"/>
      <c r="AH307" s="190"/>
      <c r="AI307" s="190"/>
      <c r="AJ307" s="190"/>
      <c r="AK307" s="190"/>
      <c r="AL307" s="190"/>
      <c r="AM307" s="190"/>
      <c r="AN307" s="190"/>
      <c r="AO307" s="190"/>
      <c r="AP307" s="190"/>
      <c r="AQ307" s="190"/>
      <c r="AR307" s="190"/>
      <c r="AS307" s="190"/>
      <c r="AT307" s="190"/>
      <c r="AU307" s="190"/>
      <c r="AV307" s="190"/>
      <c r="AW307" s="190"/>
      <c r="AX307" s="190"/>
      <c r="AY307" s="190"/>
      <c r="AZ307" s="190"/>
      <c r="BA307" s="190"/>
      <c r="BB307" s="190"/>
      <c r="BC307" s="190"/>
      <c r="BD307" s="190"/>
      <c r="BE307" s="190"/>
      <c r="BF307" s="190"/>
      <c r="BG307" s="190"/>
      <c r="BH307" s="190"/>
      <c r="BI307" s="190"/>
      <c r="BJ307" s="190"/>
      <c r="BK307" s="190"/>
      <c r="BL307" s="190"/>
      <c r="BM307" s="190"/>
      <c r="BN307" s="190"/>
      <c r="BO307" s="190"/>
      <c r="BP307" s="171"/>
    </row>
    <row r="308" spans="1:81" ht="15.6" x14ac:dyDescent="0.3">
      <c r="A308" s="354"/>
      <c r="B308" s="354"/>
      <c r="C308" s="354"/>
      <c r="D308" s="359"/>
      <c r="E308" s="172"/>
      <c r="F308" s="173" t="s">
        <v>614</v>
      </c>
      <c r="G308" s="168"/>
      <c r="H308" s="168"/>
      <c r="I308" s="168"/>
      <c r="J308" s="168"/>
      <c r="K308" s="168"/>
      <c r="L308" s="169"/>
      <c r="M308" s="170"/>
      <c r="N308" s="170"/>
      <c r="O308" s="170"/>
      <c r="P308" s="170"/>
      <c r="Q308" s="170"/>
      <c r="R308" s="170"/>
      <c r="S308" s="170"/>
      <c r="T308" s="170"/>
      <c r="U308" s="170"/>
      <c r="V308" s="170"/>
      <c r="W308" s="170"/>
      <c r="X308" s="170"/>
      <c r="Y308" s="170"/>
      <c r="Z308" s="170"/>
      <c r="AA308" s="170"/>
      <c r="AB308" s="170"/>
      <c r="AC308" s="170"/>
      <c r="AD308" s="170"/>
      <c r="AE308" s="170"/>
      <c r="AF308" s="170"/>
      <c r="AG308" s="170"/>
      <c r="AH308" s="170"/>
      <c r="AI308" s="170"/>
      <c r="AJ308" s="170"/>
      <c r="AK308" s="170"/>
      <c r="AL308" s="170"/>
      <c r="AM308" s="170"/>
      <c r="AN308" s="170"/>
      <c r="AO308" s="170"/>
      <c r="AP308" s="170"/>
      <c r="AQ308" s="170"/>
      <c r="AR308" s="170"/>
      <c r="AS308" s="170"/>
      <c r="AT308" s="170"/>
      <c r="AU308" s="170"/>
      <c r="AV308" s="170"/>
      <c r="AW308" s="170"/>
      <c r="AX308" s="170"/>
      <c r="AY308" s="170"/>
      <c r="AZ308" s="170"/>
      <c r="BA308" s="170"/>
      <c r="BB308" s="170"/>
      <c r="BC308" s="170"/>
      <c r="BD308" s="170"/>
      <c r="BE308" s="170"/>
      <c r="BF308" s="170"/>
      <c r="BG308" s="170"/>
      <c r="BH308" s="170"/>
      <c r="BI308" s="170"/>
      <c r="BJ308" s="170"/>
      <c r="BK308" s="170"/>
      <c r="BL308" s="170"/>
      <c r="BM308" s="170"/>
      <c r="BN308" s="170"/>
      <c r="BO308" s="170"/>
      <c r="BP308" s="171"/>
    </row>
    <row r="309" spans="1:81" x14ac:dyDescent="0.3">
      <c r="A309" s="382" t="s">
        <v>568</v>
      </c>
      <c r="B309" s="354"/>
      <c r="C309" s="354"/>
      <c r="D309" s="359"/>
      <c r="E309" s="172"/>
      <c r="F309" s="174" t="s">
        <v>453</v>
      </c>
      <c r="G309" s="189">
        <f t="shared" ref="G309:R310" si="239">G306/1000000</f>
        <v>0</v>
      </c>
      <c r="H309" s="189">
        <f t="shared" si="239"/>
        <v>0</v>
      </c>
      <c r="I309" s="189">
        <f t="shared" si="239"/>
        <v>0</v>
      </c>
      <c r="J309" s="189">
        <f t="shared" si="239"/>
        <v>0</v>
      </c>
      <c r="K309" s="189">
        <f t="shared" si="239"/>
        <v>1.6520000000000002E-6</v>
      </c>
      <c r="L309" s="190">
        <f t="shared" si="239"/>
        <v>5.0500000000000004E-7</v>
      </c>
      <c r="M309" s="190">
        <f t="shared" si="239"/>
        <v>0</v>
      </c>
      <c r="N309" s="190">
        <f t="shared" si="239"/>
        <v>2.6E-7</v>
      </c>
      <c r="O309" s="190">
        <f t="shared" si="239"/>
        <v>4.9999999999999998E-7</v>
      </c>
      <c r="P309" s="190">
        <f t="shared" si="239"/>
        <v>0</v>
      </c>
      <c r="Q309" s="190">
        <f t="shared" si="239"/>
        <v>3E-9</v>
      </c>
      <c r="R309" s="190">
        <f t="shared" si="239"/>
        <v>0</v>
      </c>
      <c r="S309" s="206">
        <v>0</v>
      </c>
      <c r="T309" s="206">
        <v>0</v>
      </c>
      <c r="U309" s="206">
        <v>0</v>
      </c>
      <c r="V309" s="206">
        <v>0</v>
      </c>
      <c r="W309" s="206">
        <v>0</v>
      </c>
      <c r="X309" s="206">
        <v>0</v>
      </c>
      <c r="Y309" s="206">
        <v>0</v>
      </c>
      <c r="Z309" s="206">
        <v>0</v>
      </c>
      <c r="AA309" s="206">
        <v>0</v>
      </c>
      <c r="AB309" s="206">
        <v>0</v>
      </c>
      <c r="AC309" s="206">
        <v>0</v>
      </c>
      <c r="AD309" s="206">
        <v>0</v>
      </c>
      <c r="AE309" s="206">
        <v>0</v>
      </c>
      <c r="AF309" s="206">
        <v>0</v>
      </c>
      <c r="AG309" s="206">
        <v>0</v>
      </c>
      <c r="AH309" s="206">
        <v>0</v>
      </c>
      <c r="AI309" s="206">
        <v>0</v>
      </c>
      <c r="AJ309" s="206">
        <v>0</v>
      </c>
      <c r="AK309" s="206">
        <v>0</v>
      </c>
      <c r="AL309" s="206">
        <v>0</v>
      </c>
      <c r="AM309" s="206">
        <v>0</v>
      </c>
      <c r="AN309" s="206">
        <v>0</v>
      </c>
      <c r="AO309" s="206">
        <v>0</v>
      </c>
      <c r="AP309" s="206">
        <v>0</v>
      </c>
      <c r="AQ309" s="206">
        <v>0</v>
      </c>
      <c r="AR309" s="206">
        <v>0</v>
      </c>
      <c r="AS309" s="206">
        <v>0</v>
      </c>
      <c r="AT309" s="206">
        <v>0</v>
      </c>
      <c r="AU309" s="206">
        <v>0</v>
      </c>
      <c r="AV309" s="206">
        <v>0</v>
      </c>
      <c r="AW309" s="206">
        <v>0</v>
      </c>
      <c r="AX309" s="206">
        <v>0</v>
      </c>
      <c r="AY309" s="206">
        <v>0</v>
      </c>
      <c r="AZ309" s="206">
        <v>0</v>
      </c>
      <c r="BA309" s="206">
        <v>0</v>
      </c>
      <c r="BB309" s="206">
        <v>0</v>
      </c>
      <c r="BC309" s="206">
        <v>0</v>
      </c>
      <c r="BD309" s="206">
        <v>0</v>
      </c>
      <c r="BE309" s="206">
        <v>0</v>
      </c>
      <c r="BF309" s="206">
        <v>0</v>
      </c>
      <c r="BG309" s="206">
        <v>0</v>
      </c>
      <c r="BH309" s="206">
        <v>0</v>
      </c>
      <c r="BI309" s="206">
        <v>0</v>
      </c>
      <c r="BJ309" s="206">
        <v>0</v>
      </c>
      <c r="BK309" s="206">
        <v>0</v>
      </c>
      <c r="BL309" s="206">
        <v>0</v>
      </c>
      <c r="BM309" s="206">
        <v>0</v>
      </c>
      <c r="BN309" s="206">
        <v>0</v>
      </c>
      <c r="BO309" s="206">
        <v>0</v>
      </c>
      <c r="BP309" s="171"/>
    </row>
    <row r="310" spans="1:81" x14ac:dyDescent="0.3">
      <c r="A310" s="388"/>
      <c r="D310" s="359"/>
      <c r="E310" s="172"/>
      <c r="F310" s="174" t="s">
        <v>454</v>
      </c>
      <c r="G310" s="189">
        <f t="shared" si="239"/>
        <v>1.0313996000000001E-2</v>
      </c>
      <c r="H310" s="189">
        <f t="shared" si="239"/>
        <v>1.9429969999999994E-2</v>
      </c>
      <c r="I310" s="189">
        <f t="shared" si="239"/>
        <v>1.9693512999999999E-2</v>
      </c>
      <c r="J310" s="189">
        <f t="shared" si="239"/>
        <v>5.0475109999999993E-3</v>
      </c>
      <c r="K310" s="189">
        <f t="shared" si="239"/>
        <v>8.2855680000000001E-3</v>
      </c>
      <c r="L310" s="190">
        <f t="shared" si="239"/>
        <v>3.1212689999999994E-3</v>
      </c>
      <c r="M310" s="190">
        <f t="shared" si="239"/>
        <v>2.6787599999999995E-4</v>
      </c>
      <c r="N310" s="190">
        <f t="shared" si="239"/>
        <v>5.3983210000000002E-5</v>
      </c>
      <c r="O310" s="190">
        <f t="shared" si="239"/>
        <v>8.0000000000000003E-10</v>
      </c>
      <c r="P310" s="190">
        <f t="shared" si="239"/>
        <v>2.6648029999999998E-5</v>
      </c>
      <c r="Q310" s="190">
        <f t="shared" si="239"/>
        <v>2.9999999999999997E-8</v>
      </c>
      <c r="R310" s="190">
        <f t="shared" si="239"/>
        <v>5.373601E-4</v>
      </c>
      <c r="S310" s="206">
        <v>2.6787669699763182E-4</v>
      </c>
      <c r="T310" s="206">
        <v>1.6390823144710998E-4</v>
      </c>
      <c r="U310" s="206">
        <v>1.0039100693319076E-4</v>
      </c>
      <c r="V310" s="206">
        <v>5.9760462103891296E-5</v>
      </c>
      <c r="W310" s="206">
        <v>3.4111658383427623E-5</v>
      </c>
      <c r="X310" s="206">
        <v>1.9821841909838098E-5</v>
      </c>
      <c r="Y310" s="206">
        <v>1.1885579566359984E-5</v>
      </c>
      <c r="Z310" s="206">
        <v>7.0185587616474176E-6</v>
      </c>
      <c r="AA310" s="206">
        <v>4.1327947210574689E-6</v>
      </c>
      <c r="AB310" s="206">
        <v>2.4427598123572697E-6</v>
      </c>
      <c r="AC310" s="206">
        <v>1.4452788305170939E-6</v>
      </c>
      <c r="AD310" s="206">
        <v>8.6587596570455533E-7</v>
      </c>
      <c r="AE310" s="206">
        <v>5.1333695526645934E-7</v>
      </c>
      <c r="AF310" s="206">
        <v>3.0475690083013979E-7</v>
      </c>
      <c r="AG310" s="206">
        <v>1.8146898613848811E-7</v>
      </c>
      <c r="AH310" s="206">
        <v>1.0769028127056646E-7</v>
      </c>
      <c r="AI310" s="206">
        <v>6.4088882585561349E-8</v>
      </c>
      <c r="AJ310" s="206">
        <v>3.8236205022763675E-8</v>
      </c>
      <c r="AK310" s="206">
        <v>2.2708658414457104E-8</v>
      </c>
      <c r="AL310" s="206">
        <v>1.3518688173520437E-8</v>
      </c>
      <c r="AM310" s="206">
        <v>8.0456912102650324E-9</v>
      </c>
      <c r="AN310" s="206">
        <v>4.7647601196712463E-9</v>
      </c>
      <c r="AO310" s="206">
        <v>2.8374459361472753E-9</v>
      </c>
      <c r="AP310" s="206">
        <v>1.6826629053442615E-9</v>
      </c>
      <c r="AQ310" s="206">
        <v>1.0052797542444014E-9</v>
      </c>
      <c r="AR310" s="206">
        <v>5.9626339341751456E-10</v>
      </c>
      <c r="AS310" s="206">
        <v>3.5419574453779298E-10</v>
      </c>
      <c r="AT310" s="206">
        <v>2.1059086432896619E-10</v>
      </c>
      <c r="AU310" s="206">
        <v>1.2522571391761652E-10</v>
      </c>
      <c r="AV310" s="206">
        <v>7.446449063934488E-11</v>
      </c>
      <c r="AW310" s="206">
        <v>4.429455460267725E-11</v>
      </c>
      <c r="AX310" s="206">
        <v>2.6349922600089082E-11</v>
      </c>
      <c r="AY310" s="206">
        <v>1.5669573633846494E-11</v>
      </c>
      <c r="AZ310" s="206">
        <v>9.3250621268568802E-12</v>
      </c>
      <c r="BA310" s="206">
        <v>5.5489999153658458E-12</v>
      </c>
      <c r="BB310" s="206">
        <v>3.3036478772582935E-12</v>
      </c>
      <c r="BC310" s="206">
        <v>1.9659324817497357E-12</v>
      </c>
      <c r="BD310" s="206">
        <v>1.1701789297894381E-12</v>
      </c>
      <c r="BE310" s="206">
        <v>6.9664522285174474E-13</v>
      </c>
      <c r="BF310" s="206">
        <v>4.1477055854323377E-13</v>
      </c>
      <c r="BG310" s="206">
        <v>2.469570396967733E-13</v>
      </c>
      <c r="BH310" s="206">
        <v>1.4706452791270778E-13</v>
      </c>
      <c r="BI310" s="206">
        <v>8.7585267073343398E-14</v>
      </c>
      <c r="BJ310" s="206">
        <v>5.2168643788830176E-14</v>
      </c>
      <c r="BK310" s="206">
        <v>3.1075484127952454E-14</v>
      </c>
      <c r="BL310" s="206">
        <v>1.8512472768837995E-14</v>
      </c>
      <c r="BM310" s="206">
        <v>1.1029030256514195E-14</v>
      </c>
      <c r="BN310" s="206">
        <v>6.5713787808947727E-15</v>
      </c>
      <c r="BO310" s="206">
        <v>3.91573990450679E-15</v>
      </c>
      <c r="BP310" s="171"/>
    </row>
    <row r="311" spans="1:81" x14ac:dyDescent="0.3">
      <c r="A311" s="354"/>
      <c r="B311" s="354"/>
      <c r="C311" s="354"/>
      <c r="D311" s="359"/>
      <c r="E311" s="172"/>
      <c r="F311" s="199"/>
      <c r="G311" s="199"/>
      <c r="H311" s="199"/>
      <c r="I311" s="199"/>
      <c r="J311" s="199"/>
      <c r="K311" s="199"/>
      <c r="L311" s="200"/>
      <c r="M311" s="200"/>
      <c r="N311" s="200"/>
      <c r="O311" s="201"/>
      <c r="P311" s="201"/>
      <c r="Q311" s="201"/>
      <c r="R311" s="201"/>
      <c r="S311" s="201"/>
      <c r="T311" s="201"/>
      <c r="U311" s="201"/>
      <c r="V311" s="201"/>
      <c r="W311" s="201"/>
      <c r="X311" s="201"/>
      <c r="Y311" s="201"/>
      <c r="Z311" s="201"/>
      <c r="AA311" s="201"/>
      <c r="AB311" s="201"/>
      <c r="AC311" s="201"/>
      <c r="AD311" s="201"/>
      <c r="AE311" s="201"/>
      <c r="AF311" s="201"/>
      <c r="AG311" s="201"/>
      <c r="AH311" s="201"/>
      <c r="AI311" s="201"/>
      <c r="AJ311" s="201"/>
      <c r="AK311" s="201"/>
      <c r="AL311" s="201"/>
      <c r="AM311" s="201"/>
      <c r="AN311" s="201"/>
      <c r="AO311" s="201"/>
      <c r="AP311" s="201"/>
      <c r="AQ311" s="201"/>
      <c r="AR311" s="201"/>
      <c r="AS311" s="201"/>
      <c r="AT311" s="201"/>
      <c r="AU311" s="201"/>
      <c r="AV311" s="201"/>
      <c r="AW311" s="201"/>
      <c r="AX311" s="201"/>
      <c r="AY311" s="201"/>
      <c r="AZ311" s="201"/>
      <c r="BA311" s="201"/>
      <c r="BB311" s="201"/>
      <c r="BC311" s="201"/>
      <c r="BD311" s="201"/>
      <c r="BE311" s="201"/>
      <c r="BF311" s="201"/>
      <c r="BG311" s="201"/>
      <c r="BH311" s="201"/>
      <c r="BI311" s="201"/>
      <c r="BJ311" s="201"/>
      <c r="BK311" s="201"/>
      <c r="BL311" s="201"/>
      <c r="BM311" s="201"/>
      <c r="BN311" s="201"/>
      <c r="BO311" s="201"/>
      <c r="BP311" s="171"/>
    </row>
    <row r="312" spans="1:81" ht="15.6" x14ac:dyDescent="0.3">
      <c r="A312" s="354"/>
      <c r="B312" s="354"/>
      <c r="C312" s="354"/>
      <c r="D312" s="359"/>
      <c r="E312" s="172"/>
      <c r="F312" s="167" t="s">
        <v>615</v>
      </c>
      <c r="G312" s="168"/>
      <c r="H312" s="168"/>
      <c r="I312" s="168"/>
      <c r="J312" s="168"/>
      <c r="K312" s="168"/>
      <c r="L312" s="169"/>
      <c r="M312" s="170"/>
      <c r="N312" s="170"/>
      <c r="O312" s="170"/>
      <c r="P312" s="170"/>
      <c r="Q312" s="170"/>
      <c r="R312" s="170"/>
      <c r="S312" s="170"/>
      <c r="T312" s="170"/>
      <c r="U312" s="170"/>
      <c r="V312" s="170"/>
      <c r="W312" s="170"/>
      <c r="X312" s="170"/>
      <c r="Y312" s="170"/>
      <c r="Z312" s="170"/>
      <c r="AA312" s="170"/>
      <c r="AB312" s="170"/>
      <c r="AC312" s="170"/>
      <c r="AD312" s="170"/>
      <c r="AE312" s="170"/>
      <c r="AF312" s="170"/>
      <c r="AG312" s="170"/>
      <c r="AH312" s="170"/>
      <c r="AI312" s="170"/>
      <c r="AJ312" s="170"/>
      <c r="AK312" s="170"/>
      <c r="AL312" s="170"/>
      <c r="AM312" s="170"/>
      <c r="AN312" s="170"/>
      <c r="AO312" s="170"/>
      <c r="AP312" s="170"/>
      <c r="AQ312" s="170"/>
      <c r="AR312" s="170"/>
      <c r="AS312" s="170"/>
      <c r="AT312" s="170"/>
      <c r="AU312" s="170"/>
      <c r="AV312" s="170"/>
      <c r="AW312" s="170"/>
      <c r="AX312" s="170"/>
      <c r="AY312" s="170"/>
      <c r="AZ312" s="170"/>
      <c r="BA312" s="170"/>
      <c r="BB312" s="170"/>
      <c r="BC312" s="170"/>
      <c r="BD312" s="170"/>
      <c r="BE312" s="170"/>
      <c r="BF312" s="170"/>
      <c r="BG312" s="170"/>
      <c r="BH312" s="170"/>
      <c r="BI312" s="170"/>
      <c r="BJ312" s="170"/>
      <c r="BK312" s="170"/>
      <c r="BL312" s="170"/>
      <c r="BM312" s="170"/>
      <c r="BN312" s="170"/>
      <c r="BO312" s="170"/>
      <c r="BP312" s="171"/>
    </row>
    <row r="313" spans="1:81" ht="15.6" hidden="1" x14ac:dyDescent="0.3">
      <c r="A313" s="354"/>
      <c r="B313" s="354"/>
      <c r="C313" s="354"/>
      <c r="D313" s="359"/>
      <c r="E313" s="172"/>
      <c r="F313" s="173" t="s">
        <v>616</v>
      </c>
      <c r="G313" s="168"/>
      <c r="H313" s="168"/>
      <c r="I313" s="168"/>
      <c r="J313" s="168"/>
      <c r="K313" s="168"/>
      <c r="L313" s="169"/>
      <c r="M313" s="170"/>
      <c r="N313" s="170"/>
      <c r="O313" s="170"/>
      <c r="P313" s="170"/>
      <c r="Q313" s="170"/>
      <c r="R313" s="170"/>
      <c r="S313" s="170"/>
      <c r="T313" s="170"/>
      <c r="U313" s="170"/>
      <c r="V313" s="170"/>
      <c r="W313" s="170"/>
      <c r="X313" s="170"/>
      <c r="Y313" s="170"/>
      <c r="Z313" s="170"/>
      <c r="AA313" s="170"/>
      <c r="AB313" s="170"/>
      <c r="AC313" s="170"/>
      <c r="AD313" s="170"/>
      <c r="AE313" s="170"/>
      <c r="AF313" s="170"/>
      <c r="AG313" s="170"/>
      <c r="AH313" s="170"/>
      <c r="AI313" s="170"/>
      <c r="AJ313" s="170"/>
      <c r="AK313" s="170"/>
      <c r="AL313" s="170"/>
      <c r="AM313" s="170"/>
      <c r="AN313" s="170"/>
      <c r="AO313" s="170"/>
      <c r="AP313" s="170"/>
      <c r="AQ313" s="170"/>
      <c r="AR313" s="170"/>
      <c r="AS313" s="170"/>
      <c r="AT313" s="170"/>
      <c r="AU313" s="170"/>
      <c r="AV313" s="170"/>
      <c r="AW313" s="170"/>
      <c r="AX313" s="170"/>
      <c r="AY313" s="170"/>
      <c r="AZ313" s="170"/>
      <c r="BA313" s="170"/>
      <c r="BB313" s="170"/>
      <c r="BC313" s="170"/>
      <c r="BD313" s="170"/>
      <c r="BE313" s="170"/>
      <c r="BF313" s="170"/>
      <c r="BG313" s="170"/>
      <c r="BH313" s="170"/>
      <c r="BI313" s="170"/>
      <c r="BJ313" s="170"/>
      <c r="BK313" s="170"/>
      <c r="BL313" s="170"/>
      <c r="BM313" s="170"/>
      <c r="BN313" s="170"/>
      <c r="BO313" s="170"/>
      <c r="BP313" s="171"/>
    </row>
    <row r="314" spans="1:81" hidden="1" x14ac:dyDescent="0.3">
      <c r="A314" s="382" t="s">
        <v>568</v>
      </c>
      <c r="B314" s="354"/>
      <c r="C314" s="354"/>
      <c r="D314" s="359"/>
      <c r="E314" s="172"/>
      <c r="F314" s="174" t="s">
        <v>612</v>
      </c>
      <c r="G314" s="189">
        <v>1203.5489999999998</v>
      </c>
      <c r="H314" s="189">
        <v>1147.1089999999999</v>
      </c>
      <c r="I314" s="189">
        <v>1121.2549999999999</v>
      </c>
      <c r="J314" s="189">
        <v>1006.304</v>
      </c>
      <c r="K314" s="189">
        <v>1050.048</v>
      </c>
      <c r="L314" s="190">
        <v>1053.1539999999998</v>
      </c>
      <c r="M314" s="190">
        <v>941.81799999999987</v>
      </c>
      <c r="N314" s="190">
        <v>1035.35257</v>
      </c>
      <c r="O314" s="190">
        <v>1422.06591</v>
      </c>
      <c r="P314" s="190">
        <v>1615.844531</v>
      </c>
      <c r="Q314" s="190">
        <v>1679.1366089999999</v>
      </c>
      <c r="R314" s="190">
        <v>2253.0822370000001</v>
      </c>
      <c r="S314" s="190"/>
      <c r="T314" s="190"/>
      <c r="U314" s="190"/>
      <c r="V314" s="190"/>
      <c r="W314" s="190"/>
      <c r="X314" s="190"/>
      <c r="Y314" s="190"/>
      <c r="Z314" s="190"/>
      <c r="AA314" s="190"/>
      <c r="AB314" s="190"/>
      <c r="AC314" s="190"/>
      <c r="AD314" s="190"/>
      <c r="AE314" s="190"/>
      <c r="AF314" s="190"/>
      <c r="AG314" s="190"/>
      <c r="AH314" s="190"/>
      <c r="AI314" s="190"/>
      <c r="AJ314" s="190"/>
      <c r="AK314" s="190"/>
      <c r="AL314" s="190"/>
      <c r="AM314" s="190"/>
      <c r="AN314" s="190"/>
      <c r="AO314" s="190"/>
      <c r="AP314" s="190"/>
      <c r="AQ314" s="190"/>
      <c r="AR314" s="190"/>
      <c r="AS314" s="190"/>
      <c r="AT314" s="190"/>
      <c r="AU314" s="190"/>
      <c r="AV314" s="190"/>
      <c r="AW314" s="190"/>
      <c r="AX314" s="190"/>
      <c r="AY314" s="190"/>
      <c r="AZ314" s="190"/>
      <c r="BA314" s="190"/>
      <c r="BB314" s="190"/>
      <c r="BC314" s="190"/>
      <c r="BD314" s="190"/>
      <c r="BE314" s="190"/>
      <c r="BF314" s="190"/>
      <c r="BG314" s="190"/>
      <c r="BH314" s="190"/>
      <c r="BI314" s="190"/>
      <c r="BJ314" s="190"/>
      <c r="BK314" s="190"/>
      <c r="BL314" s="190"/>
      <c r="BM314" s="190"/>
      <c r="BN314" s="190"/>
      <c r="BO314" s="190"/>
      <c r="BP314" s="171"/>
    </row>
    <row r="315" spans="1:81" hidden="1" x14ac:dyDescent="0.3">
      <c r="A315" s="388"/>
      <c r="D315" s="359"/>
      <c r="E315" s="172"/>
      <c r="F315" s="174" t="s">
        <v>613</v>
      </c>
      <c r="G315" s="189">
        <v>0</v>
      </c>
      <c r="H315" s="205">
        <v>0</v>
      </c>
      <c r="I315" s="189">
        <v>387.58500000000004</v>
      </c>
      <c r="J315" s="189">
        <v>0</v>
      </c>
      <c r="K315" s="189">
        <v>0</v>
      </c>
      <c r="L315" s="190">
        <v>0</v>
      </c>
      <c r="M315" s="190">
        <v>0</v>
      </c>
      <c r="N315" s="190">
        <v>0</v>
      </c>
      <c r="O315" s="190">
        <v>0</v>
      </c>
      <c r="P315" s="190">
        <v>0</v>
      </c>
      <c r="Q315" s="190">
        <v>0</v>
      </c>
      <c r="R315" s="190">
        <v>0</v>
      </c>
      <c r="S315" s="190"/>
      <c r="T315" s="190"/>
      <c r="U315" s="190"/>
      <c r="V315" s="190"/>
      <c r="W315" s="190"/>
      <c r="X315" s="190"/>
      <c r="Y315" s="190"/>
      <c r="Z315" s="190"/>
      <c r="AA315" s="190"/>
      <c r="AB315" s="190"/>
      <c r="AC315" s="190"/>
      <c r="AD315" s="190"/>
      <c r="AE315" s="190"/>
      <c r="AF315" s="190"/>
      <c r="AG315" s="190"/>
      <c r="AH315" s="190"/>
      <c r="AI315" s="190"/>
      <c r="AJ315" s="190"/>
      <c r="AK315" s="190"/>
      <c r="AL315" s="190"/>
      <c r="AM315" s="190"/>
      <c r="AN315" s="190"/>
      <c r="AO315" s="190"/>
      <c r="AP315" s="190"/>
      <c r="AQ315" s="190"/>
      <c r="AR315" s="190"/>
      <c r="AS315" s="190"/>
      <c r="AT315" s="190"/>
      <c r="AU315" s="190"/>
      <c r="AV315" s="190"/>
      <c r="AW315" s="190"/>
      <c r="AX315" s="190"/>
      <c r="AY315" s="190"/>
      <c r="AZ315" s="190"/>
      <c r="BA315" s="190"/>
      <c r="BB315" s="190"/>
      <c r="BC315" s="190"/>
      <c r="BD315" s="190"/>
      <c r="BE315" s="190"/>
      <c r="BF315" s="190"/>
      <c r="BG315" s="190"/>
      <c r="BH315" s="190"/>
      <c r="BI315" s="190"/>
      <c r="BJ315" s="190"/>
      <c r="BK315" s="190"/>
      <c r="BL315" s="190"/>
      <c r="BM315" s="190"/>
      <c r="BN315" s="190"/>
      <c r="BO315" s="190"/>
      <c r="BP315" s="171"/>
    </row>
    <row r="316" spans="1:81" ht="15.6" x14ac:dyDescent="0.3">
      <c r="A316" s="354"/>
      <c r="B316" s="354"/>
      <c r="C316" s="354"/>
      <c r="D316" s="359"/>
      <c r="E316" s="172"/>
      <c r="F316" s="173" t="s">
        <v>617</v>
      </c>
      <c r="G316" s="168"/>
      <c r="H316" s="168"/>
      <c r="I316" s="168"/>
      <c r="J316" s="168"/>
      <c r="K316" s="168"/>
      <c r="L316" s="169"/>
      <c r="M316" s="170"/>
      <c r="N316" s="170"/>
      <c r="O316" s="170"/>
      <c r="P316" s="170"/>
      <c r="Q316" s="170"/>
      <c r="R316" s="170"/>
      <c r="S316" s="170"/>
      <c r="T316" s="170"/>
      <c r="U316" s="170"/>
      <c r="V316" s="170"/>
      <c r="W316" s="170"/>
      <c r="X316" s="170"/>
      <c r="Y316" s="170"/>
      <c r="Z316" s="170"/>
      <c r="AA316" s="170"/>
      <c r="AB316" s="170"/>
      <c r="AC316" s="170"/>
      <c r="AD316" s="170"/>
      <c r="AE316" s="170"/>
      <c r="AF316" s="170"/>
      <c r="AG316" s="170"/>
      <c r="AH316" s="170"/>
      <c r="AI316" s="170"/>
      <c r="AJ316" s="170"/>
      <c r="AK316" s="170"/>
      <c r="AL316" s="170"/>
      <c r="AM316" s="170"/>
      <c r="AN316" s="170"/>
      <c r="AO316" s="170"/>
      <c r="AP316" s="170"/>
      <c r="AQ316" s="170"/>
      <c r="AR316" s="170"/>
      <c r="AS316" s="170"/>
      <c r="AT316" s="170"/>
      <c r="AU316" s="170"/>
      <c r="AV316" s="170"/>
      <c r="AW316" s="170"/>
      <c r="AX316" s="170"/>
      <c r="AY316" s="170"/>
      <c r="AZ316" s="170"/>
      <c r="BA316" s="170"/>
      <c r="BB316" s="170"/>
      <c r="BC316" s="170"/>
      <c r="BD316" s="170"/>
      <c r="BE316" s="170"/>
      <c r="BF316" s="170"/>
      <c r="BG316" s="170"/>
      <c r="BH316" s="170"/>
      <c r="BI316" s="170"/>
      <c r="BJ316" s="170"/>
      <c r="BK316" s="170"/>
      <c r="BL316" s="170"/>
      <c r="BM316" s="170"/>
      <c r="BN316" s="170"/>
      <c r="BO316" s="170"/>
      <c r="BP316" s="171"/>
    </row>
    <row r="317" spans="1:81" x14ac:dyDescent="0.3">
      <c r="A317" s="382" t="s">
        <v>568</v>
      </c>
      <c r="B317" s="354"/>
      <c r="C317" s="354"/>
      <c r="D317" s="359"/>
      <c r="E317" s="172"/>
      <c r="F317" s="174" t="s">
        <v>453</v>
      </c>
      <c r="G317" s="189">
        <f t="shared" ref="G317:R318" si="240">G314/1000000</f>
        <v>1.2035489999999997E-3</v>
      </c>
      <c r="H317" s="189">
        <f t="shared" si="240"/>
        <v>1.1471089999999999E-3</v>
      </c>
      <c r="I317" s="189">
        <f t="shared" si="240"/>
        <v>1.1212549999999998E-3</v>
      </c>
      <c r="J317" s="189">
        <f t="shared" si="240"/>
        <v>1.006304E-3</v>
      </c>
      <c r="K317" s="189">
        <f t="shared" si="240"/>
        <v>1.050048E-3</v>
      </c>
      <c r="L317" s="190">
        <f t="shared" si="240"/>
        <v>1.0531539999999997E-3</v>
      </c>
      <c r="M317" s="190">
        <f t="shared" si="240"/>
        <v>9.4181799999999987E-4</v>
      </c>
      <c r="N317" s="190">
        <f t="shared" si="240"/>
        <v>1.0353525699999999E-3</v>
      </c>
      <c r="O317" s="190">
        <f t="shared" si="240"/>
        <v>1.42206591E-3</v>
      </c>
      <c r="P317" s="190">
        <f t="shared" si="240"/>
        <v>1.615844531E-3</v>
      </c>
      <c r="Q317" s="190">
        <f t="shared" si="240"/>
        <v>1.6791366089999999E-3</v>
      </c>
      <c r="R317" s="190">
        <f t="shared" si="240"/>
        <v>2.2530822369999999E-3</v>
      </c>
      <c r="S317" s="206">
        <v>2.289428756495572E-3</v>
      </c>
      <c r="T317" s="206">
        <v>2.3255609294903163E-3</v>
      </c>
      <c r="U317" s="206">
        <v>2.3614537407095891E-3</v>
      </c>
      <c r="V317" s="206">
        <v>2.3970969391524672E-3</v>
      </c>
      <c r="W317" s="206">
        <v>2.4324470642090299E-3</v>
      </c>
      <c r="X317" s="206">
        <v>2.4674870482895282E-3</v>
      </c>
      <c r="Y317" s="206">
        <v>2.5021880472567756E-3</v>
      </c>
      <c r="Z317" s="206">
        <v>2.5365413881206912E-3</v>
      </c>
      <c r="AA317" s="206">
        <v>2.5705047514067558E-3</v>
      </c>
      <c r="AB317" s="206">
        <v>2.6040561289456402E-3</v>
      </c>
      <c r="AC317" s="206">
        <v>2.6371681618769802E-3</v>
      </c>
      <c r="AD317" s="206">
        <v>2.669809653627884E-3</v>
      </c>
      <c r="AE317" s="206">
        <v>2.7019632413183932E-3</v>
      </c>
      <c r="AF317" s="206">
        <v>2.7336015275372214E-3</v>
      </c>
      <c r="AG317" s="206">
        <v>2.7647068022070274E-3</v>
      </c>
      <c r="AH317" s="206">
        <v>2.7952486097825762E-3</v>
      </c>
      <c r="AI317" s="206">
        <v>2.8252125231141658E-3</v>
      </c>
      <c r="AJ317" s="206">
        <v>2.8545749936021987E-3</v>
      </c>
      <c r="AK317" s="206">
        <v>2.8833184808436767E-3</v>
      </c>
      <c r="AL317" s="206">
        <v>2.9114356336867133E-3</v>
      </c>
      <c r="AM317" s="206">
        <v>2.9389131645798112E-3</v>
      </c>
      <c r="AN317" s="206">
        <v>2.9657305275194654E-3</v>
      </c>
      <c r="AO317" s="206">
        <v>2.991880747020679E-3</v>
      </c>
      <c r="AP317" s="206">
        <v>3.0173433818667206E-3</v>
      </c>
      <c r="AQ317" s="206">
        <v>3.0421108066559358E-3</v>
      </c>
      <c r="AR317" s="206">
        <v>3.0661838206328604E-3</v>
      </c>
      <c r="AS317" s="206">
        <v>3.0895386801514328E-3</v>
      </c>
      <c r="AT317" s="206">
        <v>3.1121786191588758E-3</v>
      </c>
      <c r="AU317" s="206">
        <v>3.1341086290965535E-3</v>
      </c>
      <c r="AV317" s="206">
        <v>3.1553111645104197E-3</v>
      </c>
      <c r="AW317" s="206">
        <v>3.1757691655547623E-3</v>
      </c>
      <c r="AX317" s="206">
        <v>3.1954660807547181E-3</v>
      </c>
      <c r="AY317" s="206">
        <v>3.2143858892202627E-3</v>
      </c>
      <c r="AZ317" s="206">
        <v>3.2325131222701356E-3</v>
      </c>
      <c r="BA317" s="206">
        <v>3.249832884425043E-3</v>
      </c>
      <c r="BB317" s="206">
        <v>3.2663308737304127E-3</v>
      </c>
      <c r="BC317" s="206">
        <v>3.2819934013700496E-3</v>
      </c>
      <c r="BD317" s="206">
        <v>3.2968074105331627E-3</v>
      </c>
      <c r="BE317" s="206">
        <v>3.3107604944984958E-3</v>
      </c>
      <c r="BF317" s="206">
        <v>3.3238409139006104E-3</v>
      </c>
      <c r="BG317" s="206">
        <v>3.3360376131447763E-3</v>
      </c>
      <c r="BH317" s="206">
        <v>3.3473402359384388E-3</v>
      </c>
      <c r="BI317" s="206">
        <v>3.3577391399087979E-3</v>
      </c>
      <c r="BJ317" s="206">
        <v>3.3672254102776952E-3</v>
      </c>
      <c r="BK317" s="206">
        <v>3.3757908725667212E-3</v>
      </c>
      <c r="BL317" s="206">
        <v>3.3834281043072655E-3</v>
      </c>
      <c r="BM317" s="206">
        <v>3.3901304457320857E-3</v>
      </c>
      <c r="BN317" s="206">
        <v>3.3958920094268852E-3</v>
      </c>
      <c r="BO317" s="206">
        <v>3.4007076889223786E-3</v>
      </c>
      <c r="BP317" s="171"/>
      <c r="BQ317" s="207" t="str">
        <f t="shared" ref="BQ317:CC318" si="241">IF(T317&lt;0,"PROBLEMA","")</f>
        <v/>
      </c>
      <c r="BR317" s="207" t="str">
        <f t="shared" si="241"/>
        <v/>
      </c>
      <c r="BS317" s="207" t="str">
        <f t="shared" si="241"/>
        <v/>
      </c>
      <c r="BT317" s="207" t="str">
        <f t="shared" si="241"/>
        <v/>
      </c>
      <c r="BU317" s="207" t="str">
        <f t="shared" si="241"/>
        <v/>
      </c>
      <c r="BV317" s="207"/>
      <c r="BW317" s="207"/>
      <c r="BX317" s="207"/>
      <c r="BY317" s="207"/>
      <c r="BZ317" s="207"/>
      <c r="CA317" s="207"/>
      <c r="CB317" s="207"/>
      <c r="CC317" s="207"/>
    </row>
    <row r="318" spans="1:81" x14ac:dyDescent="0.3">
      <c r="A318" s="388"/>
      <c r="D318" s="359"/>
      <c r="E318" s="172"/>
      <c r="F318" s="174" t="s">
        <v>454</v>
      </c>
      <c r="G318" s="189">
        <f t="shared" si="240"/>
        <v>0</v>
      </c>
      <c r="H318" s="189">
        <f t="shared" si="240"/>
        <v>0</v>
      </c>
      <c r="I318" s="189">
        <f t="shared" si="240"/>
        <v>3.8758500000000002E-4</v>
      </c>
      <c r="J318" s="189">
        <f t="shared" si="240"/>
        <v>0</v>
      </c>
      <c r="K318" s="189">
        <f t="shared" si="240"/>
        <v>0</v>
      </c>
      <c r="L318" s="190">
        <f t="shared" si="240"/>
        <v>0</v>
      </c>
      <c r="M318" s="190">
        <f t="shared" si="240"/>
        <v>0</v>
      </c>
      <c r="N318" s="190">
        <f t="shared" si="240"/>
        <v>0</v>
      </c>
      <c r="O318" s="190">
        <f t="shared" si="240"/>
        <v>0</v>
      </c>
      <c r="P318" s="190">
        <f t="shared" si="240"/>
        <v>0</v>
      </c>
      <c r="Q318" s="190">
        <f t="shared" si="240"/>
        <v>0</v>
      </c>
      <c r="R318" s="190">
        <f t="shared" si="240"/>
        <v>0</v>
      </c>
      <c r="S318" s="206">
        <v>0</v>
      </c>
      <c r="T318" s="206">
        <v>0</v>
      </c>
      <c r="U318" s="206">
        <v>0</v>
      </c>
      <c r="V318" s="206">
        <v>0</v>
      </c>
      <c r="W318" s="206">
        <v>0</v>
      </c>
      <c r="X318" s="206">
        <v>0</v>
      </c>
      <c r="Y318" s="206">
        <v>0</v>
      </c>
      <c r="Z318" s="206">
        <v>0</v>
      </c>
      <c r="AA318" s="206">
        <v>0</v>
      </c>
      <c r="AB318" s="206">
        <v>0</v>
      </c>
      <c r="AC318" s="206">
        <v>0</v>
      </c>
      <c r="AD318" s="206">
        <v>0</v>
      </c>
      <c r="AE318" s="206">
        <v>0</v>
      </c>
      <c r="AF318" s="206">
        <v>0</v>
      </c>
      <c r="AG318" s="206">
        <v>0</v>
      </c>
      <c r="AH318" s="206">
        <v>0</v>
      </c>
      <c r="AI318" s="206">
        <v>0</v>
      </c>
      <c r="AJ318" s="206">
        <v>0</v>
      </c>
      <c r="AK318" s="206">
        <v>0</v>
      </c>
      <c r="AL318" s="206">
        <v>0</v>
      </c>
      <c r="AM318" s="206">
        <v>0</v>
      </c>
      <c r="AN318" s="206">
        <v>0</v>
      </c>
      <c r="AO318" s="206">
        <v>0</v>
      </c>
      <c r="AP318" s="206">
        <v>0</v>
      </c>
      <c r="AQ318" s="206">
        <v>0</v>
      </c>
      <c r="AR318" s="206">
        <v>0</v>
      </c>
      <c r="AS318" s="206">
        <v>0</v>
      </c>
      <c r="AT318" s="206">
        <v>0</v>
      </c>
      <c r="AU318" s="206">
        <v>0</v>
      </c>
      <c r="AV318" s="206">
        <v>0</v>
      </c>
      <c r="AW318" s="206">
        <v>0</v>
      </c>
      <c r="AX318" s="206">
        <v>0</v>
      </c>
      <c r="AY318" s="206">
        <v>0</v>
      </c>
      <c r="AZ318" s="206">
        <v>0</v>
      </c>
      <c r="BA318" s="206">
        <v>0</v>
      </c>
      <c r="BB318" s="206">
        <v>0</v>
      </c>
      <c r="BC318" s="206">
        <v>0</v>
      </c>
      <c r="BD318" s="206">
        <v>0</v>
      </c>
      <c r="BE318" s="206">
        <v>0</v>
      </c>
      <c r="BF318" s="206">
        <v>0</v>
      </c>
      <c r="BG318" s="206">
        <v>0</v>
      </c>
      <c r="BH318" s="206">
        <v>0</v>
      </c>
      <c r="BI318" s="206">
        <v>0</v>
      </c>
      <c r="BJ318" s="206">
        <v>0</v>
      </c>
      <c r="BK318" s="206">
        <v>0</v>
      </c>
      <c r="BL318" s="206">
        <v>0</v>
      </c>
      <c r="BM318" s="206">
        <v>0</v>
      </c>
      <c r="BN318" s="206">
        <v>0</v>
      </c>
      <c r="BO318" s="206">
        <v>0</v>
      </c>
      <c r="BP318" s="171"/>
      <c r="BQ318" s="207" t="str">
        <f t="shared" si="241"/>
        <v/>
      </c>
      <c r="BR318" s="207" t="str">
        <f t="shared" si="241"/>
        <v/>
      </c>
      <c r="BS318" s="207" t="str">
        <f t="shared" si="241"/>
        <v/>
      </c>
      <c r="BT318" s="207" t="str">
        <f t="shared" si="241"/>
        <v/>
      </c>
      <c r="BU318" s="207" t="str">
        <f t="shared" si="241"/>
        <v/>
      </c>
      <c r="BV318" s="207" t="str">
        <f t="shared" si="241"/>
        <v/>
      </c>
      <c r="BW318" s="207" t="str">
        <f t="shared" si="241"/>
        <v/>
      </c>
      <c r="BX318" s="207" t="str">
        <f t="shared" si="241"/>
        <v/>
      </c>
      <c r="BY318" s="207" t="str">
        <f t="shared" si="241"/>
        <v/>
      </c>
      <c r="BZ318" s="207" t="str">
        <f t="shared" si="241"/>
        <v/>
      </c>
      <c r="CA318" s="207" t="str">
        <f t="shared" si="241"/>
        <v/>
      </c>
      <c r="CB318" s="207" t="str">
        <f t="shared" si="241"/>
        <v/>
      </c>
      <c r="CC318" s="207" t="str">
        <f t="shared" si="241"/>
        <v/>
      </c>
    </row>
    <row r="319" spans="1:81" x14ac:dyDescent="0.3">
      <c r="A319" s="354"/>
      <c r="B319" s="354"/>
      <c r="C319" s="354"/>
      <c r="D319" s="359"/>
      <c r="E319" s="172"/>
      <c r="F319" s="179"/>
      <c r="G319" s="179"/>
      <c r="H319" s="179"/>
      <c r="I319" s="179"/>
      <c r="J319" s="179"/>
      <c r="K319" s="179"/>
      <c r="L319" s="201"/>
      <c r="M319" s="201"/>
      <c r="N319" s="201"/>
      <c r="O319" s="201"/>
      <c r="P319" s="201"/>
      <c r="Q319" s="201"/>
      <c r="R319" s="201"/>
      <c r="S319" s="201"/>
      <c r="T319" s="201"/>
      <c r="U319" s="201"/>
      <c r="V319" s="201"/>
      <c r="W319" s="201"/>
      <c r="X319" s="201"/>
      <c r="Y319" s="201"/>
      <c r="Z319" s="201"/>
      <c r="AA319" s="201"/>
      <c r="AB319" s="201"/>
      <c r="AC319" s="201"/>
      <c r="AD319" s="201"/>
      <c r="AE319" s="201"/>
      <c r="AF319" s="201"/>
      <c r="AG319" s="201"/>
      <c r="AH319" s="201"/>
      <c r="AI319" s="201"/>
      <c r="AJ319" s="201"/>
      <c r="AK319" s="201"/>
      <c r="AL319" s="201"/>
      <c r="AM319" s="201"/>
      <c r="AN319" s="201"/>
      <c r="AO319" s="201"/>
      <c r="AP319" s="201"/>
      <c r="AQ319" s="201"/>
      <c r="AR319" s="201"/>
      <c r="AS319" s="201"/>
      <c r="AT319" s="201"/>
      <c r="AU319" s="201"/>
      <c r="AV319" s="201"/>
      <c r="AW319" s="201"/>
      <c r="AX319" s="201"/>
      <c r="AY319" s="201"/>
      <c r="AZ319" s="201"/>
      <c r="BA319" s="201"/>
      <c r="BB319" s="201"/>
      <c r="BC319" s="201"/>
      <c r="BD319" s="201"/>
      <c r="BE319" s="201"/>
      <c r="BF319" s="201"/>
      <c r="BG319" s="201"/>
      <c r="BH319" s="201"/>
      <c r="BI319" s="201"/>
      <c r="BJ319" s="201"/>
      <c r="BK319" s="201"/>
      <c r="BL319" s="201"/>
      <c r="BM319" s="201"/>
      <c r="BN319" s="201"/>
      <c r="BO319" s="201"/>
      <c r="BP319" s="171"/>
    </row>
    <row r="320" spans="1:81" ht="15.6" x14ac:dyDescent="0.3">
      <c r="A320" s="354"/>
      <c r="B320" s="354"/>
      <c r="C320" s="354"/>
      <c r="D320" s="359"/>
      <c r="E320" s="172"/>
      <c r="F320" s="167" t="s">
        <v>618</v>
      </c>
      <c r="G320" s="168"/>
      <c r="H320" s="168"/>
      <c r="I320" s="168"/>
      <c r="J320" s="168"/>
      <c r="K320" s="168"/>
      <c r="L320" s="169"/>
      <c r="M320" s="170"/>
      <c r="N320" s="170"/>
      <c r="O320" s="170"/>
      <c r="P320" s="170"/>
      <c r="Q320" s="170"/>
      <c r="R320" s="170"/>
      <c r="S320" s="170"/>
      <c r="T320" s="170"/>
      <c r="U320" s="170"/>
      <c r="V320" s="170"/>
      <c r="W320" s="170"/>
      <c r="X320" s="170"/>
      <c r="Y320" s="170"/>
      <c r="Z320" s="170"/>
      <c r="AA320" s="170"/>
      <c r="AB320" s="170"/>
      <c r="AC320" s="170"/>
      <c r="AD320" s="170"/>
      <c r="AE320" s="170"/>
      <c r="AF320" s="170"/>
      <c r="AG320" s="170"/>
      <c r="AH320" s="170"/>
      <c r="AI320" s="170"/>
      <c r="AJ320" s="170"/>
      <c r="AK320" s="170"/>
      <c r="AL320" s="170"/>
      <c r="AM320" s="170"/>
      <c r="AN320" s="170"/>
      <c r="AO320" s="170"/>
      <c r="AP320" s="170"/>
      <c r="AQ320" s="170"/>
      <c r="AR320" s="170"/>
      <c r="AS320" s="170"/>
      <c r="AT320" s="170"/>
      <c r="AU320" s="170"/>
      <c r="AV320" s="170"/>
      <c r="AW320" s="170"/>
      <c r="AX320" s="170"/>
      <c r="AY320" s="170"/>
      <c r="AZ320" s="170"/>
      <c r="BA320" s="170"/>
      <c r="BB320" s="170"/>
      <c r="BC320" s="170"/>
      <c r="BD320" s="170"/>
      <c r="BE320" s="170"/>
      <c r="BF320" s="170"/>
      <c r="BG320" s="170"/>
      <c r="BH320" s="170"/>
      <c r="BI320" s="170"/>
      <c r="BJ320" s="170"/>
      <c r="BK320" s="170"/>
      <c r="BL320" s="170"/>
      <c r="BM320" s="170"/>
      <c r="BN320" s="170"/>
      <c r="BO320" s="170"/>
      <c r="BP320" s="171"/>
    </row>
    <row r="321" spans="1:68" ht="15.6" x14ac:dyDescent="0.3">
      <c r="A321" s="354"/>
      <c r="B321" s="354"/>
      <c r="C321" s="354"/>
      <c r="D321" s="359"/>
      <c r="E321" s="172"/>
      <c r="F321" s="173" t="s">
        <v>619</v>
      </c>
      <c r="G321" s="168"/>
      <c r="H321" s="168"/>
      <c r="I321" s="168"/>
      <c r="J321" s="168"/>
      <c r="K321" s="168"/>
      <c r="L321" s="169"/>
      <c r="M321" s="170"/>
      <c r="N321" s="170"/>
      <c r="O321" s="170"/>
      <c r="P321" s="170"/>
      <c r="Q321" s="170"/>
      <c r="R321" s="170"/>
      <c r="S321" s="170"/>
      <c r="T321" s="170"/>
      <c r="U321" s="170"/>
      <c r="V321" s="170"/>
      <c r="W321" s="170"/>
      <c r="X321" s="170"/>
      <c r="Y321" s="170"/>
      <c r="Z321" s="170"/>
      <c r="AA321" s="170"/>
      <c r="AB321" s="170"/>
      <c r="AC321" s="170"/>
      <c r="AD321" s="170"/>
      <c r="AE321" s="170"/>
      <c r="AF321" s="170"/>
      <c r="AG321" s="170"/>
      <c r="AH321" s="170"/>
      <c r="AI321" s="170"/>
      <c r="AJ321" s="170"/>
      <c r="AK321" s="170"/>
      <c r="AL321" s="170"/>
      <c r="AM321" s="170"/>
      <c r="AN321" s="170"/>
      <c r="AO321" s="170"/>
      <c r="AP321" s="170"/>
      <c r="AQ321" s="170"/>
      <c r="AR321" s="170"/>
      <c r="AS321" s="170"/>
      <c r="AT321" s="170"/>
      <c r="AU321" s="170"/>
      <c r="AV321" s="170"/>
      <c r="AW321" s="170"/>
      <c r="AX321" s="170"/>
      <c r="AY321" s="170"/>
      <c r="AZ321" s="170"/>
      <c r="BA321" s="170"/>
      <c r="BB321" s="170"/>
      <c r="BC321" s="170"/>
      <c r="BD321" s="170"/>
      <c r="BE321" s="170"/>
      <c r="BF321" s="170"/>
      <c r="BG321" s="170"/>
      <c r="BH321" s="170"/>
      <c r="BI321" s="170"/>
      <c r="BJ321" s="170"/>
      <c r="BK321" s="170"/>
      <c r="BL321" s="170"/>
      <c r="BM321" s="170"/>
      <c r="BN321" s="170"/>
      <c r="BO321" s="170"/>
      <c r="BP321" s="171"/>
    </row>
    <row r="322" spans="1:68" x14ac:dyDescent="0.3">
      <c r="A322" s="364"/>
      <c r="B322" s="352"/>
      <c r="C322" s="352"/>
      <c r="D322" s="359"/>
      <c r="E322" s="172"/>
      <c r="F322" s="174" t="s">
        <v>620</v>
      </c>
      <c r="G322" s="168">
        <v>0.25879645099999998</v>
      </c>
      <c r="H322" s="168">
        <v>0.26685289100000004</v>
      </c>
      <c r="I322" s="168">
        <v>0.26387874500000003</v>
      </c>
      <c r="J322" s="168">
        <v>0.259493696</v>
      </c>
      <c r="K322" s="168">
        <v>0.23052160399999999</v>
      </c>
      <c r="L322" s="169">
        <v>0.21373535100000002</v>
      </c>
      <c r="M322" s="170">
        <v>0.21330618199999998</v>
      </c>
      <c r="N322" s="170">
        <v>0.21823090742999998</v>
      </c>
      <c r="O322" s="198">
        <f t="shared" ref="O322:BO323" si="242">O294+O317-O309</f>
        <v>0.21484556591000001</v>
      </c>
      <c r="P322" s="198">
        <f t="shared" si="242"/>
        <v>0.230493844531</v>
      </c>
      <c r="Q322" s="198">
        <f t="shared" si="242"/>
        <v>0.23510413360899998</v>
      </c>
      <c r="R322" s="198">
        <f t="shared" si="242"/>
        <v>0.24765163843700003</v>
      </c>
      <c r="S322" s="198">
        <f t="shared" si="242"/>
        <v>0.25271801427996654</v>
      </c>
      <c r="T322" s="198">
        <f t="shared" si="242"/>
        <v>0.25604773695717575</v>
      </c>
      <c r="U322" s="198">
        <f t="shared" si="242"/>
        <v>0.25940046790346494</v>
      </c>
      <c r="V322" s="198">
        <f t="shared" si="242"/>
        <v>0.26272339255672117</v>
      </c>
      <c r="W322" s="198">
        <f t="shared" si="242"/>
        <v>0.26601282654933339</v>
      </c>
      <c r="X322" s="198">
        <f t="shared" si="242"/>
        <v>0.26926751914412433</v>
      </c>
      <c r="Y322" s="198">
        <f t="shared" si="242"/>
        <v>0.27248514775802735</v>
      </c>
      <c r="Z322" s="198">
        <f t="shared" si="242"/>
        <v>0.2756652339533503</v>
      </c>
      <c r="AA322" s="198">
        <f t="shared" si="242"/>
        <v>0.27880424012075711</v>
      </c>
      <c r="AB322" s="198">
        <f t="shared" si="242"/>
        <v>0.28190048664233736</v>
      </c>
      <c r="AC322" s="198">
        <f t="shared" si="242"/>
        <v>0.28495181300777922</v>
      </c>
      <c r="AD322" s="198">
        <f t="shared" si="242"/>
        <v>0.28795571832934969</v>
      </c>
      <c r="AE322" s="198">
        <f t="shared" si="242"/>
        <v>0.29091095528671473</v>
      </c>
      <c r="AF322" s="198">
        <f t="shared" si="242"/>
        <v>0.29381537238803762</v>
      </c>
      <c r="AG322" s="198">
        <f t="shared" si="242"/>
        <v>0.29666769149729055</v>
      </c>
      <c r="AH322" s="198">
        <f t="shared" si="242"/>
        <v>0.29946548986285282</v>
      </c>
      <c r="AI322" s="198">
        <f t="shared" si="242"/>
        <v>0.30220778312927654</v>
      </c>
      <c r="AJ322" s="198">
        <f t="shared" si="242"/>
        <v>0.30489276696208889</v>
      </c>
      <c r="AK322" s="198">
        <f t="shared" si="242"/>
        <v>0.3075191724374618</v>
      </c>
      <c r="AL322" s="198">
        <f t="shared" si="242"/>
        <v>0.31008663406455744</v>
      </c>
      <c r="AM322" s="198">
        <f t="shared" si="242"/>
        <v>0.31259424907642069</v>
      </c>
      <c r="AN322" s="198">
        <f t="shared" si="242"/>
        <v>0.315040463728883</v>
      </c>
      <c r="AO322" s="198">
        <f t="shared" si="242"/>
        <v>0.3174249250263097</v>
      </c>
      <c r="AP322" s="198">
        <f t="shared" si="242"/>
        <v>0.31974607758635637</v>
      </c>
      <c r="AQ322" s="198">
        <f t="shared" si="242"/>
        <v>0.32200349657751032</v>
      </c>
      <c r="AR322" s="198">
        <f t="shared" si="242"/>
        <v>0.32419749276506865</v>
      </c>
      <c r="AS322" s="198">
        <f t="shared" si="242"/>
        <v>0.32632619773891369</v>
      </c>
      <c r="AT322" s="198">
        <f t="shared" si="242"/>
        <v>0.328390119881868</v>
      </c>
      <c r="AU322" s="198">
        <f t="shared" si="242"/>
        <v>0.33038990977470151</v>
      </c>
      <c r="AV322" s="198">
        <f t="shared" si="242"/>
        <v>0.33232422131472461</v>
      </c>
      <c r="AW322" s="198">
        <f t="shared" si="242"/>
        <v>0.33419174606856134</v>
      </c>
      <c r="AX322" s="198">
        <f t="shared" si="242"/>
        <v>0.33599121474159038</v>
      </c>
      <c r="AY322" s="198">
        <f t="shared" si="242"/>
        <v>0.33772139861065803</v>
      </c>
      <c r="AZ322" s="198">
        <f t="shared" si="242"/>
        <v>0.33938111091780737</v>
      </c>
      <c r="BA322" s="198">
        <f t="shared" si="242"/>
        <v>0.3409692082228179</v>
      </c>
      <c r="BB322" s="198">
        <f t="shared" si="242"/>
        <v>0.34248459171240475</v>
      </c>
      <c r="BC322" s="198">
        <f t="shared" si="242"/>
        <v>0.34392620846398542</v>
      </c>
      <c r="BD322" s="198">
        <f t="shared" si="242"/>
        <v>0.34529305266198373</v>
      </c>
      <c r="BE322" s="198">
        <f t="shared" si="242"/>
        <v>0.34658416676470993</v>
      </c>
      <c r="BF322" s="198">
        <f t="shared" si="242"/>
        <v>0.3477986426199261</v>
      </c>
      <c r="BG322" s="198">
        <f t="shared" si="242"/>
        <v>0.34893562252728089</v>
      </c>
      <c r="BH322" s="198">
        <f t="shared" si="242"/>
        <v>0.34999430024587708</v>
      </c>
      <c r="BI322" s="198">
        <f t="shared" si="242"/>
        <v>0.35097392194531907</v>
      </c>
      <c r="BJ322" s="198">
        <f t="shared" si="242"/>
        <v>0.35187378709867106</v>
      </c>
      <c r="BK322" s="198">
        <f t="shared" si="242"/>
        <v>0.35269324931585011</v>
      </c>
      <c r="BL322" s="198">
        <f t="shared" si="242"/>
        <v>0.35343171711606558</v>
      </c>
      <c r="BM322" s="198">
        <f t="shared" si="242"/>
        <v>0.35408865463801747</v>
      </c>
      <c r="BN322" s="198">
        <f t="shared" si="242"/>
        <v>0.35466358228666012</v>
      </c>
      <c r="BO322" s="198">
        <f t="shared" si="242"/>
        <v>0.35515607731544269</v>
      </c>
      <c r="BP322" s="171"/>
    </row>
    <row r="323" spans="1:68" x14ac:dyDescent="0.3">
      <c r="A323" s="364"/>
      <c r="B323" s="352"/>
      <c r="C323" s="352"/>
      <c r="D323" s="359"/>
      <c r="E323" s="172"/>
      <c r="F323" s="174" t="s">
        <v>603</v>
      </c>
      <c r="G323" s="189">
        <v>2.1588679959999997</v>
      </c>
      <c r="H323" s="189">
        <v>2.4185589699999999</v>
      </c>
      <c r="I323" s="189">
        <v>2.1549189280000003</v>
      </c>
      <c r="J323" s="189">
        <v>2.3616855109999997</v>
      </c>
      <c r="K323" s="189">
        <v>2.0743905679999997</v>
      </c>
      <c r="L323" s="190">
        <v>1.8531212690000001</v>
      </c>
      <c r="M323" s="190">
        <v>1.9002678759999998</v>
      </c>
      <c r="N323" s="190">
        <v>1.85005398321</v>
      </c>
      <c r="O323" s="190">
        <v>1.8666670008000001</v>
      </c>
      <c r="P323" s="190">
        <v>1.85195164803</v>
      </c>
      <c r="Q323" s="190">
        <v>1.7874890300000001</v>
      </c>
      <c r="R323" s="198">
        <f t="shared" si="242"/>
        <v>1.9759376402367035</v>
      </c>
      <c r="S323" s="198">
        <f t="shared" si="242"/>
        <v>2.0055361503869946</v>
      </c>
      <c r="T323" s="198">
        <f t="shared" si="242"/>
        <v>2.0362537996056309</v>
      </c>
      <c r="U323" s="198">
        <f t="shared" si="242"/>
        <v>2.0667972878102523</v>
      </c>
      <c r="V323" s="198">
        <f t="shared" si="242"/>
        <v>2.097177726728642</v>
      </c>
      <c r="W323" s="198">
        <f t="shared" si="242"/>
        <v>2.1273722437454521</v>
      </c>
      <c r="X323" s="198">
        <f t="shared" si="242"/>
        <v>2.1573729322267048</v>
      </c>
      <c r="Y323" s="198">
        <f t="shared" si="242"/>
        <v>2.1871646077624254</v>
      </c>
      <c r="Z323" s="198">
        <f t="shared" si="242"/>
        <v>2.2167450323590407</v>
      </c>
      <c r="AA323" s="198">
        <f t="shared" si="242"/>
        <v>2.2460851440772194</v>
      </c>
      <c r="AB323" s="198">
        <f t="shared" si="242"/>
        <v>2.2751703405967656</v>
      </c>
      <c r="AC323" s="198">
        <f t="shared" si="242"/>
        <v>2.3039817586945395</v>
      </c>
      <c r="AD323" s="198">
        <f t="shared" si="242"/>
        <v>2.3324974289209255</v>
      </c>
      <c r="AE323" s="198">
        <f t="shared" si="242"/>
        <v>2.3607053071930153</v>
      </c>
      <c r="AF323" s="198">
        <f t="shared" si="242"/>
        <v>2.3885858322063851</v>
      </c>
      <c r="AG323" s="198">
        <f t="shared" si="242"/>
        <v>2.4161263934252384</v>
      </c>
      <c r="AH323" s="198">
        <f t="shared" si="242"/>
        <v>2.4433049622621685</v>
      </c>
      <c r="AI323" s="198">
        <f t="shared" si="242"/>
        <v>2.4701110883382276</v>
      </c>
      <c r="AJ323" s="198">
        <f t="shared" si="242"/>
        <v>2.4965275563171567</v>
      </c>
      <c r="AK323" s="198">
        <f t="shared" si="242"/>
        <v>2.5225414254475393</v>
      </c>
      <c r="AL323" s="198">
        <f t="shared" si="242"/>
        <v>2.5481470889107802</v>
      </c>
      <c r="AM323" s="198">
        <f t="shared" si="242"/>
        <v>2.5733345037661652</v>
      </c>
      <c r="AN323" s="198">
        <f t="shared" si="242"/>
        <v>2.5980882160962966</v>
      </c>
      <c r="AO323" s="198">
        <f t="shared" si="242"/>
        <v>2.6224025834137934</v>
      </c>
      <c r="AP323" s="198">
        <f t="shared" si="242"/>
        <v>2.6462620112550974</v>
      </c>
      <c r="AQ323" s="198">
        <f t="shared" si="242"/>
        <v>2.6696601711211208</v>
      </c>
      <c r="AR323" s="198">
        <f t="shared" si="242"/>
        <v>2.6925968091028283</v>
      </c>
      <c r="AS323" s="198">
        <f t="shared" si="242"/>
        <v>2.715053593958237</v>
      </c>
      <c r="AT323" s="198">
        <f t="shared" si="242"/>
        <v>2.7370318595272649</v>
      </c>
      <c r="AU323" s="198">
        <f t="shared" si="242"/>
        <v>2.7585341558575847</v>
      </c>
      <c r="AV323" s="198">
        <f t="shared" si="242"/>
        <v>2.7795464037497832</v>
      </c>
      <c r="AW323" s="198">
        <f t="shared" si="242"/>
        <v>2.8000547620499967</v>
      </c>
      <c r="AX323" s="198">
        <f t="shared" si="242"/>
        <v>2.8200456427493661</v>
      </c>
      <c r="AY323" s="198">
        <f t="shared" si="242"/>
        <v>2.8395057258998104</v>
      </c>
      <c r="AZ323" s="198">
        <f t="shared" si="242"/>
        <v>2.8584219743242101</v>
      </c>
      <c r="BA323" s="198">
        <f t="shared" si="242"/>
        <v>2.8767816480987736</v>
      </c>
      <c r="BB323" s="198">
        <f t="shared" si="242"/>
        <v>2.894572318785269</v>
      </c>
      <c r="BC323" s="198">
        <f t="shared" si="242"/>
        <v>2.9117818833912787</v>
      </c>
      <c r="BD323" s="198">
        <f t="shared" si="242"/>
        <v>2.9283985780366093</v>
      </c>
      <c r="BE323" s="198">
        <f t="shared" si="242"/>
        <v>2.9444109913044518</v>
      </c>
      <c r="BF323" s="198">
        <f t="shared" si="242"/>
        <v>2.9598080772561648</v>
      </c>
      <c r="BG323" s="198">
        <f t="shared" si="242"/>
        <v>2.9745791680889941</v>
      </c>
      <c r="BH323" s="198">
        <f t="shared" si="242"/>
        <v>2.9887139864165326</v>
      </c>
      <c r="BI323" s="198">
        <f t="shared" si="242"/>
        <v>3.0022026571521607</v>
      </c>
      <c r="BJ323" s="198">
        <f t="shared" si="242"/>
        <v>3.0150357189763226</v>
      </c>
      <c r="BK323" s="198">
        <f t="shared" si="242"/>
        <v>3.0272041353690429</v>
      </c>
      <c r="BL323" s="198">
        <f t="shared" si="242"/>
        <v>3.0386993051897151</v>
      </c>
      <c r="BM323" s="198">
        <f t="shared" si="242"/>
        <v>3.0495130727868722</v>
      </c>
      <c r="BN323" s="198">
        <f t="shared" si="242"/>
        <v>3.0596377376213368</v>
      </c>
      <c r="BO323" s="198">
        <f t="shared" si="242"/>
        <v>3.0690660633869054</v>
      </c>
      <c r="BP323" s="171"/>
    </row>
    <row r="324" spans="1:68" x14ac:dyDescent="0.3">
      <c r="D324" s="359"/>
      <c r="E324" s="172"/>
      <c r="F324" s="174"/>
      <c r="G324" s="189"/>
      <c r="H324" s="189"/>
      <c r="I324" s="189"/>
      <c r="J324" s="189"/>
      <c r="K324" s="189"/>
      <c r="L324" s="190"/>
      <c r="M324" s="190"/>
      <c r="N324" s="190"/>
      <c r="O324" s="190"/>
      <c r="P324" s="190"/>
      <c r="Q324" s="190"/>
      <c r="R324" s="190"/>
      <c r="S324" s="190"/>
      <c r="T324" s="190"/>
      <c r="U324" s="190"/>
      <c r="V324" s="190"/>
      <c r="W324" s="190"/>
      <c r="X324" s="190"/>
      <c r="Y324" s="190"/>
      <c r="Z324" s="190"/>
      <c r="AA324" s="190"/>
      <c r="AB324" s="190"/>
      <c r="AC324" s="190"/>
      <c r="AD324" s="190"/>
      <c r="AE324" s="190"/>
      <c r="AF324" s="190"/>
      <c r="AG324" s="190"/>
      <c r="AH324" s="190"/>
      <c r="AI324" s="190"/>
      <c r="AJ324" s="190"/>
      <c r="AK324" s="190"/>
      <c r="AL324" s="190"/>
      <c r="AM324" s="190"/>
      <c r="AN324" s="190"/>
      <c r="AO324" s="190"/>
      <c r="AP324" s="190"/>
      <c r="AQ324" s="190"/>
      <c r="AR324" s="190"/>
      <c r="AS324" s="190"/>
      <c r="AT324" s="190"/>
      <c r="AU324" s="190"/>
      <c r="AV324" s="190"/>
      <c r="AW324" s="190"/>
      <c r="AX324" s="190"/>
      <c r="AY324" s="190"/>
      <c r="AZ324" s="190"/>
      <c r="BA324" s="190"/>
      <c r="BB324" s="190"/>
      <c r="BC324" s="190"/>
      <c r="BD324" s="190"/>
      <c r="BE324" s="190"/>
      <c r="BF324" s="190"/>
      <c r="BG324" s="190"/>
      <c r="BH324" s="190"/>
      <c r="BI324" s="190"/>
      <c r="BJ324" s="190"/>
      <c r="BK324" s="190"/>
      <c r="BL324" s="190"/>
      <c r="BM324" s="190"/>
      <c r="BN324" s="190"/>
      <c r="BO324" s="190"/>
      <c r="BP324" s="171"/>
    </row>
    <row r="325" spans="1:68" ht="15" thickBot="1" x14ac:dyDescent="0.35">
      <c r="A325" s="354"/>
      <c r="B325" s="354"/>
      <c r="C325" s="354"/>
      <c r="D325" s="359"/>
      <c r="E325" s="192"/>
      <c r="F325" s="193"/>
      <c r="G325" s="193"/>
      <c r="H325" s="193"/>
      <c r="I325" s="193"/>
      <c r="J325" s="193"/>
      <c r="K325" s="193"/>
      <c r="L325" s="194"/>
      <c r="M325" s="194"/>
      <c r="N325" s="194"/>
      <c r="O325" s="195"/>
      <c r="P325" s="195"/>
      <c r="Q325" s="195"/>
      <c r="R325" s="195"/>
      <c r="S325" s="195"/>
      <c r="T325" s="195"/>
      <c r="U325" s="195"/>
      <c r="V325" s="195"/>
      <c r="W325" s="195"/>
      <c r="X325" s="195"/>
      <c r="Y325" s="195"/>
      <c r="Z325" s="195"/>
      <c r="AA325" s="195"/>
      <c r="AB325" s="195"/>
      <c r="AC325" s="195"/>
      <c r="AD325" s="195"/>
      <c r="AE325" s="195"/>
      <c r="AF325" s="195"/>
      <c r="AG325" s="195"/>
      <c r="AH325" s="195"/>
      <c r="AI325" s="195"/>
      <c r="AJ325" s="195"/>
      <c r="AK325" s="195"/>
      <c r="AL325" s="195"/>
      <c r="AM325" s="195"/>
      <c r="AN325" s="195"/>
      <c r="AO325" s="195"/>
      <c r="AP325" s="195"/>
      <c r="AQ325" s="195"/>
      <c r="AR325" s="195"/>
      <c r="AS325" s="195"/>
      <c r="AT325" s="195"/>
      <c r="AU325" s="195"/>
      <c r="AV325" s="195"/>
      <c r="AW325" s="195"/>
      <c r="AX325" s="195"/>
      <c r="AY325" s="195"/>
      <c r="AZ325" s="195"/>
      <c r="BA325" s="195"/>
      <c r="BB325" s="195"/>
      <c r="BC325" s="195"/>
      <c r="BD325" s="195"/>
      <c r="BE325" s="195"/>
      <c r="BF325" s="195"/>
      <c r="BG325" s="195"/>
      <c r="BH325" s="195"/>
      <c r="BI325" s="195"/>
      <c r="BJ325" s="195"/>
      <c r="BK325" s="195"/>
      <c r="BL325" s="195"/>
      <c r="BM325" s="195"/>
      <c r="BN325" s="195"/>
      <c r="BO325" s="195"/>
      <c r="BP325" s="196"/>
    </row>
    <row r="326" spans="1:68" x14ac:dyDescent="0.3">
      <c r="A326" s="354"/>
      <c r="B326" s="354"/>
      <c r="C326" s="354"/>
      <c r="D326" s="359"/>
      <c r="E326" s="359"/>
      <c r="F326" s="103"/>
      <c r="G326" s="103"/>
      <c r="H326" s="103"/>
      <c r="I326" s="103"/>
      <c r="J326" s="103"/>
      <c r="K326" s="103"/>
      <c r="L326" s="359"/>
      <c r="M326" s="359"/>
      <c r="N326" s="359"/>
      <c r="O326" s="359"/>
      <c r="P326" s="359"/>
      <c r="Q326" s="359"/>
      <c r="R326" s="359"/>
      <c r="S326" s="359"/>
      <c r="T326" s="359"/>
      <c r="U326" s="359"/>
      <c r="V326" s="359"/>
      <c r="W326" s="359"/>
      <c r="X326" s="359"/>
      <c r="Y326" s="359"/>
      <c r="Z326" s="359"/>
      <c r="AA326" s="359"/>
      <c r="AB326" s="359"/>
      <c r="AC326" s="359"/>
      <c r="AD326" s="359"/>
      <c r="AE326" s="359"/>
      <c r="AF326" s="359"/>
      <c r="AG326" s="359"/>
      <c r="AH326" s="359"/>
      <c r="AI326" s="359"/>
      <c r="AJ326" s="359"/>
      <c r="AK326" s="359"/>
      <c r="AL326" s="359"/>
      <c r="AM326" s="359"/>
      <c r="AN326" s="359"/>
      <c r="AO326" s="359"/>
      <c r="AP326" s="359"/>
      <c r="AQ326" s="359"/>
      <c r="AR326" s="359"/>
      <c r="AS326" s="359"/>
      <c r="AT326" s="359"/>
      <c r="AU326" s="359"/>
      <c r="AV326" s="359"/>
      <c r="AW326" s="359"/>
      <c r="AX326" s="359"/>
      <c r="AY326" s="359"/>
      <c r="AZ326" s="359"/>
      <c r="BA326" s="359"/>
      <c r="BB326" s="359"/>
      <c r="BC326" s="359"/>
      <c r="BD326" s="359"/>
      <c r="BE326" s="359"/>
      <c r="BF326" s="359"/>
      <c r="BG326" s="359"/>
      <c r="BH326" s="359"/>
      <c r="BI326" s="359"/>
      <c r="BJ326" s="359"/>
      <c r="BK326" s="359"/>
      <c r="BL326" s="359"/>
      <c r="BM326" s="359"/>
      <c r="BN326" s="359"/>
      <c r="BO326" s="359"/>
      <c r="BP326" s="103"/>
    </row>
    <row r="327" spans="1:68" ht="25.8" x14ac:dyDescent="0.3">
      <c r="A327" s="354"/>
      <c r="B327" s="354"/>
      <c r="C327" s="354"/>
      <c r="D327" s="359"/>
      <c r="E327" s="104"/>
      <c r="F327" s="104" t="s">
        <v>621</v>
      </c>
      <c r="G327" s="104"/>
      <c r="H327" s="103"/>
      <c r="I327" s="103"/>
      <c r="J327" s="103"/>
      <c r="K327" s="103"/>
      <c r="L327" s="359"/>
      <c r="M327" s="359"/>
      <c r="N327" s="359"/>
      <c r="O327" s="359"/>
      <c r="P327" s="359"/>
      <c r="Q327" s="359"/>
      <c r="R327" s="359"/>
      <c r="S327" s="359"/>
      <c r="T327" s="359"/>
      <c r="U327" s="359"/>
      <c r="V327" s="359"/>
      <c r="W327" s="359"/>
      <c r="X327" s="359"/>
      <c r="Y327" s="359"/>
      <c r="Z327" s="359"/>
      <c r="AA327" s="359"/>
      <c r="AB327" s="359"/>
      <c r="AC327" s="359"/>
      <c r="AD327" s="359"/>
      <c r="AE327" s="359"/>
      <c r="AF327" s="359"/>
      <c r="AG327" s="359"/>
      <c r="AH327" s="359"/>
      <c r="AI327" s="359"/>
      <c r="AJ327" s="359"/>
      <c r="AK327" s="359"/>
      <c r="AL327" s="359"/>
      <c r="AM327" s="359"/>
      <c r="AN327" s="359"/>
      <c r="AO327" s="359"/>
      <c r="AP327" s="359"/>
      <c r="AQ327" s="359"/>
      <c r="AR327" s="359"/>
      <c r="AS327" s="359"/>
      <c r="AT327" s="359"/>
      <c r="AU327" s="359"/>
      <c r="AV327" s="359"/>
      <c r="AW327" s="359"/>
      <c r="AX327" s="359"/>
      <c r="AY327" s="359"/>
      <c r="AZ327" s="359"/>
      <c r="BA327" s="359"/>
      <c r="BB327" s="359"/>
      <c r="BC327" s="359"/>
      <c r="BD327" s="359"/>
      <c r="BE327" s="359"/>
      <c r="BF327" s="359"/>
      <c r="BG327" s="359"/>
      <c r="BH327" s="359"/>
      <c r="BI327" s="359"/>
      <c r="BJ327" s="359"/>
      <c r="BK327" s="359"/>
      <c r="BL327" s="359"/>
      <c r="BM327" s="359"/>
      <c r="BN327" s="359"/>
      <c r="BO327" s="359"/>
      <c r="BP327" s="103"/>
    </row>
    <row r="328" spans="1:68" ht="15" thickBot="1" x14ac:dyDescent="0.35">
      <c r="A328" s="354"/>
      <c r="B328" s="354"/>
      <c r="C328" s="354"/>
      <c r="D328" s="359"/>
      <c r="E328" s="38"/>
      <c r="L328" s="38"/>
      <c r="M328" s="38"/>
      <c r="N328" s="38"/>
      <c r="O328" s="359"/>
      <c r="P328" s="359"/>
      <c r="Q328" s="359"/>
      <c r="R328" s="359"/>
      <c r="S328" s="359"/>
      <c r="T328" s="359"/>
      <c r="U328" s="359"/>
      <c r="V328" s="359"/>
      <c r="W328" s="359"/>
      <c r="X328" s="359"/>
      <c r="Y328" s="359"/>
      <c r="Z328" s="359"/>
      <c r="AA328" s="359"/>
      <c r="AB328" s="359"/>
      <c r="AC328" s="359"/>
      <c r="AD328" s="359"/>
      <c r="AE328" s="359"/>
      <c r="AF328" s="359"/>
      <c r="AG328" s="359"/>
      <c r="AH328" s="359"/>
      <c r="AI328" s="359"/>
      <c r="AJ328" s="359"/>
      <c r="AK328" s="359"/>
      <c r="AL328" s="359"/>
      <c r="AM328" s="359"/>
      <c r="AN328" s="359"/>
      <c r="AO328" s="359"/>
      <c r="AP328" s="359"/>
      <c r="AQ328" s="359"/>
      <c r="AR328" s="359"/>
      <c r="AS328" s="359"/>
      <c r="AT328" s="359"/>
      <c r="AU328" s="359"/>
      <c r="AV328" s="359"/>
      <c r="AW328" s="359"/>
      <c r="AX328" s="359"/>
      <c r="AY328" s="359"/>
      <c r="AZ328" s="359"/>
      <c r="BA328" s="359"/>
      <c r="BB328" s="359"/>
      <c r="BC328" s="359"/>
      <c r="BD328" s="359"/>
      <c r="BE328" s="359"/>
      <c r="BF328" s="359"/>
      <c r="BG328" s="359"/>
      <c r="BH328" s="359"/>
      <c r="BI328" s="359"/>
      <c r="BJ328" s="359"/>
      <c r="BK328" s="359"/>
      <c r="BL328" s="359"/>
      <c r="BM328" s="359"/>
      <c r="BN328" s="359"/>
      <c r="BO328" s="359"/>
    </row>
    <row r="329" spans="1:68" x14ac:dyDescent="0.3">
      <c r="A329" s="354"/>
      <c r="B329" s="354"/>
      <c r="C329" s="354"/>
      <c r="D329" s="359"/>
      <c r="E329" s="208"/>
      <c r="F329" s="209"/>
      <c r="G329" s="209"/>
      <c r="H329" s="209"/>
      <c r="I329" s="209"/>
      <c r="J329" s="209"/>
      <c r="K329" s="209"/>
      <c r="L329" s="210"/>
      <c r="M329" s="210"/>
      <c r="N329" s="210"/>
      <c r="O329" s="210"/>
      <c r="P329" s="210"/>
      <c r="Q329" s="210"/>
      <c r="R329" s="210"/>
      <c r="S329" s="210"/>
      <c r="T329" s="210"/>
      <c r="U329" s="210"/>
      <c r="V329" s="210"/>
      <c r="W329" s="210"/>
      <c r="X329" s="210"/>
      <c r="Y329" s="210"/>
      <c r="Z329" s="210"/>
      <c r="AA329" s="210"/>
      <c r="AB329" s="210"/>
      <c r="AC329" s="210"/>
      <c r="AD329" s="210"/>
      <c r="AE329" s="210"/>
      <c r="AF329" s="210"/>
      <c r="AG329" s="210"/>
      <c r="AH329" s="210"/>
      <c r="AI329" s="210"/>
      <c r="AJ329" s="210"/>
      <c r="AK329" s="210"/>
      <c r="AL329" s="210"/>
      <c r="AM329" s="210"/>
      <c r="AN329" s="210"/>
      <c r="AO329" s="210"/>
      <c r="AP329" s="210"/>
      <c r="AQ329" s="210"/>
      <c r="AR329" s="210"/>
      <c r="AS329" s="210"/>
      <c r="AT329" s="210"/>
      <c r="AU329" s="210"/>
      <c r="AV329" s="210"/>
      <c r="AW329" s="210"/>
      <c r="AX329" s="210"/>
      <c r="AY329" s="210"/>
      <c r="AZ329" s="210"/>
      <c r="BA329" s="210"/>
      <c r="BB329" s="210"/>
      <c r="BC329" s="210"/>
      <c r="BD329" s="210"/>
      <c r="BE329" s="210"/>
      <c r="BF329" s="210"/>
      <c r="BG329" s="210"/>
      <c r="BH329" s="210"/>
      <c r="BI329" s="210"/>
      <c r="BJ329" s="210"/>
      <c r="BK329" s="210"/>
      <c r="BL329" s="210"/>
      <c r="BM329" s="210"/>
      <c r="BN329" s="210"/>
      <c r="BO329" s="210"/>
      <c r="BP329" s="211"/>
    </row>
    <row r="330" spans="1:68" ht="15.6" x14ac:dyDescent="0.3">
      <c r="A330" s="354"/>
      <c r="B330" s="354"/>
      <c r="C330" s="354"/>
      <c r="D330" s="359"/>
      <c r="E330" s="212"/>
      <c r="F330" s="213" t="s">
        <v>622</v>
      </c>
      <c r="G330" s="214"/>
      <c r="H330" s="214"/>
      <c r="I330" s="214"/>
      <c r="J330" s="214"/>
      <c r="K330" s="214"/>
      <c r="L330" s="215"/>
      <c r="M330" s="216"/>
      <c r="N330" s="216"/>
      <c r="O330" s="216"/>
      <c r="P330" s="216"/>
      <c r="Q330" s="216"/>
      <c r="R330" s="216"/>
      <c r="S330" s="216"/>
      <c r="T330" s="216"/>
      <c r="U330" s="216"/>
      <c r="V330" s="216"/>
      <c r="W330" s="216"/>
      <c r="X330" s="216"/>
      <c r="Y330" s="216"/>
      <c r="Z330" s="216"/>
      <c r="AA330" s="216"/>
      <c r="AB330" s="216"/>
      <c r="AC330" s="216"/>
      <c r="AD330" s="216"/>
      <c r="AE330" s="216"/>
      <c r="AF330" s="216"/>
      <c r="AG330" s="216"/>
      <c r="AH330" s="216"/>
      <c r="AI330" s="216"/>
      <c r="AJ330" s="216"/>
      <c r="AK330" s="216"/>
      <c r="AL330" s="216"/>
      <c r="AM330" s="216"/>
      <c r="AN330" s="216"/>
      <c r="AO330" s="216"/>
      <c r="AP330" s="216"/>
      <c r="AQ330" s="216"/>
      <c r="AR330" s="216"/>
      <c r="AS330" s="216"/>
      <c r="AT330" s="216"/>
      <c r="AU330" s="216"/>
      <c r="AV330" s="216"/>
      <c r="AW330" s="216"/>
      <c r="AX330" s="216"/>
      <c r="AY330" s="216"/>
      <c r="AZ330" s="216"/>
      <c r="BA330" s="216"/>
      <c r="BB330" s="216"/>
      <c r="BC330" s="216"/>
      <c r="BD330" s="216"/>
      <c r="BE330" s="216"/>
      <c r="BF330" s="216"/>
      <c r="BG330" s="216"/>
      <c r="BH330" s="216"/>
      <c r="BI330" s="216"/>
      <c r="BJ330" s="216"/>
      <c r="BK330" s="216"/>
      <c r="BL330" s="216"/>
      <c r="BM330" s="216"/>
      <c r="BN330" s="216"/>
      <c r="BO330" s="216"/>
      <c r="BP330" s="217"/>
    </row>
    <row r="331" spans="1:68" ht="15.6" x14ac:dyDescent="0.3">
      <c r="A331" s="354"/>
      <c r="B331" s="354"/>
      <c r="C331" s="354"/>
      <c r="D331" s="359"/>
      <c r="E331" s="218"/>
      <c r="F331" s="219" t="s">
        <v>623</v>
      </c>
      <c r="G331" s="214"/>
      <c r="H331" s="214"/>
      <c r="I331" s="214"/>
      <c r="J331" s="214"/>
      <c r="K331" s="214"/>
      <c r="L331" s="215"/>
      <c r="M331" s="216"/>
      <c r="N331" s="216"/>
      <c r="O331" s="216"/>
      <c r="P331" s="216"/>
      <c r="Q331" s="216"/>
      <c r="R331" s="216"/>
      <c r="S331" s="216"/>
      <c r="T331" s="216"/>
      <c r="U331" s="216"/>
      <c r="V331" s="216"/>
      <c r="W331" s="216"/>
      <c r="X331" s="216"/>
      <c r="Y331" s="216"/>
      <c r="Z331" s="216"/>
      <c r="AA331" s="216"/>
      <c r="AB331" s="216"/>
      <c r="AC331" s="216"/>
      <c r="AD331" s="216"/>
      <c r="AE331" s="216"/>
      <c r="AF331" s="216"/>
      <c r="AG331" s="216"/>
      <c r="AH331" s="216"/>
      <c r="AI331" s="216"/>
      <c r="AJ331" s="216"/>
      <c r="AK331" s="216"/>
      <c r="AL331" s="216"/>
      <c r="AM331" s="216"/>
      <c r="AN331" s="216"/>
      <c r="AO331" s="216"/>
      <c r="AP331" s="216"/>
      <c r="AQ331" s="216"/>
      <c r="AR331" s="216"/>
      <c r="AS331" s="216"/>
      <c r="AT331" s="216"/>
      <c r="AU331" s="216"/>
      <c r="AV331" s="216"/>
      <c r="AW331" s="216"/>
      <c r="AX331" s="216"/>
      <c r="AY331" s="216"/>
      <c r="AZ331" s="216"/>
      <c r="BA331" s="216"/>
      <c r="BB331" s="216"/>
      <c r="BC331" s="216"/>
      <c r="BD331" s="216"/>
      <c r="BE331" s="216"/>
      <c r="BF331" s="216"/>
      <c r="BG331" s="216"/>
      <c r="BH331" s="216"/>
      <c r="BI331" s="216"/>
      <c r="BJ331" s="216"/>
      <c r="BK331" s="216"/>
      <c r="BL331" s="216"/>
      <c r="BM331" s="216"/>
      <c r="BN331" s="216"/>
      <c r="BO331" s="216"/>
      <c r="BP331" s="217"/>
    </row>
    <row r="332" spans="1:68" x14ac:dyDescent="0.3">
      <c r="A332" s="382" t="s">
        <v>487</v>
      </c>
      <c r="B332" s="354"/>
      <c r="C332" s="354"/>
      <c r="D332" s="359"/>
      <c r="E332" s="218"/>
      <c r="F332" s="220" t="s">
        <v>624</v>
      </c>
      <c r="G332" s="220">
        <v>5103324</v>
      </c>
      <c r="H332" s="220">
        <v>4751549</v>
      </c>
      <c r="I332" s="221">
        <v>4720671.6523124119</v>
      </c>
      <c r="J332" s="220">
        <v>5243671</v>
      </c>
      <c r="K332" s="220">
        <v>5742914</v>
      </c>
      <c r="L332" s="216">
        <v>2616788</v>
      </c>
      <c r="M332" s="216">
        <v>3478581</v>
      </c>
      <c r="N332" s="216">
        <v>3344602</v>
      </c>
      <c r="O332" s="216">
        <v>3196303</v>
      </c>
      <c r="P332" s="216">
        <v>4775794</v>
      </c>
      <c r="Q332" s="216">
        <v>3759096</v>
      </c>
      <c r="R332" s="216">
        <v>4591351</v>
      </c>
      <c r="S332" s="175">
        <v>4653073.7169563631</v>
      </c>
      <c r="T332" s="175">
        <v>4714270.0830882201</v>
      </c>
      <c r="U332" s="175">
        <v>4774903.6288789818</v>
      </c>
      <c r="V332" s="175">
        <v>4834962.9737702822</v>
      </c>
      <c r="W332" s="175">
        <v>4894380.8690081295</v>
      </c>
      <c r="X332" s="175">
        <v>4953134.8121248418</v>
      </c>
      <c r="Y332" s="175">
        <v>5011182.6433246471</v>
      </c>
      <c r="Z332" s="175">
        <v>5068516.0858378252</v>
      </c>
      <c r="AA332" s="175">
        <v>5125070.7360499762</v>
      </c>
      <c r="AB332" s="175">
        <v>5180816.3320218036</v>
      </c>
      <c r="AC332" s="175">
        <v>5235713.817746182</v>
      </c>
      <c r="AD332" s="175">
        <v>5289717.929638695</v>
      </c>
      <c r="AE332" s="175">
        <v>5342806.4238807149</v>
      </c>
      <c r="AF332" s="175">
        <v>5394940.5031141695</v>
      </c>
      <c r="AG332" s="175">
        <v>5446097.4062223239</v>
      </c>
      <c r="AH332" s="175">
        <v>5496233.4215150829</v>
      </c>
      <c r="AI332" s="175">
        <v>5545331.2195058418</v>
      </c>
      <c r="AJ332" s="175">
        <v>5593358.4690628741</v>
      </c>
      <c r="AK332" s="175">
        <v>5640292.6677184971</v>
      </c>
      <c r="AL332" s="175">
        <v>5686127.8665444739</v>
      </c>
      <c r="AM332" s="175">
        <v>5730848.2879485227</v>
      </c>
      <c r="AN332" s="175">
        <v>5774426.256481885</v>
      </c>
      <c r="AO332" s="175">
        <v>5816856.0818653768</v>
      </c>
      <c r="AP332" s="175">
        <v>5858110.0886502406</v>
      </c>
      <c r="AQ332" s="175">
        <v>5898181.2933120243</v>
      </c>
      <c r="AR332" s="175">
        <v>5937076.1620770721</v>
      </c>
      <c r="AS332" s="175">
        <v>5974761.3292174414</v>
      </c>
      <c r="AT332" s="175">
        <v>6011246.882046232</v>
      </c>
      <c r="AU332" s="175">
        <v>6046545.4943670807</v>
      </c>
      <c r="AV332" s="175">
        <v>6080633.3616971159</v>
      </c>
      <c r="AW332" s="175">
        <v>6113487.3860120103</v>
      </c>
      <c r="AX332" s="175">
        <v>6145085.2017276362</v>
      </c>
      <c r="AY332" s="175">
        <v>6175405.2009815164</v>
      </c>
      <c r="AZ332" s="175">
        <v>6204426.5581742441</v>
      </c>
      <c r="BA332" s="175">
        <v>6232129.25373198</v>
      </c>
      <c r="BB332" s="175">
        <v>6258494.0970522091</v>
      </c>
      <c r="BC332" s="175">
        <v>6283502.7485960424</v>
      </c>
      <c r="BD332" s="175">
        <v>6307137.7410915811</v>
      </c>
      <c r="BE332" s="175">
        <v>6329382.4998141173</v>
      </c>
      <c r="BF332" s="175">
        <v>6350221.3619102901</v>
      </c>
      <c r="BG332" s="175">
        <v>6369639.5947347479</v>
      </c>
      <c r="BH332" s="175">
        <v>6387623.4131693253</v>
      </c>
      <c r="BI332" s="175">
        <v>6404159.9958963143</v>
      </c>
      <c r="BJ332" s="175">
        <v>6419237.5005989764</v>
      </c>
      <c r="BK332" s="175">
        <v>6432845.0780641539</v>
      </c>
      <c r="BL332" s="175">
        <v>6444972.8851634832</v>
      </c>
      <c r="BM332" s="175">
        <v>6455612.0966915498</v>
      </c>
      <c r="BN332" s="175">
        <v>6464754.9160410799</v>
      </c>
      <c r="BO332" s="175">
        <v>6472394.584697146</v>
      </c>
      <c r="BP332" s="217"/>
    </row>
    <row r="333" spans="1:68" x14ac:dyDescent="0.3">
      <c r="A333" s="388"/>
      <c r="D333" s="359"/>
      <c r="E333" s="218"/>
      <c r="F333" s="220" t="s">
        <v>625</v>
      </c>
      <c r="G333" s="220">
        <v>13189288</v>
      </c>
      <c r="H333" s="220">
        <v>8697936</v>
      </c>
      <c r="I333" s="222">
        <v>10180560</v>
      </c>
      <c r="J333" s="222">
        <v>11129097</v>
      </c>
      <c r="K333" s="222">
        <v>10487005</v>
      </c>
      <c r="L333" s="216">
        <v>12275062</v>
      </c>
      <c r="M333" s="216">
        <v>10828280</v>
      </c>
      <c r="N333" s="216">
        <v>10061652</v>
      </c>
      <c r="O333" s="216">
        <v>9759176</v>
      </c>
      <c r="P333" s="216">
        <v>11336435</v>
      </c>
      <c r="Q333" s="216">
        <v>13972704</v>
      </c>
      <c r="R333" s="216">
        <v>16613863</v>
      </c>
      <c r="S333" s="175">
        <v>16837207.449923519</v>
      </c>
      <c r="T333" s="175">
        <v>17058647.29257822</v>
      </c>
      <c r="U333" s="175">
        <v>17278050.562546462</v>
      </c>
      <c r="V333" s="175">
        <v>17495376.079130538</v>
      </c>
      <c r="W333" s="175">
        <v>17710380.501844015</v>
      </c>
      <c r="X333" s="175">
        <v>17922982.405216433</v>
      </c>
      <c r="Y333" s="175">
        <v>18133029.233481295</v>
      </c>
      <c r="Z333" s="175">
        <v>18340491.037040275</v>
      </c>
      <c r="AA333" s="175">
        <v>18545134.770581361</v>
      </c>
      <c r="AB333" s="175">
        <v>18746850.930885658</v>
      </c>
      <c r="AC333" s="175">
        <v>18945498.193286046</v>
      </c>
      <c r="AD333" s="175">
        <v>19140912.770916656</v>
      </c>
      <c r="AE333" s="175">
        <v>19333014.17423198</v>
      </c>
      <c r="AF333" s="175">
        <v>19521662.014489841</v>
      </c>
      <c r="AG333" s="175">
        <v>19706773.93029483</v>
      </c>
      <c r="AH333" s="175">
        <v>19888191.750330765</v>
      </c>
      <c r="AI333" s="175">
        <v>20065852.767626144</v>
      </c>
      <c r="AJ333" s="175">
        <v>20239639.991562486</v>
      </c>
      <c r="AK333" s="175">
        <v>20409471.99666933</v>
      </c>
      <c r="AL333" s="175">
        <v>20575327.256672878</v>
      </c>
      <c r="AM333" s="175">
        <v>20737148.680151314</v>
      </c>
      <c r="AN333" s="175">
        <v>20894836.123135217</v>
      </c>
      <c r="AO333" s="175">
        <v>21048368.995275736</v>
      </c>
      <c r="AP333" s="175">
        <v>21197647.152603459</v>
      </c>
      <c r="AQ333" s="175">
        <v>21342645.325144794</v>
      </c>
      <c r="AR333" s="175">
        <v>21483386.911023434</v>
      </c>
      <c r="AS333" s="175">
        <v>21619751.175921109</v>
      </c>
      <c r="AT333" s="175">
        <v>21751774.620910782</v>
      </c>
      <c r="AU333" s="175">
        <v>21879503.106314905</v>
      </c>
      <c r="AV333" s="175">
        <v>22002850.495304197</v>
      </c>
      <c r="AW333" s="175">
        <v>22121733.207378775</v>
      </c>
      <c r="AX333" s="175">
        <v>22236070.312383085</v>
      </c>
      <c r="AY333" s="175">
        <v>22345783.621987179</v>
      </c>
      <c r="AZ333" s="175">
        <v>22450797.778490145</v>
      </c>
      <c r="BA333" s="175">
        <v>22551040.340805013</v>
      </c>
      <c r="BB333" s="175">
        <v>22646441.86748828</v>
      </c>
      <c r="BC333" s="175">
        <v>22736935.996681187</v>
      </c>
      <c r="BD333" s="175">
        <v>22822459.522834364</v>
      </c>
      <c r="BE333" s="175">
        <v>22902952.470091999</v>
      </c>
      <c r="BF333" s="175">
        <v>22978358.16221654</v>
      </c>
      <c r="BG333" s="175">
        <v>23048623.288940165</v>
      </c>
      <c r="BH333" s="175">
        <v>23113697.96863443</v>
      </c>
      <c r="BI333" s="175">
        <v>23173535.807195313</v>
      </c>
      <c r="BJ333" s="175">
        <v>23228093.953046478</v>
      </c>
      <c r="BK333" s="175">
        <v>23277333.14816973</v>
      </c>
      <c r="BL333" s="175">
        <v>23321217.775077734</v>
      </c>
      <c r="BM333" s="175">
        <v>23359715.899650507</v>
      </c>
      <c r="BN333" s="175">
        <v>23392799.309763748</v>
      </c>
      <c r="BO333" s="175">
        <v>23420443.549643748</v>
      </c>
      <c r="BP333" s="217"/>
    </row>
    <row r="334" spans="1:68" x14ac:dyDescent="0.3">
      <c r="A334" s="354"/>
      <c r="B334" s="354"/>
      <c r="C334" s="354"/>
      <c r="D334" s="359"/>
      <c r="E334" s="218"/>
      <c r="F334" s="223"/>
      <c r="G334" s="223"/>
      <c r="H334" s="223"/>
      <c r="I334" s="223"/>
      <c r="J334" s="223"/>
      <c r="K334" s="223"/>
      <c r="L334" s="224"/>
      <c r="M334" s="224"/>
      <c r="N334" s="224"/>
      <c r="O334" s="224"/>
      <c r="P334" s="224"/>
      <c r="Q334" s="224"/>
      <c r="R334" s="224"/>
      <c r="S334" s="224"/>
      <c r="T334" s="224"/>
      <c r="U334" s="224"/>
      <c r="V334" s="224"/>
      <c r="W334" s="224"/>
      <c r="X334" s="224"/>
      <c r="Y334" s="224"/>
      <c r="Z334" s="224"/>
      <c r="AA334" s="224"/>
      <c r="AB334" s="224"/>
      <c r="AC334" s="224"/>
      <c r="AD334" s="224"/>
      <c r="AE334" s="224"/>
      <c r="AF334" s="224"/>
      <c r="AG334" s="224"/>
      <c r="AH334" s="224"/>
      <c r="AI334" s="224"/>
      <c r="AJ334" s="224"/>
      <c r="AK334" s="224"/>
      <c r="AL334" s="224"/>
      <c r="AM334" s="224"/>
      <c r="AN334" s="224"/>
      <c r="AO334" s="224"/>
      <c r="AP334" s="224"/>
      <c r="AQ334" s="224"/>
      <c r="AR334" s="224"/>
      <c r="AS334" s="224"/>
      <c r="AT334" s="224"/>
      <c r="AU334" s="224"/>
      <c r="AV334" s="224"/>
      <c r="AW334" s="224"/>
      <c r="AX334" s="224"/>
      <c r="AY334" s="224"/>
      <c r="AZ334" s="224"/>
      <c r="BA334" s="224"/>
      <c r="BB334" s="224"/>
      <c r="BC334" s="224"/>
      <c r="BD334" s="224"/>
      <c r="BE334" s="224"/>
      <c r="BF334" s="224"/>
      <c r="BG334" s="224"/>
      <c r="BH334" s="224"/>
      <c r="BI334" s="224"/>
      <c r="BJ334" s="224"/>
      <c r="BK334" s="224"/>
      <c r="BL334" s="224"/>
      <c r="BM334" s="224"/>
      <c r="BN334" s="224"/>
      <c r="BO334" s="224"/>
      <c r="BP334" s="217"/>
    </row>
    <row r="335" spans="1:68" ht="15.6" x14ac:dyDescent="0.3">
      <c r="A335" s="354"/>
      <c r="B335" s="354"/>
      <c r="C335" s="354"/>
      <c r="D335" s="359"/>
      <c r="E335" s="218"/>
      <c r="F335" s="213" t="s">
        <v>626</v>
      </c>
      <c r="G335" s="214"/>
      <c r="H335" s="214"/>
      <c r="I335" s="214"/>
      <c r="J335" s="214"/>
      <c r="K335" s="214"/>
      <c r="L335" s="215"/>
      <c r="M335" s="216"/>
      <c r="N335" s="216"/>
      <c r="O335" s="216"/>
      <c r="P335" s="216"/>
      <c r="Q335" s="216"/>
      <c r="R335" s="216"/>
      <c r="S335" s="216"/>
      <c r="T335" s="216"/>
      <c r="U335" s="216"/>
      <c r="V335" s="216"/>
      <c r="W335" s="216"/>
      <c r="X335" s="216"/>
      <c r="Y335" s="216"/>
      <c r="Z335" s="216"/>
      <c r="AA335" s="216"/>
      <c r="AB335" s="216"/>
      <c r="AC335" s="216"/>
      <c r="AD335" s="216"/>
      <c r="AE335" s="216"/>
      <c r="AF335" s="216"/>
      <c r="AG335" s="216"/>
      <c r="AH335" s="216"/>
      <c r="AI335" s="216"/>
      <c r="AJ335" s="216"/>
      <c r="AK335" s="216"/>
      <c r="AL335" s="216"/>
      <c r="AM335" s="216"/>
      <c r="AN335" s="216"/>
      <c r="AO335" s="216"/>
      <c r="AP335" s="216"/>
      <c r="AQ335" s="216"/>
      <c r="AR335" s="216"/>
      <c r="AS335" s="216"/>
      <c r="AT335" s="216"/>
      <c r="AU335" s="216"/>
      <c r="AV335" s="216"/>
      <c r="AW335" s="216"/>
      <c r="AX335" s="216"/>
      <c r="AY335" s="216"/>
      <c r="AZ335" s="216"/>
      <c r="BA335" s="216"/>
      <c r="BB335" s="216"/>
      <c r="BC335" s="216"/>
      <c r="BD335" s="216"/>
      <c r="BE335" s="216"/>
      <c r="BF335" s="216"/>
      <c r="BG335" s="216"/>
      <c r="BH335" s="216"/>
      <c r="BI335" s="216"/>
      <c r="BJ335" s="216"/>
      <c r="BK335" s="216"/>
      <c r="BL335" s="216"/>
      <c r="BM335" s="216"/>
      <c r="BN335" s="216"/>
      <c r="BO335" s="216"/>
      <c r="BP335" s="217"/>
    </row>
    <row r="336" spans="1:68" ht="15.6" x14ac:dyDescent="0.3">
      <c r="A336" s="354"/>
      <c r="B336" s="354"/>
      <c r="C336" s="354"/>
      <c r="D336" s="359"/>
      <c r="E336" s="218"/>
      <c r="F336" s="219" t="s">
        <v>627</v>
      </c>
      <c r="G336" s="214"/>
      <c r="H336" s="214"/>
      <c r="I336" s="214"/>
      <c r="J336" s="214"/>
      <c r="K336" s="214"/>
      <c r="L336" s="215"/>
      <c r="M336" s="216"/>
      <c r="N336" s="216"/>
      <c r="O336" s="216"/>
      <c r="P336" s="216"/>
      <c r="Q336" s="216"/>
      <c r="R336" s="216"/>
      <c r="S336" s="216"/>
      <c r="T336" s="216"/>
      <c r="U336" s="216"/>
      <c r="V336" s="216"/>
      <c r="W336" s="216"/>
      <c r="X336" s="216"/>
      <c r="Y336" s="216"/>
      <c r="Z336" s="216"/>
      <c r="AA336" s="216"/>
      <c r="AB336" s="216"/>
      <c r="AC336" s="216"/>
      <c r="AD336" s="216"/>
      <c r="AE336" s="216"/>
      <c r="AF336" s="216"/>
      <c r="AG336" s="216"/>
      <c r="AH336" s="216"/>
      <c r="AI336" s="216"/>
      <c r="AJ336" s="216"/>
      <c r="AK336" s="216"/>
      <c r="AL336" s="216"/>
      <c r="AM336" s="216"/>
      <c r="AN336" s="216"/>
      <c r="AO336" s="216"/>
      <c r="AP336" s="216"/>
      <c r="AQ336" s="216"/>
      <c r="AR336" s="216"/>
      <c r="AS336" s="216"/>
      <c r="AT336" s="216"/>
      <c r="AU336" s="216"/>
      <c r="AV336" s="216"/>
      <c r="AW336" s="216"/>
      <c r="AX336" s="216"/>
      <c r="AY336" s="216"/>
      <c r="AZ336" s="216"/>
      <c r="BA336" s="216"/>
      <c r="BB336" s="216"/>
      <c r="BC336" s="216"/>
      <c r="BD336" s="216"/>
      <c r="BE336" s="216"/>
      <c r="BF336" s="216"/>
      <c r="BG336" s="216"/>
      <c r="BH336" s="216"/>
      <c r="BI336" s="216"/>
      <c r="BJ336" s="216"/>
      <c r="BK336" s="216"/>
      <c r="BL336" s="216"/>
      <c r="BM336" s="216"/>
      <c r="BN336" s="216"/>
      <c r="BO336" s="216"/>
      <c r="BP336" s="217"/>
    </row>
    <row r="337" spans="1:68" x14ac:dyDescent="0.3">
      <c r="A337" s="382" t="s">
        <v>487</v>
      </c>
      <c r="B337" s="354"/>
      <c r="C337" s="354"/>
      <c r="D337" s="359"/>
      <c r="E337" s="218"/>
      <c r="F337" s="220" t="s">
        <v>628</v>
      </c>
      <c r="G337" s="221">
        <f>7885770+46676634</f>
        <v>54562404</v>
      </c>
      <c r="H337" s="221">
        <f>8753527+39396564</f>
        <v>48150091</v>
      </c>
      <c r="I337" s="221">
        <v>47431058</v>
      </c>
      <c r="J337" s="221">
        <v>42468054</v>
      </c>
      <c r="K337" s="221">
        <v>55427095</v>
      </c>
      <c r="L337" s="225">
        <v>64332941</v>
      </c>
      <c r="M337" s="225">
        <v>59156593</v>
      </c>
      <c r="N337" s="225">
        <v>47961551</v>
      </c>
      <c r="O337" s="225">
        <v>44411748</v>
      </c>
      <c r="P337" s="225">
        <v>89393421</v>
      </c>
      <c r="Q337" s="225">
        <v>86434176</v>
      </c>
      <c r="R337" s="225">
        <v>85369879</v>
      </c>
      <c r="S337" s="175">
        <v>86517528.325463459</v>
      </c>
      <c r="T337" s="175">
        <v>87655390.878754705</v>
      </c>
      <c r="U337" s="175">
        <v>88782788.559197411</v>
      </c>
      <c r="V337" s="175">
        <v>89899509.760906801</v>
      </c>
      <c r="W337" s="175">
        <v>91004304.085472628</v>
      </c>
      <c r="X337" s="175">
        <v>92096753.130349964</v>
      </c>
      <c r="Y337" s="175">
        <v>93176072.991920084</v>
      </c>
      <c r="Z337" s="175">
        <v>94242109.77499406</v>
      </c>
      <c r="AA337" s="175">
        <v>95293665.982632875</v>
      </c>
      <c r="AB337" s="175">
        <v>96330178.935551926</v>
      </c>
      <c r="AC337" s="175">
        <v>97350922.440828353</v>
      </c>
      <c r="AD337" s="175">
        <v>98355054.884147599</v>
      </c>
      <c r="AE337" s="175">
        <v>99342162.672189385</v>
      </c>
      <c r="AF337" s="175">
        <v>100311524.4212555</v>
      </c>
      <c r="AG337" s="175">
        <v>101262716.91957633</v>
      </c>
      <c r="AH337" s="175">
        <v>102194927.40818524</v>
      </c>
      <c r="AI337" s="175">
        <v>103107833.66903037</v>
      </c>
      <c r="AJ337" s="175">
        <v>104000834.54902987</v>
      </c>
      <c r="AK337" s="175">
        <v>104873511.64563881</v>
      </c>
      <c r="AL337" s="175">
        <v>105725754.34669012</v>
      </c>
      <c r="AM337" s="175">
        <v>106557269.28947987</v>
      </c>
      <c r="AN337" s="175">
        <v>107367541.88697</v>
      </c>
      <c r="AO337" s="175">
        <v>108156466.33621812</v>
      </c>
      <c r="AP337" s="175">
        <v>108923528.05018619</v>
      </c>
      <c r="AQ337" s="175">
        <v>109668597.17980853</v>
      </c>
      <c r="AR337" s="175">
        <v>110391793.9557015</v>
      </c>
      <c r="AS337" s="175">
        <v>111092497.98788464</v>
      </c>
      <c r="AT337" s="175">
        <v>111770896.8361195</v>
      </c>
      <c r="AU337" s="175">
        <v>112427226.15241416</v>
      </c>
      <c r="AV337" s="175">
        <v>113061043.32503571</v>
      </c>
      <c r="AW337" s="175">
        <v>113671918.87787965</v>
      </c>
      <c r="AX337" s="175">
        <v>114259436.95356309</v>
      </c>
      <c r="AY337" s="175">
        <v>114823195.78349873</v>
      </c>
      <c r="AZ337" s="175">
        <v>115362808.14420889</v>
      </c>
      <c r="BA337" s="175">
        <v>115877901.79915659</v>
      </c>
      <c r="BB337" s="175">
        <v>116368119.92539044</v>
      </c>
      <c r="BC337" s="175">
        <v>116833121.52432072</v>
      </c>
      <c r="BD337" s="175">
        <v>117272581.81596692</v>
      </c>
      <c r="BE337" s="175">
        <v>117686192.61604017</v>
      </c>
      <c r="BF337" s="175">
        <v>118073662.69524953</v>
      </c>
      <c r="BG337" s="175">
        <v>118434718.12024704</v>
      </c>
      <c r="BH337" s="175">
        <v>118769102.57565415</v>
      </c>
      <c r="BI337" s="175">
        <v>119076577.66664077</v>
      </c>
      <c r="BJ337" s="175">
        <v>119356923.20155811</v>
      </c>
      <c r="BK337" s="175">
        <v>119609937.45415725</v>
      </c>
      <c r="BL337" s="175">
        <v>119835437.40495715</v>
      </c>
      <c r="BM337" s="175">
        <v>120033258.96135885</v>
      </c>
      <c r="BN337" s="175">
        <v>120203257.15613599</v>
      </c>
      <c r="BO337" s="175">
        <v>120345306.32396665</v>
      </c>
      <c r="BP337" s="217"/>
    </row>
    <row r="338" spans="1:68" x14ac:dyDescent="0.3">
      <c r="A338" s="388"/>
      <c r="D338" s="359"/>
      <c r="E338" s="218"/>
      <c r="F338" s="220" t="s">
        <v>629</v>
      </c>
      <c r="G338" s="221">
        <f>6240594+329192</f>
        <v>6569786</v>
      </c>
      <c r="H338" s="221">
        <f>6792358+6564</f>
        <v>6798922</v>
      </c>
      <c r="I338" s="221">
        <v>5849938</v>
      </c>
      <c r="J338" s="221">
        <v>6541108</v>
      </c>
      <c r="K338" s="221">
        <v>7861318</v>
      </c>
      <c r="L338" s="225">
        <v>2966045</v>
      </c>
      <c r="M338" s="225">
        <v>4362341</v>
      </c>
      <c r="N338" s="225">
        <v>4021186</v>
      </c>
      <c r="O338" s="225">
        <v>3426364</v>
      </c>
      <c r="P338" s="225">
        <v>6107526</v>
      </c>
      <c r="Q338" s="225">
        <v>3917999</v>
      </c>
      <c r="R338" s="216">
        <v>5412876</v>
      </c>
      <c r="S338" s="175">
        <v>5485642.6896449197</v>
      </c>
      <c r="T338" s="175">
        <v>5557788.8491353048</v>
      </c>
      <c r="U338" s="175">
        <v>5629271.4835071303</v>
      </c>
      <c r="V338" s="175">
        <v>5700077.175892191</v>
      </c>
      <c r="W338" s="175">
        <v>5770126.644796541</v>
      </c>
      <c r="X338" s="175">
        <v>5839393.3614125904</v>
      </c>
      <c r="Y338" s="175">
        <v>5907827.6223422121</v>
      </c>
      <c r="Z338" s="175">
        <v>5975419.669863075</v>
      </c>
      <c r="AA338" s="175">
        <v>6042093.5766982846</v>
      </c>
      <c r="AB338" s="175">
        <v>6107813.6661755657</v>
      </c>
      <c r="AC338" s="175">
        <v>6172533.8940426642</v>
      </c>
      <c r="AD338" s="175">
        <v>6236200.89775558</v>
      </c>
      <c r="AE338" s="175">
        <v>6298788.4534355467</v>
      </c>
      <c r="AF338" s="175">
        <v>6360250.8217591327</v>
      </c>
      <c r="AG338" s="175">
        <v>6420561.1689899266</v>
      </c>
      <c r="AH338" s="175">
        <v>6479667.9621568639</v>
      </c>
      <c r="AI338" s="175">
        <v>6537550.771028812</v>
      </c>
      <c r="AJ338" s="175">
        <v>6594171.4795029126</v>
      </c>
      <c r="AK338" s="175">
        <v>6649503.5587715758</v>
      </c>
      <c r="AL338" s="175">
        <v>6703539.9954718761</v>
      </c>
      <c r="AM338" s="175">
        <v>6756262.1889456185</v>
      </c>
      <c r="AN338" s="175">
        <v>6807637.5118087558</v>
      </c>
      <c r="AO338" s="175">
        <v>6857659.255627186</v>
      </c>
      <c r="AP338" s="175">
        <v>6906294.7930168621</v>
      </c>
      <c r="AQ338" s="175">
        <v>6953535.8908995669</v>
      </c>
      <c r="AR338" s="175">
        <v>6999390.1724958718</v>
      </c>
      <c r="AS338" s="175">
        <v>7043818.3019876257</v>
      </c>
      <c r="AT338" s="175">
        <v>7086832.1715989215</v>
      </c>
      <c r="AU338" s="175">
        <v>7128446.7228420805</v>
      </c>
      <c r="AV338" s="175">
        <v>7168633.8919262849</v>
      </c>
      <c r="AW338" s="175">
        <v>7207366.4479250554</v>
      </c>
      <c r="AX338" s="175">
        <v>7244618.0234067673</v>
      </c>
      <c r="AY338" s="175">
        <v>7280363.1442396864</v>
      </c>
      <c r="AZ338" s="175">
        <v>7314577.2585245548</v>
      </c>
      <c r="BA338" s="175">
        <v>7347236.7646088805</v>
      </c>
      <c r="BB338" s="175">
        <v>7378319.0381383551</v>
      </c>
      <c r="BC338" s="175">
        <v>7407802.4581021033</v>
      </c>
      <c r="BD338" s="175">
        <v>7435666.4318299415</v>
      </c>
      <c r="BE338" s="175">
        <v>7461891.418901287</v>
      </c>
      <c r="BF338" s="175">
        <v>7486458.9539269656</v>
      </c>
      <c r="BG338" s="175">
        <v>7509351.6681668302</v>
      </c>
      <c r="BH338" s="175">
        <v>7530553.3099478409</v>
      </c>
      <c r="BI338" s="175">
        <v>7550048.7638490852</v>
      </c>
      <c r="BJ338" s="175">
        <v>7567824.0686221095</v>
      </c>
      <c r="BK338" s="175">
        <v>7583866.4338168856</v>
      </c>
      <c r="BL338" s="175">
        <v>7598164.255085743</v>
      </c>
      <c r="BM338" s="175">
        <v>7610707.1281397082</v>
      </c>
      <c r="BN338" s="175">
        <v>7621485.8613337958</v>
      </c>
      <c r="BO338" s="175">
        <v>7630492.4868600024</v>
      </c>
      <c r="BP338" s="217"/>
    </row>
    <row r="339" spans="1:68" ht="15" thickBot="1" x14ac:dyDescent="0.35">
      <c r="A339" s="354"/>
      <c r="B339" s="354"/>
      <c r="C339" s="354"/>
      <c r="D339" s="359"/>
      <c r="E339" s="226"/>
      <c r="F339" s="227"/>
      <c r="G339" s="227"/>
      <c r="H339" s="227"/>
      <c r="I339" s="227"/>
      <c r="J339" s="227"/>
      <c r="K339" s="227"/>
      <c r="L339" s="228"/>
      <c r="M339" s="228"/>
      <c r="N339" s="228"/>
      <c r="O339" s="228"/>
      <c r="P339" s="228"/>
      <c r="Q339" s="228"/>
      <c r="R339" s="228"/>
      <c r="S339" s="228"/>
      <c r="T339" s="228"/>
      <c r="U339" s="228"/>
      <c r="V339" s="228"/>
      <c r="W339" s="228"/>
      <c r="X339" s="228"/>
      <c r="Y339" s="228"/>
      <c r="Z339" s="228"/>
      <c r="AA339" s="228"/>
      <c r="AB339" s="228"/>
      <c r="AC339" s="228"/>
      <c r="AD339" s="228"/>
      <c r="AE339" s="228"/>
      <c r="AF339" s="228"/>
      <c r="AG339" s="228"/>
      <c r="AH339" s="228"/>
      <c r="AI339" s="228"/>
      <c r="AJ339" s="228"/>
      <c r="AK339" s="228"/>
      <c r="AL339" s="228"/>
      <c r="AM339" s="228"/>
      <c r="AN339" s="228"/>
      <c r="AO339" s="228"/>
      <c r="AP339" s="228"/>
      <c r="AQ339" s="228"/>
      <c r="AR339" s="228"/>
      <c r="AS339" s="228"/>
      <c r="AT339" s="228"/>
      <c r="AU339" s="228"/>
      <c r="AV339" s="228"/>
      <c r="AW339" s="228"/>
      <c r="AX339" s="228"/>
      <c r="AY339" s="228"/>
      <c r="AZ339" s="228"/>
      <c r="BA339" s="228"/>
      <c r="BB339" s="228"/>
      <c r="BC339" s="228"/>
      <c r="BD339" s="228"/>
      <c r="BE339" s="228"/>
      <c r="BF339" s="228"/>
      <c r="BG339" s="228"/>
      <c r="BH339" s="228"/>
      <c r="BI339" s="228"/>
      <c r="BJ339" s="228"/>
      <c r="BK339" s="228"/>
      <c r="BL339" s="228"/>
      <c r="BM339" s="228"/>
      <c r="BN339" s="228"/>
      <c r="BO339" s="228"/>
      <c r="BP339" s="229"/>
    </row>
    <row r="340" spans="1:68" x14ac:dyDescent="0.3">
      <c r="A340" s="354"/>
      <c r="B340" s="354"/>
      <c r="C340" s="354"/>
      <c r="D340" s="359"/>
      <c r="E340" s="359"/>
      <c r="F340" s="103"/>
      <c r="G340" s="103"/>
      <c r="H340" s="103"/>
      <c r="I340" s="103"/>
      <c r="J340" s="103"/>
      <c r="K340" s="103"/>
      <c r="L340" s="359"/>
      <c r="M340" s="359"/>
      <c r="N340" s="359"/>
      <c r="O340" s="359"/>
      <c r="P340" s="359"/>
      <c r="Q340" s="359"/>
      <c r="R340" s="359"/>
      <c r="S340" s="359"/>
      <c r="T340" s="359"/>
      <c r="U340" s="359"/>
      <c r="V340" s="359"/>
      <c r="W340" s="359"/>
      <c r="X340" s="359"/>
      <c r="Y340" s="359"/>
      <c r="Z340" s="359"/>
      <c r="AA340" s="359"/>
      <c r="AB340" s="359"/>
      <c r="AC340" s="359"/>
      <c r="AD340" s="359"/>
      <c r="AE340" s="359"/>
      <c r="AF340" s="359"/>
      <c r="AG340" s="359"/>
      <c r="AH340" s="359"/>
      <c r="AI340" s="359"/>
      <c r="AJ340" s="359"/>
      <c r="AK340" s="359"/>
      <c r="AL340" s="359"/>
      <c r="AM340" s="359"/>
      <c r="AN340" s="359"/>
      <c r="AO340" s="359"/>
      <c r="AP340" s="359"/>
      <c r="AQ340" s="359"/>
      <c r="AR340" s="359"/>
      <c r="AS340" s="359"/>
      <c r="AT340" s="359"/>
      <c r="AU340" s="359"/>
      <c r="AV340" s="359"/>
      <c r="AW340" s="359"/>
      <c r="AX340" s="359"/>
      <c r="AY340" s="359"/>
      <c r="AZ340" s="359"/>
      <c r="BA340" s="359"/>
      <c r="BB340" s="359"/>
      <c r="BC340" s="359"/>
      <c r="BD340" s="359"/>
      <c r="BE340" s="359"/>
      <c r="BF340" s="359"/>
      <c r="BG340" s="359"/>
      <c r="BH340" s="359"/>
      <c r="BI340" s="359"/>
      <c r="BJ340" s="359"/>
      <c r="BK340" s="359"/>
      <c r="BL340" s="359"/>
      <c r="BM340" s="359"/>
      <c r="BN340" s="359"/>
      <c r="BO340" s="359"/>
      <c r="BP340" s="103"/>
    </row>
    <row r="341" spans="1:68" ht="25.8" x14ac:dyDescent="0.3">
      <c r="A341" s="354"/>
      <c r="B341" s="354"/>
      <c r="C341" s="354"/>
      <c r="D341" s="359"/>
      <c r="E341" s="104"/>
      <c r="F341" s="104" t="s">
        <v>630</v>
      </c>
      <c r="G341" s="104"/>
      <c r="H341" s="103"/>
      <c r="I341" s="103"/>
      <c r="J341" s="103"/>
      <c r="K341" s="103"/>
      <c r="L341" s="359"/>
      <c r="M341" s="359"/>
      <c r="N341" s="359"/>
      <c r="O341" s="359"/>
      <c r="P341" s="359"/>
      <c r="Q341" s="359"/>
      <c r="R341" s="359"/>
      <c r="S341" s="359"/>
      <c r="T341" s="359"/>
      <c r="U341" s="359"/>
      <c r="V341" s="359"/>
      <c r="W341" s="359"/>
      <c r="X341" s="359"/>
      <c r="Y341" s="359"/>
      <c r="Z341" s="359"/>
      <c r="AA341" s="359"/>
      <c r="AB341" s="359"/>
      <c r="AC341" s="359"/>
      <c r="AD341" s="359"/>
      <c r="AE341" s="359"/>
      <c r="AF341" s="359"/>
      <c r="AG341" s="359"/>
      <c r="AH341" s="359"/>
      <c r="AI341" s="359"/>
      <c r="AJ341" s="359"/>
      <c r="AK341" s="359"/>
      <c r="AL341" s="359"/>
      <c r="AM341" s="359"/>
      <c r="AN341" s="359"/>
      <c r="AO341" s="359"/>
      <c r="AP341" s="359"/>
      <c r="AQ341" s="359"/>
      <c r="AR341" s="359"/>
      <c r="AS341" s="359"/>
      <c r="AT341" s="359"/>
      <c r="AU341" s="359"/>
      <c r="AV341" s="359"/>
      <c r="AW341" s="359"/>
      <c r="AX341" s="359"/>
      <c r="AY341" s="359"/>
      <c r="AZ341" s="359"/>
      <c r="BA341" s="359"/>
      <c r="BB341" s="359"/>
      <c r="BC341" s="359"/>
      <c r="BD341" s="359"/>
      <c r="BE341" s="359"/>
      <c r="BF341" s="359"/>
      <c r="BG341" s="359"/>
      <c r="BH341" s="359"/>
      <c r="BI341" s="359"/>
      <c r="BJ341" s="359"/>
      <c r="BK341" s="359"/>
      <c r="BL341" s="359"/>
      <c r="BM341" s="359"/>
      <c r="BN341" s="359"/>
      <c r="BO341" s="359"/>
      <c r="BP341" s="103"/>
    </row>
    <row r="342" spans="1:68" ht="15" thickBot="1" x14ac:dyDescent="0.35">
      <c r="A342" s="354"/>
      <c r="B342" s="354"/>
      <c r="C342" s="354"/>
      <c r="D342" s="359"/>
      <c r="E342" s="38"/>
      <c r="L342" s="38"/>
      <c r="M342" s="38"/>
      <c r="N342" s="38"/>
      <c r="O342" s="359"/>
      <c r="P342" s="359"/>
      <c r="Q342" s="359"/>
      <c r="R342" s="359"/>
      <c r="S342" s="359"/>
      <c r="T342" s="359"/>
      <c r="U342" s="359"/>
      <c r="V342" s="359"/>
      <c r="W342" s="359"/>
      <c r="X342" s="359"/>
      <c r="Y342" s="359"/>
      <c r="Z342" s="359"/>
      <c r="AA342" s="359"/>
      <c r="AB342" s="359"/>
      <c r="AC342" s="359"/>
      <c r="AD342" s="359"/>
      <c r="AE342" s="359"/>
      <c r="AF342" s="359"/>
      <c r="AG342" s="359"/>
      <c r="AH342" s="359"/>
      <c r="AI342" s="359"/>
      <c r="AJ342" s="359"/>
      <c r="AK342" s="359"/>
      <c r="AL342" s="359"/>
      <c r="AM342" s="359"/>
      <c r="AN342" s="359"/>
      <c r="AO342" s="359"/>
      <c r="AP342" s="359"/>
      <c r="AQ342" s="359"/>
      <c r="AR342" s="359"/>
      <c r="AS342" s="359"/>
      <c r="AT342" s="359"/>
      <c r="AU342" s="359"/>
      <c r="AV342" s="359"/>
      <c r="AW342" s="359"/>
      <c r="AX342" s="359"/>
      <c r="AY342" s="359"/>
      <c r="AZ342" s="359"/>
      <c r="BA342" s="359"/>
      <c r="BB342" s="359"/>
      <c r="BC342" s="359"/>
      <c r="BD342" s="359"/>
      <c r="BE342" s="359"/>
      <c r="BF342" s="359"/>
      <c r="BG342" s="359"/>
      <c r="BH342" s="359"/>
      <c r="BI342" s="359"/>
      <c r="BJ342" s="359"/>
      <c r="BK342" s="359"/>
      <c r="BL342" s="359"/>
      <c r="BM342" s="359"/>
      <c r="BN342" s="359"/>
      <c r="BO342" s="359"/>
    </row>
    <row r="343" spans="1:68" x14ac:dyDescent="0.3">
      <c r="A343" s="354"/>
      <c r="B343" s="354"/>
      <c r="C343" s="354"/>
      <c r="D343" s="359"/>
      <c r="E343" s="230"/>
      <c r="F343" s="231"/>
      <c r="G343" s="231"/>
      <c r="H343" s="231"/>
      <c r="I343" s="231"/>
      <c r="J343" s="231"/>
      <c r="K343" s="231"/>
      <c r="L343" s="232"/>
      <c r="M343" s="232"/>
      <c r="N343" s="232"/>
      <c r="O343" s="232"/>
      <c r="P343" s="232"/>
      <c r="Q343" s="232"/>
      <c r="R343" s="232"/>
      <c r="S343" s="232"/>
      <c r="T343" s="232"/>
      <c r="U343" s="232"/>
      <c r="V343" s="232"/>
      <c r="W343" s="232"/>
      <c r="X343" s="232"/>
      <c r="Y343" s="232"/>
      <c r="Z343" s="232"/>
      <c r="AA343" s="232"/>
      <c r="AB343" s="232"/>
      <c r="AC343" s="232"/>
      <c r="AD343" s="232"/>
      <c r="AE343" s="232"/>
      <c r="AF343" s="232"/>
      <c r="AG343" s="232"/>
      <c r="AH343" s="232"/>
      <c r="AI343" s="232"/>
      <c r="AJ343" s="232"/>
      <c r="AK343" s="232"/>
      <c r="AL343" s="232"/>
      <c r="AM343" s="232"/>
      <c r="AN343" s="232"/>
      <c r="AO343" s="232"/>
      <c r="AP343" s="232"/>
      <c r="AQ343" s="232"/>
      <c r="AR343" s="232"/>
      <c r="AS343" s="232"/>
      <c r="AT343" s="232"/>
      <c r="AU343" s="232"/>
      <c r="AV343" s="232"/>
      <c r="AW343" s="232"/>
      <c r="AX343" s="232"/>
      <c r="AY343" s="232"/>
      <c r="AZ343" s="232"/>
      <c r="BA343" s="232"/>
      <c r="BB343" s="232"/>
      <c r="BC343" s="232"/>
      <c r="BD343" s="232"/>
      <c r="BE343" s="232"/>
      <c r="BF343" s="232"/>
      <c r="BG343" s="232"/>
      <c r="BH343" s="232"/>
      <c r="BI343" s="232"/>
      <c r="BJ343" s="232"/>
      <c r="BK343" s="232"/>
      <c r="BL343" s="232"/>
      <c r="BM343" s="232"/>
      <c r="BN343" s="232"/>
      <c r="BO343" s="232"/>
      <c r="BP343" s="233"/>
    </row>
    <row r="344" spans="1:68" ht="15.6" x14ac:dyDescent="0.3">
      <c r="A344" s="354"/>
      <c r="B344" s="354"/>
      <c r="C344" s="354"/>
      <c r="D344" s="359"/>
      <c r="E344" s="234"/>
      <c r="F344" s="235" t="s">
        <v>631</v>
      </c>
      <c r="G344" s="236"/>
      <c r="H344" s="236"/>
      <c r="I344" s="236"/>
      <c r="J344" s="236"/>
      <c r="K344" s="236"/>
      <c r="L344" s="237"/>
      <c r="M344" s="238"/>
      <c r="N344" s="238"/>
      <c r="O344" s="238"/>
      <c r="P344" s="238"/>
      <c r="Q344" s="238"/>
      <c r="R344" s="238"/>
      <c r="S344" s="238"/>
      <c r="T344" s="238"/>
      <c r="U344" s="238"/>
      <c r="V344" s="238"/>
      <c r="W344" s="238"/>
      <c r="X344" s="238"/>
      <c r="Y344" s="238"/>
      <c r="Z344" s="238"/>
      <c r="AA344" s="238"/>
      <c r="AB344" s="238"/>
      <c r="AC344" s="238"/>
      <c r="AD344" s="238"/>
      <c r="AE344" s="238"/>
      <c r="AF344" s="238"/>
      <c r="AG344" s="238"/>
      <c r="AH344" s="238"/>
      <c r="AI344" s="238"/>
      <c r="AJ344" s="238"/>
      <c r="AK344" s="238"/>
      <c r="AL344" s="238"/>
      <c r="AM344" s="238"/>
      <c r="AN344" s="238"/>
      <c r="AO344" s="238"/>
      <c r="AP344" s="238"/>
      <c r="AQ344" s="238"/>
      <c r="AR344" s="238"/>
      <c r="AS344" s="238"/>
      <c r="AT344" s="238"/>
      <c r="AU344" s="238"/>
      <c r="AV344" s="238"/>
      <c r="AW344" s="238"/>
      <c r="AX344" s="238"/>
      <c r="AY344" s="238"/>
      <c r="AZ344" s="238"/>
      <c r="BA344" s="238"/>
      <c r="BB344" s="238"/>
      <c r="BC344" s="238"/>
      <c r="BD344" s="238"/>
      <c r="BE344" s="238"/>
      <c r="BF344" s="238"/>
      <c r="BG344" s="238"/>
      <c r="BH344" s="238"/>
      <c r="BI344" s="238"/>
      <c r="BJ344" s="238"/>
      <c r="BK344" s="238"/>
      <c r="BL344" s="238"/>
      <c r="BM344" s="238"/>
      <c r="BN344" s="238"/>
      <c r="BO344" s="238"/>
      <c r="BP344" s="239"/>
    </row>
    <row r="345" spans="1:68" ht="15.6" x14ac:dyDescent="0.3">
      <c r="A345" s="354"/>
      <c r="B345" s="354"/>
      <c r="C345" s="354"/>
      <c r="D345" s="359"/>
      <c r="E345" s="240"/>
      <c r="F345" s="241" t="s">
        <v>632</v>
      </c>
      <c r="G345" s="236"/>
      <c r="H345" s="236"/>
      <c r="I345" s="236"/>
      <c r="J345" s="236"/>
      <c r="K345" s="236"/>
      <c r="L345" s="237"/>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c r="AQ345" s="238"/>
      <c r="AR345" s="238"/>
      <c r="AS345" s="238"/>
      <c r="AT345" s="238"/>
      <c r="AU345" s="238"/>
      <c r="AV345" s="238"/>
      <c r="AW345" s="238"/>
      <c r="AX345" s="238"/>
      <c r="AY345" s="238"/>
      <c r="AZ345" s="238"/>
      <c r="BA345" s="238"/>
      <c r="BB345" s="238"/>
      <c r="BC345" s="238"/>
      <c r="BD345" s="238"/>
      <c r="BE345" s="238"/>
      <c r="BF345" s="238"/>
      <c r="BG345" s="238"/>
      <c r="BH345" s="238"/>
      <c r="BI345" s="238"/>
      <c r="BJ345" s="238"/>
      <c r="BK345" s="238"/>
      <c r="BL345" s="238"/>
      <c r="BM345" s="238"/>
      <c r="BN345" s="238"/>
      <c r="BO345" s="238"/>
      <c r="BP345" s="239"/>
    </row>
    <row r="346" spans="1:68" x14ac:dyDescent="0.3">
      <c r="A346" s="364" t="s">
        <v>633</v>
      </c>
      <c r="B346" s="352"/>
      <c r="C346" s="352"/>
      <c r="D346" s="359"/>
      <c r="E346" s="234"/>
      <c r="F346" s="242" t="s">
        <v>634</v>
      </c>
      <c r="G346" s="242"/>
      <c r="H346" s="242"/>
      <c r="I346" s="242"/>
      <c r="J346" s="242"/>
      <c r="K346" s="242">
        <v>2.1</v>
      </c>
      <c r="L346" s="238"/>
      <c r="M346" s="238"/>
      <c r="N346" s="238"/>
      <c r="O346" s="238"/>
      <c r="P346" s="238"/>
      <c r="Q346" s="238"/>
      <c r="R346" s="238"/>
      <c r="S346" s="238"/>
      <c r="T346" s="238"/>
      <c r="U346" s="238"/>
      <c r="V346" s="238"/>
      <c r="W346" s="238"/>
      <c r="X346" s="238"/>
      <c r="Y346" s="238"/>
      <c r="Z346" s="238"/>
      <c r="AA346" s="238"/>
      <c r="AB346" s="238"/>
      <c r="AC346" s="238"/>
      <c r="AD346" s="238"/>
      <c r="AE346" s="238"/>
      <c r="AF346" s="238"/>
      <c r="AG346" s="238"/>
      <c r="AH346" s="238"/>
      <c r="AI346" s="238"/>
      <c r="AJ346" s="238"/>
      <c r="AK346" s="238"/>
      <c r="AL346" s="238"/>
      <c r="AM346" s="238"/>
      <c r="AN346" s="238"/>
      <c r="AO346" s="238"/>
      <c r="AP346" s="238"/>
      <c r="AQ346" s="238"/>
      <c r="AR346" s="238"/>
      <c r="AS346" s="238"/>
      <c r="AT346" s="238"/>
      <c r="AU346" s="238"/>
      <c r="AV346" s="238"/>
      <c r="AW346" s="238"/>
      <c r="AX346" s="238"/>
      <c r="AY346" s="238"/>
      <c r="AZ346" s="238"/>
      <c r="BA346" s="238"/>
      <c r="BB346" s="238"/>
      <c r="BC346" s="238"/>
      <c r="BD346" s="238"/>
      <c r="BE346" s="238"/>
      <c r="BF346" s="238"/>
      <c r="BG346" s="238"/>
      <c r="BH346" s="238"/>
      <c r="BI346" s="238"/>
      <c r="BJ346" s="238"/>
      <c r="BK346" s="238"/>
      <c r="BL346" s="238"/>
      <c r="BM346" s="238"/>
      <c r="BN346" s="238"/>
      <c r="BO346" s="238"/>
      <c r="BP346" s="239"/>
    </row>
    <row r="347" spans="1:68" x14ac:dyDescent="0.3">
      <c r="A347" s="388"/>
      <c r="D347" s="359"/>
      <c r="E347" s="234"/>
      <c r="F347" s="242" t="s">
        <v>635</v>
      </c>
      <c r="G347" s="242"/>
      <c r="H347" s="242"/>
      <c r="I347" s="242"/>
      <c r="J347" s="242"/>
      <c r="K347" s="242">
        <v>4.9000000000000004</v>
      </c>
      <c r="L347" s="238"/>
      <c r="M347" s="238"/>
      <c r="N347" s="238"/>
      <c r="O347" s="238"/>
      <c r="P347" s="238"/>
      <c r="Q347" s="238"/>
      <c r="R347" s="238"/>
      <c r="S347" s="238"/>
      <c r="T347" s="238"/>
      <c r="U347" s="238"/>
      <c r="V347" s="238"/>
      <c r="W347" s="238"/>
      <c r="X347" s="238"/>
      <c r="Y347" s="238"/>
      <c r="Z347" s="238"/>
      <c r="AA347" s="238"/>
      <c r="AB347" s="238"/>
      <c r="AC347" s="238"/>
      <c r="AD347" s="238"/>
      <c r="AE347" s="238"/>
      <c r="AF347" s="238"/>
      <c r="AG347" s="238"/>
      <c r="AH347" s="238"/>
      <c r="AI347" s="238"/>
      <c r="AJ347" s="238"/>
      <c r="AK347" s="238"/>
      <c r="AL347" s="238"/>
      <c r="AM347" s="238"/>
      <c r="AN347" s="238"/>
      <c r="AO347" s="238"/>
      <c r="AP347" s="238"/>
      <c r="AQ347" s="238"/>
      <c r="AR347" s="238"/>
      <c r="AS347" s="238"/>
      <c r="AT347" s="238"/>
      <c r="AU347" s="238"/>
      <c r="AV347" s="238"/>
      <c r="AW347" s="238"/>
      <c r="AX347" s="238"/>
      <c r="AY347" s="238"/>
      <c r="AZ347" s="238"/>
      <c r="BA347" s="238"/>
      <c r="BB347" s="238"/>
      <c r="BC347" s="238"/>
      <c r="BD347" s="238"/>
      <c r="BE347" s="238"/>
      <c r="BF347" s="238"/>
      <c r="BG347" s="238"/>
      <c r="BH347" s="238"/>
      <c r="BI347" s="238"/>
      <c r="BJ347" s="238"/>
      <c r="BK347" s="238"/>
      <c r="BL347" s="238"/>
      <c r="BM347" s="238"/>
      <c r="BN347" s="238"/>
      <c r="BO347" s="238"/>
      <c r="BP347" s="239"/>
    </row>
    <row r="348" spans="1:68" x14ac:dyDescent="0.3">
      <c r="A348" s="388"/>
      <c r="D348" s="243"/>
      <c r="E348" s="234"/>
      <c r="F348" s="242" t="s">
        <v>636</v>
      </c>
      <c r="G348" s="242"/>
      <c r="H348" s="242"/>
      <c r="I348" s="242"/>
      <c r="J348" s="242"/>
      <c r="K348" s="242">
        <v>1.99</v>
      </c>
      <c r="L348" s="238"/>
      <c r="M348" s="238"/>
      <c r="N348" s="238"/>
      <c r="O348" s="238"/>
      <c r="P348" s="238"/>
      <c r="Q348" s="238"/>
      <c r="R348" s="238"/>
      <c r="S348" s="238"/>
      <c r="T348" s="238"/>
      <c r="U348" s="238"/>
      <c r="V348" s="238"/>
      <c r="W348" s="238"/>
      <c r="X348" s="238"/>
      <c r="Y348" s="238"/>
      <c r="Z348" s="238"/>
      <c r="AA348" s="238"/>
      <c r="AB348" s="238"/>
      <c r="AC348" s="238"/>
      <c r="AD348" s="238"/>
      <c r="AE348" s="238"/>
      <c r="AF348" s="238"/>
      <c r="AG348" s="238"/>
      <c r="AH348" s="238"/>
      <c r="AI348" s="238"/>
      <c r="AJ348" s="238"/>
      <c r="AK348" s="238"/>
      <c r="AL348" s="238"/>
      <c r="AM348" s="238"/>
      <c r="AN348" s="238"/>
      <c r="AO348" s="238"/>
      <c r="AP348" s="238"/>
      <c r="AQ348" s="238"/>
      <c r="AR348" s="238"/>
      <c r="AS348" s="238"/>
      <c r="AT348" s="238"/>
      <c r="AU348" s="238"/>
      <c r="AV348" s="238"/>
      <c r="AW348" s="238"/>
      <c r="AX348" s="238"/>
      <c r="AY348" s="238"/>
      <c r="AZ348" s="238"/>
      <c r="BA348" s="238"/>
      <c r="BB348" s="238"/>
      <c r="BC348" s="238"/>
      <c r="BD348" s="238"/>
      <c r="BE348" s="238"/>
      <c r="BF348" s="238"/>
      <c r="BG348" s="238"/>
      <c r="BH348" s="238"/>
      <c r="BI348" s="238"/>
      <c r="BJ348" s="238"/>
      <c r="BK348" s="238"/>
      <c r="BL348" s="238"/>
      <c r="BM348" s="238"/>
      <c r="BN348" s="238"/>
      <c r="BO348" s="238"/>
      <c r="BP348" s="239"/>
    </row>
    <row r="349" spans="1:68" x14ac:dyDescent="0.3">
      <c r="A349" s="388"/>
      <c r="D349" s="243"/>
      <c r="E349" s="244"/>
      <c r="F349" s="242" t="s">
        <v>637</v>
      </c>
      <c r="G349" s="242"/>
      <c r="H349" s="242"/>
      <c r="I349" s="242"/>
      <c r="J349" s="242"/>
      <c r="K349" s="242">
        <v>0.06</v>
      </c>
      <c r="L349" s="238"/>
      <c r="M349" s="238"/>
      <c r="N349" s="238"/>
      <c r="O349" s="238"/>
      <c r="P349" s="238"/>
      <c r="Q349" s="238"/>
      <c r="R349" s="238"/>
      <c r="S349" s="238"/>
      <c r="T349" s="238"/>
      <c r="U349" s="238"/>
      <c r="V349" s="238"/>
      <c r="W349" s="238"/>
      <c r="X349" s="238"/>
      <c r="Y349" s="238"/>
      <c r="Z349" s="238"/>
      <c r="AA349" s="238"/>
      <c r="AB349" s="238"/>
      <c r="AC349" s="238"/>
      <c r="AD349" s="238"/>
      <c r="AE349" s="238"/>
      <c r="AF349" s="238"/>
      <c r="AG349" s="238"/>
      <c r="AH349" s="238"/>
      <c r="AI349" s="238"/>
      <c r="AJ349" s="238"/>
      <c r="AK349" s="238"/>
      <c r="AL349" s="238"/>
      <c r="AM349" s="238"/>
      <c r="AN349" s="238"/>
      <c r="AO349" s="238"/>
      <c r="AP349" s="238"/>
      <c r="AQ349" s="238"/>
      <c r="AR349" s="238"/>
      <c r="AS349" s="238"/>
      <c r="AT349" s="238"/>
      <c r="AU349" s="238"/>
      <c r="AV349" s="238"/>
      <c r="AW349" s="238"/>
      <c r="AX349" s="238"/>
      <c r="AY349" s="238"/>
      <c r="AZ349" s="238"/>
      <c r="BA349" s="238"/>
      <c r="BB349" s="238"/>
      <c r="BC349" s="238"/>
      <c r="BD349" s="238"/>
      <c r="BE349" s="238"/>
      <c r="BF349" s="238"/>
      <c r="BG349" s="238"/>
      <c r="BH349" s="238"/>
      <c r="BI349" s="238"/>
      <c r="BJ349" s="238"/>
      <c r="BK349" s="238"/>
      <c r="BL349" s="238"/>
      <c r="BM349" s="238"/>
      <c r="BN349" s="238"/>
      <c r="BO349" s="238"/>
      <c r="BP349" s="239"/>
    </row>
    <row r="350" spans="1:68" x14ac:dyDescent="0.3">
      <c r="A350" s="388"/>
      <c r="D350" s="359"/>
      <c r="E350" s="234"/>
      <c r="F350" s="242" t="s">
        <v>638</v>
      </c>
      <c r="G350" s="242"/>
      <c r="H350" s="242"/>
      <c r="I350" s="242"/>
      <c r="J350" s="242"/>
      <c r="K350" s="242">
        <v>0.8</v>
      </c>
      <c r="L350" s="238"/>
      <c r="M350" s="238"/>
      <c r="N350" s="238"/>
      <c r="O350" s="238"/>
      <c r="P350" s="238"/>
      <c r="Q350" s="238"/>
      <c r="R350" s="238"/>
      <c r="S350" s="238"/>
      <c r="T350" s="238"/>
      <c r="U350" s="238"/>
      <c r="V350" s="238"/>
      <c r="W350" s="238"/>
      <c r="X350" s="238"/>
      <c r="Y350" s="238"/>
      <c r="Z350" s="238"/>
      <c r="AA350" s="238"/>
      <c r="AB350" s="238"/>
      <c r="AC350" s="238"/>
      <c r="AD350" s="238"/>
      <c r="AE350" s="238"/>
      <c r="AF350" s="238"/>
      <c r="AG350" s="238"/>
      <c r="AH350" s="238"/>
      <c r="AI350" s="238"/>
      <c r="AJ350" s="238"/>
      <c r="AK350" s="238"/>
      <c r="AL350" s="238"/>
      <c r="AM350" s="238"/>
      <c r="AN350" s="238"/>
      <c r="AO350" s="238"/>
      <c r="AP350" s="238"/>
      <c r="AQ350" s="238"/>
      <c r="AR350" s="238"/>
      <c r="AS350" s="238"/>
      <c r="AT350" s="238"/>
      <c r="AU350" s="238"/>
      <c r="AV350" s="238"/>
      <c r="AW350" s="238"/>
      <c r="AX350" s="238"/>
      <c r="AY350" s="238"/>
      <c r="AZ350" s="238"/>
      <c r="BA350" s="238"/>
      <c r="BB350" s="238"/>
      <c r="BC350" s="238"/>
      <c r="BD350" s="238"/>
      <c r="BE350" s="238"/>
      <c r="BF350" s="238"/>
      <c r="BG350" s="238"/>
      <c r="BH350" s="238"/>
      <c r="BI350" s="238"/>
      <c r="BJ350" s="238"/>
      <c r="BK350" s="238"/>
      <c r="BL350" s="238"/>
      <c r="BM350" s="238"/>
      <c r="BN350" s="238"/>
      <c r="BO350" s="238"/>
      <c r="BP350" s="239"/>
    </row>
    <row r="351" spans="1:68" x14ac:dyDescent="0.3">
      <c r="A351" s="388"/>
      <c r="D351" s="243"/>
      <c r="E351" s="244"/>
      <c r="F351" s="242" t="s">
        <v>639</v>
      </c>
      <c r="G351" s="242"/>
      <c r="H351" s="242"/>
      <c r="I351" s="242"/>
      <c r="J351" s="242"/>
      <c r="K351" s="242">
        <v>0.41</v>
      </c>
      <c r="L351" s="238"/>
      <c r="M351" s="238"/>
      <c r="N351" s="238"/>
      <c r="O351" s="238"/>
      <c r="P351" s="238"/>
      <c r="Q351" s="238"/>
      <c r="R351" s="238"/>
      <c r="S351" s="238"/>
      <c r="T351" s="238"/>
      <c r="U351" s="238"/>
      <c r="V351" s="238"/>
      <c r="W351" s="238"/>
      <c r="X351" s="238"/>
      <c r="Y351" s="238"/>
      <c r="Z351" s="238"/>
      <c r="AA351" s="238"/>
      <c r="AB351" s="238"/>
      <c r="AC351" s="238"/>
      <c r="AD351" s="238"/>
      <c r="AE351" s="238"/>
      <c r="AF351" s="238"/>
      <c r="AG351" s="238"/>
      <c r="AH351" s="238"/>
      <c r="AI351" s="238"/>
      <c r="AJ351" s="238"/>
      <c r="AK351" s="238"/>
      <c r="AL351" s="238"/>
      <c r="AM351" s="238"/>
      <c r="AN351" s="238"/>
      <c r="AO351" s="238"/>
      <c r="AP351" s="238"/>
      <c r="AQ351" s="238"/>
      <c r="AR351" s="238"/>
      <c r="AS351" s="238"/>
      <c r="AT351" s="238"/>
      <c r="AU351" s="238"/>
      <c r="AV351" s="238"/>
      <c r="AW351" s="238"/>
      <c r="AX351" s="238"/>
      <c r="AY351" s="238"/>
      <c r="AZ351" s="238"/>
      <c r="BA351" s="238"/>
      <c r="BB351" s="238"/>
      <c r="BC351" s="238"/>
      <c r="BD351" s="238"/>
      <c r="BE351" s="238"/>
      <c r="BF351" s="238"/>
      <c r="BG351" s="238"/>
      <c r="BH351" s="238"/>
      <c r="BI351" s="238"/>
      <c r="BJ351" s="238"/>
      <c r="BK351" s="238"/>
      <c r="BL351" s="238"/>
      <c r="BM351" s="238"/>
      <c r="BN351" s="238"/>
      <c r="BO351" s="238"/>
      <c r="BP351" s="239"/>
    </row>
    <row r="352" spans="1:68" x14ac:dyDescent="0.3">
      <c r="A352" s="388"/>
      <c r="D352" s="359"/>
      <c r="E352" s="234"/>
      <c r="F352" s="242" t="s">
        <v>640</v>
      </c>
      <c r="G352" s="242"/>
      <c r="H352" s="242"/>
      <c r="I352" s="242"/>
      <c r="J352" s="242"/>
      <c r="K352" s="242">
        <v>6.87</v>
      </c>
      <c r="L352" s="238"/>
      <c r="M352" s="238"/>
      <c r="N352" s="238"/>
      <c r="O352" s="238"/>
      <c r="P352" s="238"/>
      <c r="Q352" s="238"/>
      <c r="R352" s="238"/>
      <c r="S352" s="238"/>
      <c r="T352" s="238"/>
      <c r="U352" s="238"/>
      <c r="V352" s="238"/>
      <c r="W352" s="238"/>
      <c r="X352" s="238"/>
      <c r="Y352" s="238"/>
      <c r="Z352" s="238"/>
      <c r="AA352" s="238"/>
      <c r="AB352" s="238"/>
      <c r="AC352" s="238"/>
      <c r="AD352" s="238"/>
      <c r="AE352" s="238"/>
      <c r="AF352" s="238"/>
      <c r="AG352" s="238"/>
      <c r="AH352" s="238"/>
      <c r="AI352" s="238"/>
      <c r="AJ352" s="238"/>
      <c r="AK352" s="238"/>
      <c r="AL352" s="238"/>
      <c r="AM352" s="238"/>
      <c r="AN352" s="238"/>
      <c r="AO352" s="238"/>
      <c r="AP352" s="238"/>
      <c r="AQ352" s="238"/>
      <c r="AR352" s="238"/>
      <c r="AS352" s="238"/>
      <c r="AT352" s="238"/>
      <c r="AU352" s="238"/>
      <c r="AV352" s="238"/>
      <c r="AW352" s="238"/>
      <c r="AX352" s="238"/>
      <c r="AY352" s="238"/>
      <c r="AZ352" s="238"/>
      <c r="BA352" s="238"/>
      <c r="BB352" s="238"/>
      <c r="BC352" s="238"/>
      <c r="BD352" s="238"/>
      <c r="BE352" s="238"/>
      <c r="BF352" s="238"/>
      <c r="BG352" s="238"/>
      <c r="BH352" s="238"/>
      <c r="BI352" s="238"/>
      <c r="BJ352" s="238"/>
      <c r="BK352" s="238"/>
      <c r="BL352" s="238"/>
      <c r="BM352" s="238"/>
      <c r="BN352" s="238"/>
      <c r="BO352" s="238"/>
      <c r="BP352" s="239"/>
    </row>
    <row r="353" spans="1:81" x14ac:dyDescent="0.3">
      <c r="A353" s="354"/>
      <c r="B353" s="354"/>
      <c r="C353" s="354"/>
      <c r="D353" s="359"/>
      <c r="E353" s="234"/>
      <c r="F353" s="242" t="s">
        <v>527</v>
      </c>
      <c r="G353" s="242"/>
      <c r="H353" s="242"/>
      <c r="I353" s="242"/>
      <c r="J353" s="242"/>
      <c r="K353" s="242">
        <f>SUM(K346:K352)</f>
        <v>17.130000000000003</v>
      </c>
      <c r="L353" s="238"/>
      <c r="M353" s="238"/>
      <c r="N353" s="238"/>
      <c r="O353" s="238"/>
      <c r="P353" s="238"/>
      <c r="Q353" s="238"/>
      <c r="R353" s="238"/>
      <c r="S353" s="238"/>
      <c r="T353" s="238"/>
      <c r="U353" s="238"/>
      <c r="V353" s="238"/>
      <c r="W353" s="238"/>
      <c r="X353" s="238"/>
      <c r="Y353" s="238"/>
      <c r="Z353" s="238"/>
      <c r="AA353" s="238"/>
      <c r="AB353" s="238"/>
      <c r="AC353" s="238"/>
      <c r="AD353" s="238"/>
      <c r="AE353" s="238"/>
      <c r="AF353" s="238"/>
      <c r="AG353" s="238"/>
      <c r="AH353" s="238"/>
      <c r="AI353" s="238"/>
      <c r="AJ353" s="238"/>
      <c r="AK353" s="238"/>
      <c r="AL353" s="238"/>
      <c r="AM353" s="238"/>
      <c r="AN353" s="238"/>
      <c r="AO353" s="238"/>
      <c r="AP353" s="238"/>
      <c r="AQ353" s="238"/>
      <c r="AR353" s="238"/>
      <c r="AS353" s="238"/>
      <c r="AT353" s="238"/>
      <c r="AU353" s="238"/>
      <c r="AV353" s="238"/>
      <c r="AW353" s="238"/>
      <c r="AX353" s="238"/>
      <c r="AY353" s="238"/>
      <c r="AZ353" s="238"/>
      <c r="BA353" s="238"/>
      <c r="BB353" s="238"/>
      <c r="BC353" s="238"/>
      <c r="BD353" s="238"/>
      <c r="BE353" s="238"/>
      <c r="BF353" s="238"/>
      <c r="BG353" s="238"/>
      <c r="BH353" s="238"/>
      <c r="BI353" s="238"/>
      <c r="BJ353" s="238"/>
      <c r="BK353" s="238"/>
      <c r="BL353" s="238"/>
      <c r="BM353" s="238"/>
      <c r="BN353" s="238"/>
      <c r="BO353" s="238"/>
      <c r="BP353" s="239"/>
    </row>
    <row r="354" spans="1:81" x14ac:dyDescent="0.3">
      <c r="A354" s="354"/>
      <c r="B354" s="354"/>
      <c r="C354" s="354"/>
      <c r="D354" s="359"/>
      <c r="E354" s="234"/>
      <c r="F354" s="245"/>
      <c r="G354" s="245"/>
      <c r="H354" s="245"/>
      <c r="I354" s="245"/>
      <c r="J354" s="245"/>
      <c r="K354" s="245"/>
      <c r="L354" s="246"/>
      <c r="M354" s="246"/>
      <c r="N354" s="246"/>
      <c r="O354" s="246"/>
      <c r="P354" s="246"/>
      <c r="Q354" s="246"/>
      <c r="R354" s="246"/>
      <c r="S354" s="246"/>
      <c r="T354" s="246"/>
      <c r="U354" s="246"/>
      <c r="V354" s="246"/>
      <c r="W354" s="246"/>
      <c r="X354" s="246"/>
      <c r="Y354" s="246"/>
      <c r="Z354" s="246"/>
      <c r="AA354" s="246"/>
      <c r="AB354" s="246"/>
      <c r="AC354" s="246"/>
      <c r="AD354" s="246"/>
      <c r="AE354" s="246"/>
      <c r="AF354" s="246"/>
      <c r="AG354" s="246"/>
      <c r="AH354" s="246"/>
      <c r="AI354" s="246"/>
      <c r="AJ354" s="246"/>
      <c r="AK354" s="246"/>
      <c r="AL354" s="246"/>
      <c r="AM354" s="246"/>
      <c r="AN354" s="246"/>
      <c r="AO354" s="246"/>
      <c r="AP354" s="246"/>
      <c r="AQ354" s="246"/>
      <c r="AR354" s="246"/>
      <c r="AS354" s="246"/>
      <c r="AT354" s="246"/>
      <c r="AU354" s="246"/>
      <c r="AV354" s="246"/>
      <c r="AW354" s="246"/>
      <c r="AX354" s="246"/>
      <c r="AY354" s="246"/>
      <c r="AZ354" s="246"/>
      <c r="BA354" s="246"/>
      <c r="BB354" s="246"/>
      <c r="BC354" s="246"/>
      <c r="BD354" s="246"/>
      <c r="BE354" s="246"/>
      <c r="BF354" s="246"/>
      <c r="BG354" s="246"/>
      <c r="BH354" s="246"/>
      <c r="BI354" s="246"/>
      <c r="BJ354" s="246"/>
      <c r="BK354" s="246"/>
      <c r="BL354" s="246"/>
      <c r="BM354" s="246"/>
      <c r="BN354" s="246"/>
      <c r="BO354" s="246"/>
      <c r="BP354" s="239"/>
    </row>
    <row r="355" spans="1:81" ht="15.6" x14ac:dyDescent="0.3">
      <c r="A355" s="354"/>
      <c r="B355" s="354"/>
      <c r="C355" s="354"/>
      <c r="D355" s="359"/>
      <c r="E355" s="234"/>
      <c r="F355" s="235" t="s">
        <v>641</v>
      </c>
      <c r="G355" s="236"/>
      <c r="H355" s="236"/>
      <c r="I355" s="236"/>
      <c r="J355" s="236"/>
      <c r="K355" s="236"/>
      <c r="L355" s="237"/>
      <c r="M355" s="238"/>
      <c r="N355" s="238"/>
      <c r="O355" s="238"/>
      <c r="P355" s="238"/>
      <c r="Q355" s="238"/>
      <c r="R355" s="238"/>
      <c r="S355" s="238"/>
      <c r="T355" s="238"/>
      <c r="U355" s="238"/>
      <c r="V355" s="238"/>
      <c r="W355" s="238"/>
      <c r="X355" s="238"/>
      <c r="Y355" s="238"/>
      <c r="Z355" s="238"/>
      <c r="AA355" s="238"/>
      <c r="AB355" s="238"/>
      <c r="AC355" s="238"/>
      <c r="AD355" s="238"/>
      <c r="AE355" s="238"/>
      <c r="AF355" s="238"/>
      <c r="AG355" s="238"/>
      <c r="AH355" s="238"/>
      <c r="AI355" s="238"/>
      <c r="AJ355" s="238"/>
      <c r="AK355" s="238"/>
      <c r="AL355" s="238"/>
      <c r="AM355" s="238"/>
      <c r="AN355" s="238"/>
      <c r="AO355" s="238"/>
      <c r="AP355" s="238"/>
      <c r="AQ355" s="238"/>
      <c r="AR355" s="238"/>
      <c r="AS355" s="238"/>
      <c r="AT355" s="238"/>
      <c r="AU355" s="238"/>
      <c r="AV355" s="238"/>
      <c r="AW355" s="238"/>
      <c r="AX355" s="238"/>
      <c r="AY355" s="238"/>
      <c r="AZ355" s="238"/>
      <c r="BA355" s="238"/>
      <c r="BB355" s="238"/>
      <c r="BC355" s="238"/>
      <c r="BD355" s="238"/>
      <c r="BE355" s="238"/>
      <c r="BF355" s="238"/>
      <c r="BG355" s="238"/>
      <c r="BH355" s="238"/>
      <c r="BI355" s="238"/>
      <c r="BJ355" s="238"/>
      <c r="BK355" s="238"/>
      <c r="BL355" s="238"/>
      <c r="BM355" s="238"/>
      <c r="BN355" s="238"/>
      <c r="BO355" s="238"/>
      <c r="BP355" s="239"/>
    </row>
    <row r="356" spans="1:81" ht="15.6" x14ac:dyDescent="0.3">
      <c r="A356" s="354"/>
      <c r="B356" s="354"/>
      <c r="C356" s="354"/>
      <c r="D356" s="359"/>
      <c r="E356" s="240"/>
      <c r="F356" s="241" t="s">
        <v>642</v>
      </c>
      <c r="G356" s="236"/>
      <c r="H356" s="236"/>
      <c r="I356" s="236"/>
      <c r="J356" s="236"/>
      <c r="K356" s="236"/>
      <c r="L356" s="237"/>
      <c r="M356" s="238"/>
      <c r="N356" s="238"/>
      <c r="O356" s="238"/>
      <c r="P356" s="238"/>
      <c r="Q356" s="238"/>
      <c r="R356" s="238"/>
      <c r="S356" s="238"/>
      <c r="T356" s="238"/>
      <c r="U356" s="238"/>
      <c r="V356" s="238"/>
      <c r="W356" s="238"/>
      <c r="X356" s="238"/>
      <c r="Y356" s="238"/>
      <c r="Z356" s="238"/>
      <c r="AA356" s="238"/>
      <c r="AB356" s="238"/>
      <c r="AC356" s="238"/>
      <c r="AD356" s="238"/>
      <c r="AE356" s="238"/>
      <c r="AF356" s="238"/>
      <c r="AG356" s="238"/>
      <c r="AH356" s="238"/>
      <c r="AI356" s="238"/>
      <c r="AJ356" s="238"/>
      <c r="AK356" s="238"/>
      <c r="AL356" s="238"/>
      <c r="AM356" s="238"/>
      <c r="AN356" s="238"/>
      <c r="AO356" s="238"/>
      <c r="AP356" s="238"/>
      <c r="AQ356" s="238"/>
      <c r="AR356" s="238"/>
      <c r="AS356" s="238"/>
      <c r="AT356" s="238"/>
      <c r="AU356" s="238"/>
      <c r="AV356" s="238"/>
      <c r="AW356" s="238"/>
      <c r="AX356" s="238"/>
      <c r="AY356" s="238"/>
      <c r="AZ356" s="238"/>
      <c r="BA356" s="238"/>
      <c r="BB356" s="238"/>
      <c r="BC356" s="238"/>
      <c r="BD356" s="238"/>
      <c r="BE356" s="238"/>
      <c r="BF356" s="238"/>
      <c r="BG356" s="238"/>
      <c r="BH356" s="238"/>
      <c r="BI356" s="238"/>
      <c r="BJ356" s="238"/>
      <c r="BK356" s="238"/>
      <c r="BL356" s="238"/>
      <c r="BM356" s="238"/>
      <c r="BN356" s="238"/>
      <c r="BO356" s="238"/>
      <c r="BP356" s="239"/>
    </row>
    <row r="357" spans="1:81" x14ac:dyDescent="0.3">
      <c r="A357" s="364" t="s">
        <v>643</v>
      </c>
      <c r="B357" s="352"/>
      <c r="C357" s="352"/>
      <c r="D357" s="359"/>
      <c r="E357" s="391"/>
      <c r="F357" s="242" t="s">
        <v>644</v>
      </c>
      <c r="G357" s="247">
        <f t="shared" ref="G357:R357" si="243">G103*0.23</f>
        <v>0.65560695000000002</v>
      </c>
      <c r="H357" s="247">
        <f t="shared" si="243"/>
        <v>0.48239188</v>
      </c>
      <c r="I357" s="247">
        <f t="shared" si="243"/>
        <v>0.60928173000000008</v>
      </c>
      <c r="J357" s="247">
        <f t="shared" si="243"/>
        <v>0.53287274000000007</v>
      </c>
      <c r="K357" s="247">
        <f t="shared" si="243"/>
        <v>0.79775730000000011</v>
      </c>
      <c r="L357" s="248">
        <f t="shared" si="243"/>
        <v>0.96040156999999993</v>
      </c>
      <c r="M357" s="248">
        <f t="shared" si="243"/>
        <v>0.71853587000000008</v>
      </c>
      <c r="N357" s="248">
        <f t="shared" si="243"/>
        <v>0.75347839000000005</v>
      </c>
      <c r="O357" s="248">
        <f t="shared" si="243"/>
        <v>0.64072388000000002</v>
      </c>
      <c r="P357" s="248">
        <f t="shared" si="243"/>
        <v>0.52346804000000002</v>
      </c>
      <c r="Q357" s="248">
        <f t="shared" si="243"/>
        <v>0.56265175999999995</v>
      </c>
      <c r="R357" s="248">
        <f t="shared" si="243"/>
        <v>0.5563366500000001</v>
      </c>
      <c r="S357" s="249"/>
      <c r="T357" s="249"/>
      <c r="U357" s="249"/>
      <c r="V357" s="249"/>
      <c r="W357" s="249"/>
      <c r="X357" s="249"/>
      <c r="Y357" s="249"/>
      <c r="Z357" s="249"/>
      <c r="AA357" s="249"/>
      <c r="AB357" s="249"/>
      <c r="AC357" s="249"/>
      <c r="AD357" s="249"/>
      <c r="AE357" s="249"/>
      <c r="AF357" s="249"/>
      <c r="AG357" s="249"/>
      <c r="AH357" s="249"/>
      <c r="AI357" s="249"/>
      <c r="AJ357" s="249"/>
      <c r="AK357" s="249"/>
      <c r="AL357" s="249"/>
      <c r="AM357" s="249"/>
      <c r="AN357" s="249"/>
      <c r="AO357" s="249"/>
      <c r="AP357" s="249"/>
      <c r="AQ357" s="249"/>
      <c r="AR357" s="249"/>
      <c r="AS357" s="249"/>
      <c r="AT357" s="249"/>
      <c r="AU357" s="249"/>
      <c r="AV357" s="249"/>
      <c r="AW357" s="249"/>
      <c r="AX357" s="249"/>
      <c r="AY357" s="249"/>
      <c r="AZ357" s="249"/>
      <c r="BA357" s="249"/>
      <c r="BB357" s="249"/>
      <c r="BC357" s="249"/>
      <c r="BD357" s="249"/>
      <c r="BE357" s="249"/>
      <c r="BF357" s="249"/>
      <c r="BG357" s="249"/>
      <c r="BH357" s="249"/>
      <c r="BI357" s="249"/>
      <c r="BJ357" s="249"/>
      <c r="BK357" s="249"/>
      <c r="BL357" s="249"/>
      <c r="BM357" s="249"/>
      <c r="BN357" s="249"/>
      <c r="BO357" s="249"/>
      <c r="BP357" s="239"/>
    </row>
    <row r="358" spans="1:81" x14ac:dyDescent="0.3">
      <c r="A358" s="388"/>
      <c r="D358" s="359"/>
      <c r="E358" s="391"/>
      <c r="F358" s="242" t="s">
        <v>645</v>
      </c>
      <c r="G358" s="250">
        <f t="shared" ref="G358:R358" si="244">G103*0.14</f>
        <v>0.39906510000000001</v>
      </c>
      <c r="H358" s="250">
        <f t="shared" si="244"/>
        <v>0.29362984000000003</v>
      </c>
      <c r="I358" s="250">
        <f t="shared" si="244"/>
        <v>0.37086714000000004</v>
      </c>
      <c r="J358" s="250">
        <f t="shared" si="244"/>
        <v>0.32435732000000006</v>
      </c>
      <c r="K358" s="250">
        <f t="shared" si="244"/>
        <v>0.48559140000000006</v>
      </c>
      <c r="L358" s="251">
        <f t="shared" si="244"/>
        <v>0.58459225999999997</v>
      </c>
      <c r="M358" s="251">
        <f t="shared" si="244"/>
        <v>0.43736966000000005</v>
      </c>
      <c r="N358" s="251">
        <f t="shared" si="244"/>
        <v>0.45863902000000006</v>
      </c>
      <c r="O358" s="251">
        <f t="shared" si="244"/>
        <v>0.39000584000000005</v>
      </c>
      <c r="P358" s="251">
        <f t="shared" si="244"/>
        <v>0.31863272000000004</v>
      </c>
      <c r="Q358" s="251">
        <f t="shared" si="244"/>
        <v>0.34248368000000001</v>
      </c>
      <c r="R358" s="251">
        <f t="shared" si="244"/>
        <v>0.33863970000000004</v>
      </c>
      <c r="S358" s="238"/>
      <c r="T358" s="238"/>
      <c r="U358" s="238"/>
      <c r="V358" s="238"/>
      <c r="W358" s="238"/>
      <c r="X358" s="238"/>
      <c r="Y358" s="238"/>
      <c r="Z358" s="238"/>
      <c r="AA358" s="238"/>
      <c r="AB358" s="238"/>
      <c r="AC358" s="238"/>
      <c r="AD358" s="238"/>
      <c r="AE358" s="238"/>
      <c r="AF358" s="238"/>
      <c r="AG358" s="238"/>
      <c r="AH358" s="238"/>
      <c r="AI358" s="238"/>
      <c r="AJ358" s="238"/>
      <c r="AK358" s="238"/>
      <c r="AL358" s="238"/>
      <c r="AM358" s="238"/>
      <c r="AN358" s="238"/>
      <c r="AO358" s="238"/>
      <c r="AP358" s="238"/>
      <c r="AQ358" s="238"/>
      <c r="AR358" s="238"/>
      <c r="AS358" s="238"/>
      <c r="AT358" s="238"/>
      <c r="AU358" s="238"/>
      <c r="AV358" s="238"/>
      <c r="AW358" s="238"/>
      <c r="AX358" s="238"/>
      <c r="AY358" s="238"/>
      <c r="AZ358" s="238"/>
      <c r="BA358" s="238"/>
      <c r="BB358" s="238"/>
      <c r="BC358" s="238"/>
      <c r="BD358" s="238"/>
      <c r="BE358" s="238"/>
      <c r="BF358" s="238"/>
      <c r="BG358" s="238"/>
      <c r="BH358" s="238"/>
      <c r="BI358" s="238"/>
      <c r="BJ358" s="238"/>
      <c r="BK358" s="238"/>
      <c r="BL358" s="238"/>
      <c r="BM358" s="238"/>
      <c r="BN358" s="238"/>
      <c r="BO358" s="238"/>
      <c r="BP358" s="239"/>
    </row>
    <row r="359" spans="1:81" x14ac:dyDescent="0.3">
      <c r="A359" s="388"/>
      <c r="D359" s="359"/>
      <c r="E359" s="391"/>
      <c r="F359" s="242" t="s">
        <v>646</v>
      </c>
      <c r="G359" s="250">
        <f t="shared" ref="G359:R359" si="245">G103*0.07</f>
        <v>0.19953255</v>
      </c>
      <c r="H359" s="250">
        <f t="shared" si="245"/>
        <v>0.14681492000000002</v>
      </c>
      <c r="I359" s="250">
        <f t="shared" si="245"/>
        <v>0.18543357000000002</v>
      </c>
      <c r="J359" s="250">
        <f t="shared" si="245"/>
        <v>0.16217866000000003</v>
      </c>
      <c r="K359" s="250">
        <f t="shared" si="245"/>
        <v>0.24279570000000003</v>
      </c>
      <c r="L359" s="251">
        <f t="shared" si="245"/>
        <v>0.29229612999999999</v>
      </c>
      <c r="M359" s="251">
        <f t="shared" si="245"/>
        <v>0.21868483000000002</v>
      </c>
      <c r="N359" s="251">
        <f t="shared" si="245"/>
        <v>0.22931951000000003</v>
      </c>
      <c r="O359" s="251">
        <f t="shared" si="245"/>
        <v>0.19500292000000002</v>
      </c>
      <c r="P359" s="251">
        <f t="shared" si="245"/>
        <v>0.15931636000000002</v>
      </c>
      <c r="Q359" s="251">
        <f t="shared" si="245"/>
        <v>0.17124184000000001</v>
      </c>
      <c r="R359" s="251">
        <f t="shared" si="245"/>
        <v>0.16931985000000002</v>
      </c>
      <c r="S359" s="238"/>
      <c r="T359" s="238"/>
      <c r="U359" s="238"/>
      <c r="V359" s="238"/>
      <c r="W359" s="238"/>
      <c r="X359" s="238"/>
      <c r="Y359" s="238"/>
      <c r="Z359" s="238"/>
      <c r="AA359" s="238"/>
      <c r="AB359" s="238"/>
      <c r="AC359" s="238"/>
      <c r="AD359" s="238"/>
      <c r="AE359" s="238"/>
      <c r="AF359" s="238"/>
      <c r="AG359" s="238"/>
      <c r="AH359" s="238"/>
      <c r="AI359" s="238"/>
      <c r="AJ359" s="238"/>
      <c r="AK359" s="238"/>
      <c r="AL359" s="238"/>
      <c r="AM359" s="238"/>
      <c r="AN359" s="238"/>
      <c r="AO359" s="238"/>
      <c r="AP359" s="238"/>
      <c r="AQ359" s="238"/>
      <c r="AR359" s="238"/>
      <c r="AS359" s="238"/>
      <c r="AT359" s="238"/>
      <c r="AU359" s="238"/>
      <c r="AV359" s="238"/>
      <c r="AW359" s="238"/>
      <c r="AX359" s="238"/>
      <c r="AY359" s="238"/>
      <c r="AZ359" s="238"/>
      <c r="BA359" s="238"/>
      <c r="BB359" s="238"/>
      <c r="BC359" s="238"/>
      <c r="BD359" s="238"/>
      <c r="BE359" s="238"/>
      <c r="BF359" s="238"/>
      <c r="BG359" s="238"/>
      <c r="BH359" s="238"/>
      <c r="BI359" s="238"/>
      <c r="BJ359" s="238"/>
      <c r="BK359" s="238"/>
      <c r="BL359" s="238"/>
      <c r="BM359" s="238"/>
      <c r="BN359" s="238"/>
      <c r="BO359" s="238"/>
      <c r="BP359" s="239"/>
      <c r="BQ359" s="9"/>
      <c r="BR359" s="9"/>
      <c r="BS359" s="9"/>
      <c r="BT359" s="9"/>
      <c r="BU359" s="9"/>
      <c r="BV359" s="9"/>
      <c r="BW359" s="9"/>
      <c r="BX359" s="9"/>
      <c r="BY359" s="9"/>
      <c r="BZ359" s="9"/>
      <c r="CA359" s="9"/>
      <c r="CB359" s="9"/>
      <c r="CC359" s="9"/>
    </row>
    <row r="360" spans="1:81" x14ac:dyDescent="0.3">
      <c r="A360" s="388"/>
      <c r="D360" s="359"/>
      <c r="E360" s="391"/>
      <c r="F360" s="242" t="s">
        <v>647</v>
      </c>
      <c r="G360" s="252">
        <f t="shared" ref="G360:R360" si="246">G103*0.06</f>
        <v>0.17102789999999998</v>
      </c>
      <c r="H360" s="252">
        <f t="shared" si="246"/>
        <v>0.12584135999999999</v>
      </c>
      <c r="I360" s="252">
        <f t="shared" si="246"/>
        <v>0.15894306</v>
      </c>
      <c r="J360" s="252">
        <f t="shared" si="246"/>
        <v>0.13901028000000001</v>
      </c>
      <c r="K360" s="252">
        <f t="shared" si="246"/>
        <v>0.20811060000000001</v>
      </c>
      <c r="L360" s="253">
        <f t="shared" si="246"/>
        <v>0.25053953999999995</v>
      </c>
      <c r="M360" s="253">
        <f t="shared" si="246"/>
        <v>0.18744413999999998</v>
      </c>
      <c r="N360" s="253">
        <f t="shared" si="246"/>
        <v>0.19655958000000001</v>
      </c>
      <c r="O360" s="253">
        <f t="shared" si="246"/>
        <v>0.16714535999999999</v>
      </c>
      <c r="P360" s="253">
        <f t="shared" si="246"/>
        <v>0.13655687999999999</v>
      </c>
      <c r="Q360" s="253">
        <f t="shared" si="246"/>
        <v>0.14677871999999997</v>
      </c>
      <c r="R360" s="253">
        <f t="shared" si="246"/>
        <v>0.14513130000000002</v>
      </c>
      <c r="S360" s="254"/>
      <c r="T360" s="254"/>
      <c r="U360" s="254"/>
      <c r="V360" s="254"/>
      <c r="W360" s="254"/>
      <c r="X360" s="254"/>
      <c r="Y360" s="254"/>
      <c r="Z360" s="254"/>
      <c r="AA360" s="254"/>
      <c r="AB360" s="254"/>
      <c r="AC360" s="254"/>
      <c r="AD360" s="254"/>
      <c r="AE360" s="254"/>
      <c r="AF360" s="254"/>
      <c r="AG360" s="254"/>
      <c r="AH360" s="254"/>
      <c r="AI360" s="254"/>
      <c r="AJ360" s="254"/>
      <c r="AK360" s="254"/>
      <c r="AL360" s="254"/>
      <c r="AM360" s="254"/>
      <c r="AN360" s="254"/>
      <c r="AO360" s="254"/>
      <c r="AP360" s="254"/>
      <c r="AQ360" s="254"/>
      <c r="AR360" s="254"/>
      <c r="AS360" s="254"/>
      <c r="AT360" s="254"/>
      <c r="AU360" s="254"/>
      <c r="AV360" s="254"/>
      <c r="AW360" s="254"/>
      <c r="AX360" s="254"/>
      <c r="AY360" s="254"/>
      <c r="AZ360" s="254"/>
      <c r="BA360" s="254"/>
      <c r="BB360" s="254"/>
      <c r="BC360" s="254"/>
      <c r="BD360" s="254"/>
      <c r="BE360" s="254"/>
      <c r="BF360" s="254"/>
      <c r="BG360" s="254"/>
      <c r="BH360" s="254"/>
      <c r="BI360" s="254"/>
      <c r="BJ360" s="254"/>
      <c r="BK360" s="254"/>
      <c r="BL360" s="254"/>
      <c r="BM360" s="254"/>
      <c r="BN360" s="254"/>
      <c r="BO360" s="254"/>
      <c r="BP360" s="239"/>
    </row>
    <row r="361" spans="1:81" x14ac:dyDescent="0.3">
      <c r="A361" s="388"/>
      <c r="D361" s="359"/>
      <c r="E361" s="391"/>
      <c r="F361" s="242" t="s">
        <v>648</v>
      </c>
      <c r="G361" s="250">
        <f t="shared" ref="G361:R361" si="247">G103*0.45</f>
        <v>1.2827092499999999</v>
      </c>
      <c r="H361" s="250">
        <f t="shared" si="247"/>
        <v>0.94381020000000004</v>
      </c>
      <c r="I361" s="250">
        <f t="shared" si="247"/>
        <v>1.19207295</v>
      </c>
      <c r="J361" s="250">
        <f t="shared" si="247"/>
        <v>1.0425771000000001</v>
      </c>
      <c r="K361" s="250">
        <f t="shared" si="247"/>
        <v>1.5608295000000001</v>
      </c>
      <c r="L361" s="251">
        <f t="shared" si="247"/>
        <v>1.8790465499999998</v>
      </c>
      <c r="M361" s="251">
        <f t="shared" si="247"/>
        <v>1.40583105</v>
      </c>
      <c r="N361" s="251">
        <f t="shared" si="247"/>
        <v>1.47419685</v>
      </c>
      <c r="O361" s="251">
        <f t="shared" si="247"/>
        <v>1.2535902000000001</v>
      </c>
      <c r="P361" s="251">
        <f t="shared" si="247"/>
        <v>1.0241766000000001</v>
      </c>
      <c r="Q361" s="251">
        <f t="shared" si="247"/>
        <v>1.1008404000000001</v>
      </c>
      <c r="R361" s="251">
        <f t="shared" si="247"/>
        <v>1.0884847500000001</v>
      </c>
      <c r="S361" s="238"/>
      <c r="T361" s="238"/>
      <c r="U361" s="238"/>
      <c r="V361" s="238"/>
      <c r="W361" s="238"/>
      <c r="X361" s="238"/>
      <c r="Y361" s="238"/>
      <c r="Z361" s="238"/>
      <c r="AA361" s="238"/>
      <c r="AB361" s="238"/>
      <c r="AC361" s="238"/>
      <c r="AD361" s="238"/>
      <c r="AE361" s="238"/>
      <c r="AF361" s="238"/>
      <c r="AG361" s="238"/>
      <c r="AH361" s="238"/>
      <c r="AI361" s="238"/>
      <c r="AJ361" s="238"/>
      <c r="AK361" s="238"/>
      <c r="AL361" s="238"/>
      <c r="AM361" s="238"/>
      <c r="AN361" s="238"/>
      <c r="AO361" s="238"/>
      <c r="AP361" s="238"/>
      <c r="AQ361" s="238"/>
      <c r="AR361" s="238"/>
      <c r="AS361" s="238"/>
      <c r="AT361" s="238"/>
      <c r="AU361" s="238"/>
      <c r="AV361" s="238"/>
      <c r="AW361" s="238"/>
      <c r="AX361" s="238"/>
      <c r="AY361" s="238"/>
      <c r="AZ361" s="238"/>
      <c r="BA361" s="238"/>
      <c r="BB361" s="238"/>
      <c r="BC361" s="238"/>
      <c r="BD361" s="238"/>
      <c r="BE361" s="238"/>
      <c r="BF361" s="238"/>
      <c r="BG361" s="238"/>
      <c r="BH361" s="238"/>
      <c r="BI361" s="238"/>
      <c r="BJ361" s="238"/>
      <c r="BK361" s="238"/>
      <c r="BL361" s="238"/>
      <c r="BM361" s="238"/>
      <c r="BN361" s="238"/>
      <c r="BO361" s="238"/>
      <c r="BP361" s="239"/>
      <c r="BQ361" s="9"/>
      <c r="BR361" s="9"/>
      <c r="BS361" s="9"/>
      <c r="BT361" s="9"/>
      <c r="BU361" s="9"/>
      <c r="BV361" s="9"/>
      <c r="BW361" s="9"/>
      <c r="BX361" s="9"/>
      <c r="BY361" s="9"/>
      <c r="BZ361" s="9"/>
      <c r="CA361" s="9"/>
      <c r="CB361" s="9"/>
      <c r="CC361" s="9"/>
    </row>
    <row r="362" spans="1:81" x14ac:dyDescent="0.3">
      <c r="A362" s="388"/>
      <c r="D362" s="359"/>
      <c r="E362" s="391"/>
      <c r="F362" s="242" t="s">
        <v>649</v>
      </c>
      <c r="G362" s="247">
        <f t="shared" ref="G362:R362" si="248">G103*0.05</f>
        <v>0.14252324999999999</v>
      </c>
      <c r="H362" s="247">
        <f t="shared" si="248"/>
        <v>0.10486780000000001</v>
      </c>
      <c r="I362" s="247">
        <f t="shared" si="248"/>
        <v>0.13245255</v>
      </c>
      <c r="J362" s="247">
        <f t="shared" si="248"/>
        <v>0.11584190000000001</v>
      </c>
      <c r="K362" s="247">
        <f t="shared" si="248"/>
        <v>0.17342550000000001</v>
      </c>
      <c r="L362" s="248">
        <f t="shared" si="248"/>
        <v>0.20878294999999999</v>
      </c>
      <c r="M362" s="248">
        <f t="shared" si="248"/>
        <v>0.15620345000000002</v>
      </c>
      <c r="N362" s="248">
        <f t="shared" si="248"/>
        <v>0.16379965000000002</v>
      </c>
      <c r="O362" s="248">
        <f t="shared" si="248"/>
        <v>0.13928780000000002</v>
      </c>
      <c r="P362" s="248">
        <f t="shared" si="248"/>
        <v>0.11379740000000001</v>
      </c>
      <c r="Q362" s="248">
        <f t="shared" si="248"/>
        <v>0.1223156</v>
      </c>
      <c r="R362" s="248">
        <f t="shared" si="248"/>
        <v>0.12094275000000002</v>
      </c>
      <c r="S362" s="254"/>
      <c r="T362" s="254"/>
      <c r="U362" s="254"/>
      <c r="V362" s="254"/>
      <c r="W362" s="254"/>
      <c r="X362" s="254"/>
      <c r="Y362" s="254"/>
      <c r="Z362" s="254"/>
      <c r="AA362" s="254"/>
      <c r="AB362" s="254"/>
      <c r="AC362" s="254"/>
      <c r="AD362" s="254"/>
      <c r="AE362" s="254"/>
      <c r="AF362" s="254"/>
      <c r="AG362" s="254"/>
      <c r="AH362" s="254"/>
      <c r="AI362" s="254"/>
      <c r="AJ362" s="254"/>
      <c r="AK362" s="254"/>
      <c r="AL362" s="254"/>
      <c r="AM362" s="254"/>
      <c r="AN362" s="254"/>
      <c r="AO362" s="254"/>
      <c r="AP362" s="254"/>
      <c r="AQ362" s="254"/>
      <c r="AR362" s="254"/>
      <c r="AS362" s="254"/>
      <c r="AT362" s="254"/>
      <c r="AU362" s="254"/>
      <c r="AV362" s="254"/>
      <c r="AW362" s="254"/>
      <c r="AX362" s="254"/>
      <c r="AY362" s="254"/>
      <c r="AZ362" s="254"/>
      <c r="BA362" s="254"/>
      <c r="BB362" s="254"/>
      <c r="BC362" s="254"/>
      <c r="BD362" s="254"/>
      <c r="BE362" s="254"/>
      <c r="BF362" s="254"/>
      <c r="BG362" s="254"/>
      <c r="BH362" s="254"/>
      <c r="BI362" s="254"/>
      <c r="BJ362" s="254"/>
      <c r="BK362" s="254"/>
      <c r="BL362" s="254"/>
      <c r="BM362" s="254"/>
      <c r="BN362" s="254"/>
      <c r="BO362" s="254"/>
      <c r="BP362" s="239"/>
    </row>
    <row r="363" spans="1:81" x14ac:dyDescent="0.3">
      <c r="A363" s="354"/>
      <c r="B363" s="354"/>
      <c r="C363" s="354"/>
      <c r="D363" s="359"/>
      <c r="E363" s="234"/>
      <c r="F363" s="245"/>
      <c r="G363" s="245"/>
      <c r="H363" s="245"/>
      <c r="I363" s="245"/>
      <c r="J363" s="245"/>
      <c r="K363" s="245"/>
      <c r="L363" s="246"/>
      <c r="M363" s="246"/>
      <c r="N363" s="246"/>
      <c r="O363" s="246"/>
      <c r="P363" s="246"/>
      <c r="Q363" s="246"/>
      <c r="R363" s="246"/>
      <c r="S363" s="246"/>
      <c r="T363" s="246"/>
      <c r="U363" s="246"/>
      <c r="V363" s="246"/>
      <c r="W363" s="246"/>
      <c r="X363" s="246"/>
      <c r="Y363" s="246"/>
      <c r="Z363" s="246"/>
      <c r="AA363" s="246"/>
      <c r="AB363" s="246"/>
      <c r="AC363" s="246"/>
      <c r="AD363" s="246"/>
      <c r="AE363" s="246"/>
      <c r="AF363" s="246"/>
      <c r="AG363" s="246"/>
      <c r="AH363" s="246"/>
      <c r="AI363" s="246"/>
      <c r="AJ363" s="246"/>
      <c r="AK363" s="246"/>
      <c r="AL363" s="246"/>
      <c r="AM363" s="246"/>
      <c r="AN363" s="246"/>
      <c r="AO363" s="246"/>
      <c r="AP363" s="246"/>
      <c r="AQ363" s="246"/>
      <c r="AR363" s="246"/>
      <c r="AS363" s="246"/>
      <c r="AT363" s="246"/>
      <c r="AU363" s="246"/>
      <c r="AV363" s="246"/>
      <c r="AW363" s="246"/>
      <c r="AX363" s="246"/>
      <c r="AY363" s="246"/>
      <c r="AZ363" s="246"/>
      <c r="BA363" s="246"/>
      <c r="BB363" s="246"/>
      <c r="BC363" s="246"/>
      <c r="BD363" s="246"/>
      <c r="BE363" s="246"/>
      <c r="BF363" s="246"/>
      <c r="BG363" s="246"/>
      <c r="BH363" s="246"/>
      <c r="BI363" s="246"/>
      <c r="BJ363" s="246"/>
      <c r="BK363" s="246"/>
      <c r="BL363" s="246"/>
      <c r="BM363" s="246"/>
      <c r="BN363" s="246"/>
      <c r="BO363" s="246"/>
      <c r="BP363" s="239"/>
    </row>
    <row r="364" spans="1:81" ht="15.6" x14ac:dyDescent="0.3">
      <c r="A364" s="354"/>
      <c r="B364" s="354"/>
      <c r="C364" s="354"/>
      <c r="D364" s="359"/>
      <c r="E364" s="234"/>
      <c r="F364" s="235" t="s">
        <v>650</v>
      </c>
      <c r="G364" s="236"/>
      <c r="H364" s="236"/>
      <c r="I364" s="236"/>
      <c r="J364" s="236"/>
      <c r="K364" s="236"/>
      <c r="L364" s="237"/>
      <c r="M364" s="238"/>
      <c r="N364" s="238"/>
      <c r="O364" s="238"/>
      <c r="P364" s="238"/>
      <c r="Q364" s="238"/>
      <c r="R364" s="238"/>
      <c r="S364" s="238"/>
      <c r="T364" s="238"/>
      <c r="U364" s="238"/>
      <c r="V364" s="238"/>
      <c r="W364" s="238"/>
      <c r="X364" s="238"/>
      <c r="Y364" s="238"/>
      <c r="Z364" s="238"/>
      <c r="AA364" s="238"/>
      <c r="AB364" s="238"/>
      <c r="AC364" s="238"/>
      <c r="AD364" s="238"/>
      <c r="AE364" s="238"/>
      <c r="AF364" s="238"/>
      <c r="AG364" s="238"/>
      <c r="AH364" s="238"/>
      <c r="AI364" s="238"/>
      <c r="AJ364" s="238"/>
      <c r="AK364" s="238"/>
      <c r="AL364" s="238"/>
      <c r="AM364" s="238"/>
      <c r="AN364" s="238"/>
      <c r="AO364" s="238"/>
      <c r="AP364" s="238"/>
      <c r="AQ364" s="238"/>
      <c r="AR364" s="238"/>
      <c r="AS364" s="238"/>
      <c r="AT364" s="238"/>
      <c r="AU364" s="238"/>
      <c r="AV364" s="238"/>
      <c r="AW364" s="238"/>
      <c r="AX364" s="238"/>
      <c r="AY364" s="238"/>
      <c r="AZ364" s="238"/>
      <c r="BA364" s="238"/>
      <c r="BB364" s="238"/>
      <c r="BC364" s="238"/>
      <c r="BD364" s="238"/>
      <c r="BE364" s="238"/>
      <c r="BF364" s="238"/>
      <c r="BG364" s="238"/>
      <c r="BH364" s="238"/>
      <c r="BI364" s="238"/>
      <c r="BJ364" s="238"/>
      <c r="BK364" s="238"/>
      <c r="BL364" s="238"/>
      <c r="BM364" s="238"/>
      <c r="BN364" s="238"/>
      <c r="BO364" s="238"/>
      <c r="BP364" s="239"/>
    </row>
    <row r="365" spans="1:81" ht="15.6" x14ac:dyDescent="0.3">
      <c r="A365" s="354"/>
      <c r="B365" s="354"/>
      <c r="C365" s="354"/>
      <c r="D365" s="359"/>
      <c r="E365" s="240"/>
      <c r="F365" s="241" t="s">
        <v>651</v>
      </c>
      <c r="G365" s="236"/>
      <c r="H365" s="236"/>
      <c r="I365" s="236"/>
      <c r="J365" s="236"/>
      <c r="K365" s="236"/>
      <c r="L365" s="237"/>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c r="AQ365" s="238"/>
      <c r="AR365" s="238"/>
      <c r="AS365" s="238"/>
      <c r="AT365" s="238"/>
      <c r="AU365" s="238"/>
      <c r="AV365" s="238"/>
      <c r="AW365" s="238"/>
      <c r="AX365" s="238"/>
      <c r="AY365" s="238"/>
      <c r="AZ365" s="238"/>
      <c r="BA365" s="238"/>
      <c r="BB365" s="238"/>
      <c r="BC365" s="238"/>
      <c r="BD365" s="238"/>
      <c r="BE365" s="238"/>
      <c r="BF365" s="238"/>
      <c r="BG365" s="238"/>
      <c r="BH365" s="238"/>
      <c r="BI365" s="238"/>
      <c r="BJ365" s="238"/>
      <c r="BK365" s="238"/>
      <c r="BL365" s="238"/>
      <c r="BM365" s="238"/>
      <c r="BN365" s="238"/>
      <c r="BO365" s="238"/>
      <c r="BP365" s="239"/>
    </row>
    <row r="366" spans="1:81" x14ac:dyDescent="0.3">
      <c r="A366" s="382"/>
      <c r="B366" s="354"/>
      <c r="C366" s="354"/>
      <c r="D366" s="359"/>
      <c r="E366" s="391"/>
      <c r="F366" s="242" t="s">
        <v>652</v>
      </c>
      <c r="G366" s="247">
        <f t="shared" ref="G366:R366" si="249">G101/3</f>
        <v>2.782394</v>
      </c>
      <c r="H366" s="247">
        <f t="shared" si="249"/>
        <v>2.7106063333333332</v>
      </c>
      <c r="I366" s="247">
        <f t="shared" si="249"/>
        <v>2.4596406666666666</v>
      </c>
      <c r="J366" s="247">
        <f t="shared" si="249"/>
        <v>2.3860883333333334</v>
      </c>
      <c r="K366" s="247">
        <f t="shared" si="249"/>
        <v>2.7504353333333333</v>
      </c>
      <c r="L366" s="248">
        <f t="shared" si="249"/>
        <v>3.3687016666666665</v>
      </c>
      <c r="M366" s="248">
        <f t="shared" si="249"/>
        <v>2.887203</v>
      </c>
      <c r="N366" s="248">
        <f t="shared" si="249"/>
        <v>3.1149943333333332</v>
      </c>
      <c r="O366" s="248">
        <f t="shared" si="249"/>
        <v>2.6135449999999998</v>
      </c>
      <c r="P366" s="248">
        <f t="shared" si="249"/>
        <v>3.3629566666666668</v>
      </c>
      <c r="Q366" s="248">
        <f t="shared" si="249"/>
        <v>3.7967483333333334</v>
      </c>
      <c r="R366" s="248">
        <f t="shared" si="249"/>
        <v>3.8905666666666665</v>
      </c>
      <c r="S366" s="249"/>
      <c r="T366" s="249"/>
      <c r="U366" s="249"/>
      <c r="V366" s="249"/>
      <c r="W366" s="249"/>
      <c r="X366" s="249"/>
      <c r="Y366" s="249"/>
      <c r="Z366" s="249"/>
      <c r="AA366" s="249"/>
      <c r="AB366" s="249"/>
      <c r="AC366" s="249"/>
      <c r="AD366" s="249"/>
      <c r="AE366" s="249"/>
      <c r="AF366" s="249"/>
      <c r="AG366" s="249"/>
      <c r="AH366" s="249"/>
      <c r="AI366" s="249"/>
      <c r="AJ366" s="249"/>
      <c r="AK366" s="249"/>
      <c r="AL366" s="249"/>
      <c r="AM366" s="249"/>
      <c r="AN366" s="249"/>
      <c r="AO366" s="249"/>
      <c r="AP366" s="249"/>
      <c r="AQ366" s="249"/>
      <c r="AR366" s="249"/>
      <c r="AS366" s="249"/>
      <c r="AT366" s="249"/>
      <c r="AU366" s="249"/>
      <c r="AV366" s="249"/>
      <c r="AW366" s="249"/>
      <c r="AX366" s="249"/>
      <c r="AY366" s="249"/>
      <c r="AZ366" s="249"/>
      <c r="BA366" s="249"/>
      <c r="BB366" s="249"/>
      <c r="BC366" s="249"/>
      <c r="BD366" s="249"/>
      <c r="BE366" s="249"/>
      <c r="BF366" s="249"/>
      <c r="BG366" s="249"/>
      <c r="BH366" s="249"/>
      <c r="BI366" s="249"/>
      <c r="BJ366" s="249"/>
      <c r="BK366" s="249"/>
      <c r="BL366" s="249"/>
      <c r="BM366" s="249"/>
      <c r="BN366" s="249"/>
      <c r="BO366" s="249"/>
      <c r="BP366" s="239"/>
    </row>
    <row r="367" spans="1:81" x14ac:dyDescent="0.3">
      <c r="A367" s="388"/>
      <c r="D367" s="359"/>
      <c r="E367" s="391"/>
      <c r="F367" s="242" t="s">
        <v>653</v>
      </c>
      <c r="G367" s="250">
        <f t="shared" ref="G367:R367" si="250">G101/3</f>
        <v>2.782394</v>
      </c>
      <c r="H367" s="250">
        <f t="shared" si="250"/>
        <v>2.7106063333333332</v>
      </c>
      <c r="I367" s="250">
        <f t="shared" si="250"/>
        <v>2.4596406666666666</v>
      </c>
      <c r="J367" s="250">
        <f t="shared" si="250"/>
        <v>2.3860883333333334</v>
      </c>
      <c r="K367" s="250">
        <f t="shared" si="250"/>
        <v>2.7504353333333333</v>
      </c>
      <c r="L367" s="251">
        <f t="shared" si="250"/>
        <v>3.3687016666666665</v>
      </c>
      <c r="M367" s="251">
        <f t="shared" si="250"/>
        <v>2.887203</v>
      </c>
      <c r="N367" s="251">
        <f t="shared" si="250"/>
        <v>3.1149943333333332</v>
      </c>
      <c r="O367" s="251">
        <f t="shared" si="250"/>
        <v>2.6135449999999998</v>
      </c>
      <c r="P367" s="251">
        <f t="shared" si="250"/>
        <v>3.3629566666666668</v>
      </c>
      <c r="Q367" s="251">
        <f t="shared" si="250"/>
        <v>3.7967483333333334</v>
      </c>
      <c r="R367" s="251">
        <f t="shared" si="250"/>
        <v>3.8905666666666665</v>
      </c>
      <c r="S367" s="238"/>
      <c r="T367" s="238"/>
      <c r="U367" s="238"/>
      <c r="V367" s="238"/>
      <c r="W367" s="238"/>
      <c r="X367" s="238"/>
      <c r="Y367" s="238"/>
      <c r="Z367" s="238"/>
      <c r="AA367" s="238"/>
      <c r="AB367" s="238"/>
      <c r="AC367" s="238"/>
      <c r="AD367" s="238"/>
      <c r="AE367" s="238"/>
      <c r="AF367" s="238"/>
      <c r="AG367" s="238"/>
      <c r="AH367" s="238"/>
      <c r="AI367" s="238"/>
      <c r="AJ367" s="238"/>
      <c r="AK367" s="238"/>
      <c r="AL367" s="238"/>
      <c r="AM367" s="238"/>
      <c r="AN367" s="238"/>
      <c r="AO367" s="238"/>
      <c r="AP367" s="238"/>
      <c r="AQ367" s="238"/>
      <c r="AR367" s="238"/>
      <c r="AS367" s="238"/>
      <c r="AT367" s="238"/>
      <c r="AU367" s="238"/>
      <c r="AV367" s="238"/>
      <c r="AW367" s="238"/>
      <c r="AX367" s="238"/>
      <c r="AY367" s="238"/>
      <c r="AZ367" s="238"/>
      <c r="BA367" s="238"/>
      <c r="BB367" s="238"/>
      <c r="BC367" s="238"/>
      <c r="BD367" s="238"/>
      <c r="BE367" s="238"/>
      <c r="BF367" s="238"/>
      <c r="BG367" s="238"/>
      <c r="BH367" s="238"/>
      <c r="BI367" s="238"/>
      <c r="BJ367" s="238"/>
      <c r="BK367" s="238"/>
      <c r="BL367" s="238"/>
      <c r="BM367" s="238"/>
      <c r="BN367" s="238"/>
      <c r="BO367" s="238"/>
      <c r="BP367" s="239"/>
    </row>
    <row r="368" spans="1:81" x14ac:dyDescent="0.3">
      <c r="A368" s="388"/>
      <c r="D368" s="359"/>
      <c r="E368" s="391"/>
      <c r="F368" s="242" t="s">
        <v>654</v>
      </c>
      <c r="G368" s="250">
        <f t="shared" ref="G368:R368" si="251">G101/3</f>
        <v>2.782394</v>
      </c>
      <c r="H368" s="250">
        <f t="shared" si="251"/>
        <v>2.7106063333333332</v>
      </c>
      <c r="I368" s="250">
        <f t="shared" si="251"/>
        <v>2.4596406666666666</v>
      </c>
      <c r="J368" s="250">
        <f t="shared" si="251"/>
        <v>2.3860883333333334</v>
      </c>
      <c r="K368" s="250">
        <f t="shared" si="251"/>
        <v>2.7504353333333333</v>
      </c>
      <c r="L368" s="251">
        <f t="shared" si="251"/>
        <v>3.3687016666666665</v>
      </c>
      <c r="M368" s="251">
        <f t="shared" si="251"/>
        <v>2.887203</v>
      </c>
      <c r="N368" s="251">
        <f t="shared" si="251"/>
        <v>3.1149943333333332</v>
      </c>
      <c r="O368" s="251">
        <f t="shared" si="251"/>
        <v>2.6135449999999998</v>
      </c>
      <c r="P368" s="251">
        <f t="shared" si="251"/>
        <v>3.3629566666666668</v>
      </c>
      <c r="Q368" s="251">
        <f t="shared" si="251"/>
        <v>3.7967483333333334</v>
      </c>
      <c r="R368" s="251">
        <f t="shared" si="251"/>
        <v>3.8905666666666665</v>
      </c>
      <c r="S368" s="238"/>
      <c r="T368" s="238"/>
      <c r="U368" s="238"/>
      <c r="V368" s="238"/>
      <c r="W368" s="238"/>
      <c r="X368" s="238"/>
      <c r="Y368" s="238"/>
      <c r="Z368" s="238"/>
      <c r="AA368" s="238"/>
      <c r="AB368" s="238"/>
      <c r="AC368" s="238"/>
      <c r="AD368" s="238"/>
      <c r="AE368" s="238"/>
      <c r="AF368" s="238"/>
      <c r="AG368" s="238"/>
      <c r="AH368" s="238"/>
      <c r="AI368" s="238"/>
      <c r="AJ368" s="238"/>
      <c r="AK368" s="238"/>
      <c r="AL368" s="238"/>
      <c r="AM368" s="238"/>
      <c r="AN368" s="238"/>
      <c r="AO368" s="238"/>
      <c r="AP368" s="238"/>
      <c r="AQ368" s="238"/>
      <c r="AR368" s="238"/>
      <c r="AS368" s="238"/>
      <c r="AT368" s="238"/>
      <c r="AU368" s="238"/>
      <c r="AV368" s="238"/>
      <c r="AW368" s="238"/>
      <c r="AX368" s="238"/>
      <c r="AY368" s="238"/>
      <c r="AZ368" s="238"/>
      <c r="BA368" s="238"/>
      <c r="BB368" s="238"/>
      <c r="BC368" s="238"/>
      <c r="BD368" s="238"/>
      <c r="BE368" s="238"/>
      <c r="BF368" s="238"/>
      <c r="BG368" s="238"/>
      <c r="BH368" s="238"/>
      <c r="BI368" s="238"/>
      <c r="BJ368" s="238"/>
      <c r="BK368" s="238"/>
      <c r="BL368" s="238"/>
      <c r="BM368" s="238"/>
      <c r="BN368" s="238"/>
      <c r="BO368" s="238"/>
      <c r="BP368" s="239"/>
      <c r="BQ368" s="9"/>
      <c r="BR368" s="9"/>
      <c r="BS368" s="9"/>
      <c r="BT368" s="9"/>
      <c r="BU368" s="9"/>
      <c r="BV368" s="9"/>
      <c r="BW368" s="9"/>
      <c r="BX368" s="9"/>
      <c r="BY368" s="9"/>
      <c r="BZ368" s="9"/>
      <c r="CA368" s="9"/>
      <c r="CB368" s="9"/>
      <c r="CC368" s="9"/>
    </row>
    <row r="369" spans="1:68" ht="15" thickBot="1" x14ac:dyDescent="0.35">
      <c r="A369" s="354"/>
      <c r="B369" s="354"/>
      <c r="C369" s="354"/>
      <c r="D369" s="359"/>
      <c r="E369" s="255"/>
      <c r="F369" s="256"/>
      <c r="G369" s="256"/>
      <c r="H369" s="256"/>
      <c r="I369" s="256"/>
      <c r="J369" s="256"/>
      <c r="K369" s="256"/>
      <c r="L369" s="257"/>
      <c r="M369" s="257"/>
      <c r="N369" s="257"/>
      <c r="O369" s="257"/>
      <c r="P369" s="257"/>
      <c r="Q369" s="257"/>
      <c r="R369" s="257"/>
      <c r="S369" s="257"/>
      <c r="T369" s="257"/>
      <c r="U369" s="257"/>
      <c r="V369" s="257"/>
      <c r="W369" s="257"/>
      <c r="X369" s="257"/>
      <c r="Y369" s="257"/>
      <c r="Z369" s="257"/>
      <c r="AA369" s="257"/>
      <c r="AB369" s="257"/>
      <c r="AC369" s="257"/>
      <c r="AD369" s="257"/>
      <c r="AE369" s="257"/>
      <c r="AF369" s="257"/>
      <c r="AG369" s="257"/>
      <c r="AH369" s="257"/>
      <c r="AI369" s="257"/>
      <c r="AJ369" s="257"/>
      <c r="AK369" s="257"/>
      <c r="AL369" s="257"/>
      <c r="AM369" s="257"/>
      <c r="AN369" s="257"/>
      <c r="AO369" s="257"/>
      <c r="AP369" s="257"/>
      <c r="AQ369" s="257"/>
      <c r="AR369" s="257"/>
      <c r="AS369" s="257"/>
      <c r="AT369" s="257"/>
      <c r="AU369" s="257"/>
      <c r="AV369" s="257"/>
      <c r="AW369" s="257"/>
      <c r="AX369" s="257"/>
      <c r="AY369" s="257"/>
      <c r="AZ369" s="257"/>
      <c r="BA369" s="257"/>
      <c r="BB369" s="257"/>
      <c r="BC369" s="257"/>
      <c r="BD369" s="257"/>
      <c r="BE369" s="257"/>
      <c r="BF369" s="257"/>
      <c r="BG369" s="257"/>
      <c r="BH369" s="257"/>
      <c r="BI369" s="257"/>
      <c r="BJ369" s="257"/>
      <c r="BK369" s="257"/>
      <c r="BL369" s="257"/>
      <c r="BM369" s="257"/>
      <c r="BN369" s="257"/>
      <c r="BO369" s="257"/>
      <c r="BP369" s="258"/>
    </row>
    <row r="370" spans="1:68" x14ac:dyDescent="0.3">
      <c r="A370" s="354"/>
      <c r="B370" s="354"/>
      <c r="C370" s="354"/>
      <c r="D370" s="359"/>
      <c r="E370" s="259"/>
      <c r="F370" s="103"/>
      <c r="G370" s="103"/>
      <c r="H370" s="103"/>
      <c r="I370" s="103"/>
      <c r="J370" s="103"/>
      <c r="K370" s="103"/>
      <c r="L370" s="359"/>
      <c r="M370" s="359"/>
      <c r="N370" s="359"/>
      <c r="O370" s="359"/>
      <c r="P370" s="359"/>
      <c r="Q370" s="359"/>
      <c r="R370" s="359"/>
      <c r="S370" s="359"/>
      <c r="T370" s="359"/>
      <c r="U370" s="359"/>
      <c r="V370" s="359"/>
      <c r="W370" s="359"/>
      <c r="X370" s="359"/>
      <c r="Y370" s="359"/>
      <c r="Z370" s="359"/>
      <c r="AA370" s="359"/>
      <c r="AB370" s="359"/>
      <c r="AC370" s="359"/>
      <c r="AD370" s="359"/>
      <c r="AE370" s="359"/>
      <c r="AF370" s="359"/>
      <c r="AG370" s="359"/>
      <c r="AH370" s="359"/>
      <c r="AI370" s="359"/>
      <c r="AJ370" s="359"/>
      <c r="AK370" s="359"/>
      <c r="AL370" s="359"/>
      <c r="AM370" s="359"/>
      <c r="AN370" s="359"/>
      <c r="AO370" s="359"/>
      <c r="AP370" s="359"/>
      <c r="AQ370" s="359"/>
      <c r="AR370" s="359"/>
      <c r="AS370" s="359"/>
      <c r="AT370" s="359"/>
      <c r="AU370" s="359"/>
      <c r="AV370" s="359"/>
      <c r="AW370" s="359"/>
      <c r="AX370" s="359"/>
      <c r="AY370" s="359"/>
      <c r="AZ370" s="359"/>
      <c r="BA370" s="359"/>
      <c r="BB370" s="359"/>
      <c r="BC370" s="359"/>
      <c r="BD370" s="359"/>
      <c r="BE370" s="359"/>
      <c r="BF370" s="359"/>
      <c r="BG370" s="359"/>
      <c r="BH370" s="359"/>
      <c r="BI370" s="359"/>
      <c r="BJ370" s="359"/>
      <c r="BK370" s="359"/>
      <c r="BL370" s="359"/>
      <c r="BM370" s="359"/>
      <c r="BN370" s="359"/>
      <c r="BO370" s="359"/>
      <c r="BP370" s="103"/>
    </row>
    <row r="371" spans="1:68" ht="25.8" x14ac:dyDescent="0.3">
      <c r="A371" s="354"/>
      <c r="B371" s="354"/>
      <c r="C371" s="354"/>
      <c r="D371" s="359"/>
      <c r="E371" s="104"/>
      <c r="F371" s="104" t="s">
        <v>655</v>
      </c>
      <c r="G371" s="104"/>
      <c r="H371" s="103"/>
      <c r="I371" s="103"/>
      <c r="J371" s="103"/>
      <c r="K371" s="103"/>
      <c r="L371" s="359"/>
      <c r="M371" s="359"/>
      <c r="N371" s="359"/>
      <c r="O371" s="359"/>
      <c r="P371" s="359"/>
      <c r="Q371" s="359"/>
      <c r="R371" s="359"/>
      <c r="S371" s="359"/>
      <c r="T371" s="359"/>
      <c r="U371" s="359"/>
      <c r="V371" s="359"/>
      <c r="W371" s="359"/>
      <c r="X371" s="359"/>
      <c r="Y371" s="359"/>
      <c r="Z371" s="359"/>
      <c r="AA371" s="359"/>
      <c r="AB371" s="359"/>
      <c r="AC371" s="359"/>
      <c r="AD371" s="359"/>
      <c r="AE371" s="359"/>
      <c r="AF371" s="359"/>
      <c r="AG371" s="359"/>
      <c r="AH371" s="359"/>
      <c r="AI371" s="359"/>
      <c r="AJ371" s="359"/>
      <c r="AK371" s="359"/>
      <c r="AL371" s="359"/>
      <c r="AM371" s="359"/>
      <c r="AN371" s="359"/>
      <c r="AO371" s="359"/>
      <c r="AP371" s="359"/>
      <c r="AQ371" s="359"/>
      <c r="AR371" s="359"/>
      <c r="AS371" s="359"/>
      <c r="AT371" s="359"/>
      <c r="AU371" s="359"/>
      <c r="AV371" s="359"/>
      <c r="AW371" s="359"/>
      <c r="AX371" s="359"/>
      <c r="AY371" s="359"/>
      <c r="AZ371" s="359"/>
      <c r="BA371" s="359"/>
      <c r="BB371" s="359"/>
      <c r="BC371" s="359"/>
      <c r="BD371" s="359"/>
      <c r="BE371" s="359"/>
      <c r="BF371" s="359"/>
      <c r="BG371" s="359"/>
      <c r="BH371" s="359"/>
      <c r="BI371" s="359"/>
      <c r="BJ371" s="359"/>
      <c r="BK371" s="359"/>
      <c r="BL371" s="359"/>
      <c r="BM371" s="359"/>
      <c r="BN371" s="359"/>
      <c r="BO371" s="359"/>
      <c r="BP371" s="103"/>
    </row>
    <row r="372" spans="1:68" x14ac:dyDescent="0.3">
      <c r="A372" s="354"/>
      <c r="B372" s="354"/>
      <c r="C372" s="354"/>
      <c r="D372" s="359"/>
      <c r="E372" s="359"/>
      <c r="F372" s="103"/>
      <c r="G372" s="103"/>
      <c r="H372" s="103"/>
      <c r="I372" s="103"/>
      <c r="J372" s="103"/>
      <c r="K372" s="103"/>
      <c r="L372" s="359"/>
      <c r="M372" s="359"/>
      <c r="N372" s="359"/>
      <c r="O372" s="359"/>
      <c r="P372" s="359"/>
      <c r="Q372" s="359"/>
      <c r="R372" s="359"/>
      <c r="S372" s="359"/>
      <c r="T372" s="359"/>
      <c r="U372" s="359"/>
      <c r="V372" s="359"/>
      <c r="W372" s="359"/>
      <c r="X372" s="359"/>
      <c r="Y372" s="359"/>
      <c r="Z372" s="359"/>
      <c r="AA372" s="359"/>
      <c r="AB372" s="359"/>
      <c r="AC372" s="359"/>
      <c r="AD372" s="359"/>
      <c r="AE372" s="359"/>
      <c r="AF372" s="359"/>
      <c r="AG372" s="359"/>
      <c r="AH372" s="359"/>
      <c r="AI372" s="359"/>
      <c r="AJ372" s="359"/>
      <c r="AK372" s="359"/>
      <c r="AL372" s="359"/>
      <c r="AM372" s="359"/>
      <c r="AN372" s="359"/>
      <c r="AO372" s="359"/>
      <c r="AP372" s="359"/>
      <c r="AQ372" s="359"/>
      <c r="AR372" s="359"/>
      <c r="AS372" s="359"/>
      <c r="AT372" s="359"/>
      <c r="AU372" s="359"/>
      <c r="AV372" s="359"/>
      <c r="AW372" s="359"/>
      <c r="AX372" s="359"/>
      <c r="AY372" s="359"/>
      <c r="AZ372" s="359"/>
      <c r="BA372" s="359"/>
      <c r="BB372" s="359"/>
      <c r="BC372" s="359"/>
      <c r="BD372" s="359"/>
      <c r="BE372" s="359"/>
      <c r="BF372" s="359"/>
      <c r="BG372" s="359"/>
      <c r="BH372" s="359"/>
      <c r="BI372" s="359"/>
      <c r="BJ372" s="359"/>
      <c r="BK372" s="359"/>
      <c r="BL372" s="359"/>
      <c r="BM372" s="359"/>
      <c r="BN372" s="359"/>
      <c r="BO372" s="359"/>
      <c r="BP372" s="103"/>
    </row>
    <row r="373" spans="1:68" ht="28.8" x14ac:dyDescent="0.3">
      <c r="A373" s="354"/>
      <c r="B373" s="354"/>
      <c r="C373" s="354"/>
      <c r="D373" s="359"/>
      <c r="E373" s="359"/>
      <c r="F373" s="260" t="s">
        <v>656</v>
      </c>
      <c r="G373" s="103"/>
      <c r="H373" s="103"/>
      <c r="I373" s="103"/>
      <c r="J373" s="103"/>
      <c r="K373" s="103"/>
      <c r="L373" s="359"/>
      <c r="M373" s="359"/>
      <c r="N373" s="359"/>
      <c r="O373" s="359"/>
      <c r="P373" s="359"/>
      <c r="Q373" s="359"/>
      <c r="R373" s="359"/>
      <c r="S373" s="359"/>
      <c r="T373" s="359"/>
      <c r="U373" s="359"/>
      <c r="V373" s="359"/>
      <c r="W373" s="359"/>
      <c r="X373" s="359"/>
      <c r="Y373" s="359"/>
      <c r="Z373" s="359"/>
      <c r="AA373" s="359"/>
      <c r="AB373" s="359"/>
      <c r="AC373" s="359"/>
      <c r="AD373" s="359"/>
      <c r="AE373" s="359"/>
      <c r="AF373" s="359"/>
      <c r="AG373" s="359"/>
      <c r="AH373" s="359"/>
      <c r="AI373" s="359"/>
      <c r="AJ373" s="359"/>
      <c r="AK373" s="359"/>
      <c r="AL373" s="359"/>
      <c r="AM373" s="359"/>
      <c r="AN373" s="359"/>
      <c r="AO373" s="359"/>
      <c r="AP373" s="359"/>
      <c r="AQ373" s="359"/>
      <c r="AR373" s="359"/>
      <c r="AS373" s="359"/>
      <c r="AT373" s="359"/>
      <c r="AU373" s="359"/>
      <c r="AV373" s="359"/>
      <c r="AW373" s="359"/>
      <c r="AX373" s="359"/>
      <c r="AY373" s="359"/>
      <c r="AZ373" s="359"/>
      <c r="BA373" s="359"/>
      <c r="BB373" s="359"/>
      <c r="BC373" s="359"/>
      <c r="BD373" s="359"/>
      <c r="BE373" s="359"/>
      <c r="BF373" s="359"/>
      <c r="BG373" s="359"/>
      <c r="BH373" s="359"/>
      <c r="BI373" s="359"/>
      <c r="BJ373" s="359"/>
      <c r="BK373" s="359"/>
      <c r="BL373" s="359"/>
      <c r="BM373" s="359"/>
      <c r="BN373" s="359"/>
      <c r="BO373" s="359"/>
      <c r="BP373" s="103"/>
    </row>
    <row r="374" spans="1:68" x14ac:dyDescent="0.3">
      <c r="A374" s="354"/>
      <c r="B374" s="354"/>
      <c r="C374" s="354"/>
      <c r="D374" s="359"/>
      <c r="E374" s="359"/>
      <c r="F374" s="260" t="s">
        <v>657</v>
      </c>
      <c r="G374" s="103"/>
      <c r="H374" s="103"/>
      <c r="I374" s="103"/>
      <c r="J374" s="103"/>
      <c r="K374" s="103"/>
      <c r="L374" s="359"/>
      <c r="M374" s="359"/>
      <c r="N374" s="359"/>
      <c r="O374" s="359"/>
      <c r="P374" s="359"/>
      <c r="Q374" s="359"/>
      <c r="R374" s="359"/>
      <c r="S374" s="359"/>
      <c r="T374" s="359"/>
      <c r="U374" s="359"/>
      <c r="V374" s="359"/>
      <c r="W374" s="359"/>
      <c r="X374" s="359"/>
      <c r="Y374" s="359"/>
      <c r="Z374" s="359"/>
      <c r="AA374" s="359"/>
      <c r="AB374" s="359"/>
      <c r="AC374" s="359"/>
      <c r="AD374" s="359"/>
      <c r="AE374" s="359"/>
      <c r="AF374" s="359"/>
      <c r="AG374" s="359"/>
      <c r="AH374" s="359"/>
      <c r="AI374" s="359"/>
      <c r="AJ374" s="359"/>
      <c r="AK374" s="359"/>
      <c r="AL374" s="359"/>
      <c r="AM374" s="359"/>
      <c r="AN374" s="359"/>
      <c r="AO374" s="359"/>
      <c r="AP374" s="359"/>
      <c r="AQ374" s="359"/>
      <c r="AR374" s="359"/>
      <c r="AS374" s="359"/>
      <c r="AT374" s="359"/>
      <c r="AU374" s="359"/>
      <c r="AV374" s="359"/>
      <c r="AW374" s="359"/>
      <c r="AX374" s="359"/>
      <c r="AY374" s="359"/>
      <c r="AZ374" s="359"/>
      <c r="BA374" s="359"/>
      <c r="BB374" s="359"/>
      <c r="BC374" s="359"/>
      <c r="BD374" s="359"/>
      <c r="BE374" s="359"/>
      <c r="BF374" s="359"/>
      <c r="BG374" s="359"/>
      <c r="BH374" s="359"/>
      <c r="BI374" s="359"/>
      <c r="BJ374" s="359"/>
      <c r="BK374" s="359"/>
      <c r="BL374" s="359"/>
      <c r="BM374" s="359"/>
      <c r="BN374" s="359"/>
      <c r="BO374" s="359"/>
      <c r="BP374" s="103"/>
    </row>
    <row r="375" spans="1:68" x14ac:dyDescent="0.3">
      <c r="A375" s="354"/>
      <c r="B375" s="354"/>
      <c r="C375" s="354"/>
      <c r="D375" s="359"/>
      <c r="E375" s="359"/>
      <c r="F375" s="103" t="s">
        <v>658</v>
      </c>
      <c r="G375" s="103"/>
      <c r="H375" s="103"/>
      <c r="I375" s="103"/>
      <c r="J375" s="103"/>
      <c r="K375" s="103"/>
      <c r="L375" s="359"/>
      <c r="M375" s="359"/>
      <c r="N375" s="359"/>
      <c r="O375" s="359"/>
      <c r="P375" s="359"/>
      <c r="Q375" s="359"/>
      <c r="R375" s="359"/>
      <c r="S375" s="359"/>
      <c r="T375" s="359"/>
      <c r="U375" s="359"/>
      <c r="V375" s="359"/>
      <c r="W375" s="359"/>
      <c r="X375" s="359"/>
      <c r="Y375" s="359"/>
      <c r="Z375" s="359"/>
      <c r="AA375" s="359"/>
      <c r="AB375" s="359"/>
      <c r="AC375" s="359"/>
      <c r="AD375" s="359"/>
      <c r="AE375" s="359"/>
      <c r="AF375" s="359"/>
      <c r="AG375" s="359"/>
      <c r="AH375" s="359"/>
      <c r="AI375" s="359"/>
      <c r="AJ375" s="359"/>
      <c r="AK375" s="359"/>
      <c r="AL375" s="359"/>
      <c r="AM375" s="359"/>
      <c r="AN375" s="359"/>
      <c r="AO375" s="359"/>
      <c r="AP375" s="359"/>
      <c r="AQ375" s="359"/>
      <c r="AR375" s="359"/>
      <c r="AS375" s="359"/>
      <c r="AT375" s="359"/>
      <c r="AU375" s="359"/>
      <c r="AV375" s="359"/>
      <c r="AW375" s="359"/>
      <c r="AX375" s="359"/>
      <c r="AY375" s="359"/>
      <c r="AZ375" s="359"/>
      <c r="BA375" s="359"/>
      <c r="BB375" s="359"/>
      <c r="BC375" s="359"/>
      <c r="BD375" s="359"/>
      <c r="BE375" s="359"/>
      <c r="BF375" s="359"/>
      <c r="BG375" s="359"/>
      <c r="BH375" s="359"/>
      <c r="BI375" s="359"/>
      <c r="BJ375" s="359"/>
      <c r="BK375" s="359"/>
      <c r="BL375" s="359"/>
      <c r="BM375" s="359"/>
      <c r="BN375" s="359"/>
      <c r="BO375" s="359"/>
      <c r="BP375" s="103"/>
    </row>
    <row r="376" spans="1:68" x14ac:dyDescent="0.3">
      <c r="A376" s="354"/>
      <c r="B376" s="354"/>
      <c r="C376" s="354"/>
      <c r="D376" s="359"/>
      <c r="E376" s="359"/>
      <c r="F376" s="103" t="s">
        <v>659</v>
      </c>
      <c r="G376" s="103"/>
      <c r="H376" s="103"/>
      <c r="I376" s="103"/>
      <c r="J376" s="103"/>
      <c r="K376" s="103"/>
      <c r="L376" s="359"/>
      <c r="M376" s="359"/>
      <c r="N376" s="359"/>
      <c r="O376" s="359"/>
      <c r="P376" s="359"/>
      <c r="Q376" s="359"/>
      <c r="R376" s="359"/>
      <c r="S376" s="359"/>
      <c r="T376" s="359"/>
      <c r="U376" s="359"/>
      <c r="V376" s="359"/>
      <c r="W376" s="359"/>
      <c r="X376" s="359"/>
      <c r="Y376" s="359"/>
      <c r="Z376" s="359"/>
      <c r="AA376" s="359"/>
      <c r="AB376" s="359"/>
      <c r="AC376" s="359"/>
      <c r="AD376" s="359"/>
      <c r="AE376" s="359"/>
      <c r="AF376" s="359"/>
      <c r="AG376" s="359"/>
      <c r="AH376" s="359"/>
      <c r="AI376" s="359"/>
      <c r="AJ376" s="359"/>
      <c r="AK376" s="359"/>
      <c r="AL376" s="359"/>
      <c r="AM376" s="359"/>
      <c r="AN376" s="359"/>
      <c r="AO376" s="359"/>
      <c r="AP376" s="359"/>
      <c r="AQ376" s="359"/>
      <c r="AR376" s="359"/>
      <c r="AS376" s="359"/>
      <c r="AT376" s="359"/>
      <c r="AU376" s="359"/>
      <c r="AV376" s="359"/>
      <c r="AW376" s="359"/>
      <c r="AX376" s="359"/>
      <c r="AY376" s="359"/>
      <c r="AZ376" s="359"/>
      <c r="BA376" s="359"/>
      <c r="BB376" s="359"/>
      <c r="BC376" s="359"/>
      <c r="BD376" s="359"/>
      <c r="BE376" s="359"/>
      <c r="BF376" s="359"/>
      <c r="BG376" s="359"/>
      <c r="BH376" s="359"/>
      <c r="BI376" s="359"/>
      <c r="BJ376" s="359"/>
      <c r="BK376" s="359"/>
      <c r="BL376" s="359"/>
      <c r="BM376" s="359"/>
      <c r="BN376" s="359"/>
      <c r="BO376" s="359"/>
      <c r="BP376" s="103"/>
    </row>
    <row r="377" spans="1:68" x14ac:dyDescent="0.3">
      <c r="A377" s="354"/>
      <c r="B377" s="354"/>
      <c r="C377" s="354"/>
      <c r="D377" s="359"/>
      <c r="E377" s="359"/>
      <c r="F377" s="103" t="s">
        <v>660</v>
      </c>
      <c r="G377" s="103"/>
      <c r="H377" s="103"/>
      <c r="I377" s="103"/>
      <c r="J377" s="103"/>
      <c r="K377" s="103"/>
      <c r="L377" s="359"/>
      <c r="M377" s="359"/>
      <c r="N377" s="359"/>
      <c r="O377" s="359"/>
      <c r="P377" s="359"/>
      <c r="Q377" s="359"/>
      <c r="R377" s="359"/>
      <c r="S377" s="359"/>
      <c r="T377" s="359"/>
      <c r="U377" s="359"/>
      <c r="V377" s="359"/>
      <c r="W377" s="359"/>
      <c r="X377" s="359"/>
      <c r="Y377" s="359"/>
      <c r="Z377" s="359"/>
      <c r="AA377" s="359"/>
      <c r="AB377" s="359"/>
      <c r="AC377" s="359"/>
      <c r="AD377" s="359"/>
      <c r="AE377" s="359"/>
      <c r="AF377" s="359"/>
      <c r="AG377" s="359"/>
      <c r="AH377" s="359"/>
      <c r="AI377" s="359"/>
      <c r="AJ377" s="359"/>
      <c r="AK377" s="359"/>
      <c r="AL377" s="359"/>
      <c r="AM377" s="359"/>
      <c r="AN377" s="359"/>
      <c r="AO377" s="359"/>
      <c r="AP377" s="359"/>
      <c r="AQ377" s="359"/>
      <c r="AR377" s="359"/>
      <c r="AS377" s="359"/>
      <c r="AT377" s="359"/>
      <c r="AU377" s="359"/>
      <c r="AV377" s="359"/>
      <c r="AW377" s="359"/>
      <c r="AX377" s="359"/>
      <c r="AY377" s="359"/>
      <c r="AZ377" s="359"/>
      <c r="BA377" s="359"/>
      <c r="BB377" s="359"/>
      <c r="BC377" s="359"/>
      <c r="BD377" s="359"/>
      <c r="BE377" s="359"/>
      <c r="BF377" s="359"/>
      <c r="BG377" s="359"/>
      <c r="BH377" s="359"/>
      <c r="BI377" s="359"/>
      <c r="BJ377" s="359"/>
      <c r="BK377" s="359"/>
      <c r="BL377" s="359"/>
      <c r="BM377" s="359"/>
      <c r="BN377" s="359"/>
      <c r="BO377" s="359"/>
      <c r="BP377" s="103"/>
    </row>
    <row r="378" spans="1:68" x14ac:dyDescent="0.3">
      <c r="A378" s="354"/>
      <c r="B378" s="354"/>
      <c r="C378" s="354"/>
      <c r="D378" s="359"/>
      <c r="E378" s="38"/>
      <c r="F378" s="103" t="s">
        <v>661</v>
      </c>
      <c r="G378" s="103"/>
      <c r="H378" s="103"/>
      <c r="I378" s="103"/>
      <c r="J378" s="103"/>
      <c r="K378" s="103"/>
      <c r="L378" s="359"/>
      <c r="M378" s="359"/>
      <c r="N378" s="359"/>
      <c r="O378" s="359"/>
      <c r="P378" s="359"/>
      <c r="Q378" s="359"/>
      <c r="R378" s="359"/>
      <c r="S378" s="359"/>
      <c r="T378" s="359"/>
      <c r="U378" s="359"/>
      <c r="V378" s="359"/>
      <c r="W378" s="359"/>
      <c r="X378" s="359"/>
      <c r="Y378" s="359"/>
      <c r="Z378" s="359"/>
      <c r="AA378" s="359"/>
      <c r="AB378" s="359"/>
      <c r="AC378" s="359"/>
      <c r="AD378" s="359"/>
      <c r="AE378" s="359"/>
      <c r="AF378" s="359"/>
      <c r="AG378" s="359"/>
      <c r="AH378" s="359"/>
      <c r="AI378" s="359"/>
      <c r="AJ378" s="359"/>
      <c r="AK378" s="359"/>
      <c r="AL378" s="359"/>
      <c r="AM378" s="359"/>
      <c r="AN378" s="359"/>
      <c r="AO378" s="359"/>
      <c r="AP378" s="359"/>
      <c r="AQ378" s="359"/>
      <c r="AR378" s="359"/>
      <c r="AS378" s="359"/>
      <c r="AT378" s="359"/>
      <c r="AU378" s="359"/>
      <c r="AV378" s="359"/>
      <c r="AW378" s="359"/>
      <c r="AX378" s="359"/>
      <c r="AY378" s="359"/>
      <c r="AZ378" s="359"/>
      <c r="BA378" s="359"/>
      <c r="BB378" s="359"/>
      <c r="BC378" s="359"/>
      <c r="BD378" s="359"/>
      <c r="BE378" s="359"/>
      <c r="BF378" s="359"/>
      <c r="BG378" s="359"/>
      <c r="BH378" s="359"/>
      <c r="BI378" s="359"/>
      <c r="BJ378" s="359"/>
      <c r="BK378" s="359"/>
      <c r="BL378" s="359"/>
      <c r="BM378" s="359"/>
      <c r="BN378" s="359"/>
      <c r="BO378" s="359"/>
      <c r="BP378" s="103"/>
    </row>
    <row r="379" spans="1:68" x14ac:dyDescent="0.3">
      <c r="A379" s="354"/>
      <c r="B379" s="354"/>
      <c r="C379" s="354"/>
      <c r="D379" s="359"/>
      <c r="E379" s="359"/>
      <c r="F379" s="103"/>
      <c r="G379" s="103"/>
      <c r="H379" s="103"/>
      <c r="I379" s="103"/>
      <c r="J379" s="103"/>
      <c r="K379" s="103"/>
      <c r="L379" s="359"/>
      <c r="M379" s="359"/>
      <c r="N379" s="359"/>
      <c r="O379" s="359"/>
      <c r="P379" s="359"/>
      <c r="Q379" s="359"/>
      <c r="R379" s="359"/>
      <c r="S379" s="359"/>
      <c r="T379" s="359"/>
      <c r="U379" s="359"/>
      <c r="V379" s="359"/>
      <c r="W379" s="359"/>
      <c r="X379" s="359"/>
      <c r="Y379" s="359"/>
      <c r="Z379" s="359"/>
      <c r="AA379" s="359"/>
      <c r="AB379" s="359"/>
      <c r="AC379" s="359"/>
      <c r="AD379" s="359"/>
      <c r="AE379" s="359"/>
      <c r="AF379" s="359"/>
      <c r="AG379" s="359"/>
      <c r="AH379" s="359"/>
      <c r="AI379" s="359"/>
      <c r="AJ379" s="359"/>
      <c r="AK379" s="359"/>
      <c r="AL379" s="359"/>
      <c r="AM379" s="359"/>
      <c r="AN379" s="359"/>
      <c r="AO379" s="359"/>
      <c r="AP379" s="359"/>
      <c r="AQ379" s="359"/>
      <c r="AR379" s="359"/>
      <c r="AS379" s="359"/>
      <c r="AT379" s="359"/>
      <c r="AU379" s="359"/>
      <c r="AV379" s="359"/>
      <c r="AW379" s="359"/>
      <c r="AX379" s="359"/>
      <c r="AY379" s="359"/>
      <c r="AZ379" s="359"/>
      <c r="BA379" s="359"/>
      <c r="BB379" s="359"/>
      <c r="BC379" s="359"/>
      <c r="BD379" s="359"/>
      <c r="BE379" s="359"/>
      <c r="BF379" s="359"/>
      <c r="BG379" s="359"/>
      <c r="BH379" s="359"/>
      <c r="BI379" s="359"/>
      <c r="BJ379" s="359"/>
      <c r="BK379" s="359"/>
      <c r="BL379" s="359"/>
      <c r="BM379" s="359"/>
      <c r="BN379" s="359"/>
      <c r="BO379" s="359"/>
      <c r="BP379" s="103"/>
    </row>
    <row r="380" spans="1:68" x14ac:dyDescent="0.3">
      <c r="A380" s="354"/>
      <c r="B380" s="354"/>
      <c r="C380" s="354"/>
      <c r="D380" s="359"/>
      <c r="E380" s="359"/>
      <c r="F380" s="103"/>
      <c r="G380" s="103"/>
      <c r="H380" s="103"/>
      <c r="I380" s="103"/>
      <c r="J380" s="103"/>
      <c r="K380" s="103"/>
      <c r="L380" s="359"/>
      <c r="M380" s="359"/>
      <c r="N380" s="359"/>
      <c r="O380" s="359"/>
      <c r="P380" s="359"/>
      <c r="Q380" s="359"/>
      <c r="R380" s="359"/>
      <c r="S380" s="359"/>
      <c r="T380" s="359"/>
      <c r="U380" s="359"/>
      <c r="V380" s="359"/>
      <c r="W380" s="359"/>
      <c r="X380" s="359"/>
      <c r="Y380" s="359"/>
      <c r="Z380" s="359"/>
      <c r="AA380" s="359"/>
      <c r="AB380" s="359"/>
      <c r="AC380" s="359"/>
      <c r="AD380" s="359"/>
      <c r="AE380" s="359"/>
      <c r="AF380" s="359"/>
      <c r="AG380" s="359"/>
      <c r="AH380" s="359"/>
      <c r="AI380" s="359"/>
      <c r="AJ380" s="359"/>
      <c r="AK380" s="359"/>
      <c r="AL380" s="359"/>
      <c r="AM380" s="359"/>
      <c r="AN380" s="359"/>
      <c r="AO380" s="359"/>
      <c r="AP380" s="359"/>
      <c r="AQ380" s="359"/>
      <c r="AR380" s="359"/>
      <c r="AS380" s="359"/>
      <c r="AT380" s="359"/>
      <c r="AU380" s="359"/>
      <c r="AV380" s="359"/>
      <c r="AW380" s="359"/>
      <c r="AX380" s="359"/>
      <c r="AY380" s="359"/>
      <c r="AZ380" s="359"/>
      <c r="BA380" s="359"/>
      <c r="BB380" s="359"/>
      <c r="BC380" s="359"/>
      <c r="BD380" s="359"/>
      <c r="BE380" s="359"/>
      <c r="BF380" s="359"/>
      <c r="BG380" s="359"/>
      <c r="BH380" s="359"/>
      <c r="BI380" s="359"/>
      <c r="BJ380" s="359"/>
      <c r="BK380" s="359"/>
      <c r="BL380" s="359"/>
      <c r="BM380" s="359"/>
      <c r="BN380" s="359"/>
      <c r="BO380" s="359"/>
      <c r="BP380" s="103"/>
    </row>
    <row r="381" spans="1:68" ht="25.8" x14ac:dyDescent="0.3">
      <c r="A381" s="354"/>
      <c r="B381" s="354"/>
      <c r="C381" s="354"/>
      <c r="D381" s="359"/>
      <c r="E381" s="104"/>
      <c r="F381" s="104" t="s">
        <v>662</v>
      </c>
      <c r="G381" s="103"/>
      <c r="H381" s="103"/>
      <c r="I381" s="103"/>
      <c r="J381" s="103"/>
      <c r="K381" s="103"/>
      <c r="L381" s="359"/>
      <c r="M381" s="359"/>
      <c r="N381" s="359"/>
      <c r="O381" s="359"/>
      <c r="P381" s="359"/>
      <c r="Q381" s="359"/>
      <c r="R381" s="359"/>
      <c r="S381" s="359"/>
      <c r="T381" s="359"/>
      <c r="U381" s="359"/>
      <c r="V381" s="359"/>
      <c r="W381" s="359"/>
      <c r="X381" s="359"/>
      <c r="Y381" s="359"/>
      <c r="Z381" s="359"/>
      <c r="AA381" s="359"/>
      <c r="AB381" s="359"/>
      <c r="AC381" s="359"/>
      <c r="AD381" s="359"/>
      <c r="AE381" s="359"/>
      <c r="AF381" s="359"/>
      <c r="AG381" s="359"/>
      <c r="AH381" s="359"/>
      <c r="AI381" s="359"/>
      <c r="AJ381" s="359"/>
      <c r="AK381" s="359"/>
      <c r="AL381" s="359"/>
      <c r="AM381" s="359"/>
      <c r="AN381" s="359"/>
      <c r="AO381" s="359"/>
      <c r="AP381" s="359"/>
      <c r="AQ381" s="359"/>
      <c r="AR381" s="359"/>
      <c r="AS381" s="359"/>
      <c r="AT381" s="359"/>
      <c r="AU381" s="359"/>
      <c r="AV381" s="359"/>
      <c r="AW381" s="359"/>
      <c r="AX381" s="359"/>
      <c r="AY381" s="359"/>
      <c r="AZ381" s="359"/>
      <c r="BA381" s="359"/>
      <c r="BB381" s="359"/>
      <c r="BC381" s="359"/>
      <c r="BD381" s="359"/>
      <c r="BE381" s="359"/>
      <c r="BF381" s="359"/>
      <c r="BG381" s="359"/>
      <c r="BH381" s="359"/>
      <c r="BI381" s="359"/>
      <c r="BJ381" s="359"/>
      <c r="BK381" s="359"/>
      <c r="BL381" s="359"/>
      <c r="BM381" s="359"/>
      <c r="BN381" s="359"/>
      <c r="BO381" s="359"/>
      <c r="BP381" s="103"/>
    </row>
    <row r="382" spans="1:68" ht="18" thickBot="1" x14ac:dyDescent="0.35">
      <c r="A382" s="354"/>
      <c r="B382" s="354"/>
      <c r="C382" s="354"/>
      <c r="D382" s="359"/>
      <c r="F382" s="263"/>
      <c r="G382" s="103"/>
      <c r="H382" s="103"/>
      <c r="I382" s="103"/>
      <c r="J382" s="103"/>
      <c r="K382" s="103"/>
      <c r="L382" s="359"/>
      <c r="M382" s="359"/>
      <c r="N382" s="359"/>
      <c r="O382" s="359"/>
      <c r="P382" s="359"/>
      <c r="Q382" s="359"/>
      <c r="R382" s="359"/>
      <c r="S382" s="359"/>
      <c r="T382" s="359"/>
      <c r="U382" s="359"/>
      <c r="V382" s="359"/>
      <c r="W382" s="359"/>
      <c r="X382" s="359"/>
      <c r="Y382" s="359"/>
      <c r="Z382" s="359"/>
      <c r="AA382" s="359"/>
      <c r="AB382" s="359"/>
      <c r="AC382" s="359"/>
      <c r="AD382" s="359"/>
      <c r="AE382" s="359"/>
      <c r="AF382" s="359"/>
      <c r="AG382" s="359"/>
      <c r="AH382" s="359"/>
      <c r="AI382" s="359"/>
      <c r="AJ382" s="359"/>
      <c r="AK382" s="359"/>
      <c r="AL382" s="359"/>
      <c r="AM382" s="359"/>
      <c r="AN382" s="359"/>
      <c r="AO382" s="359"/>
      <c r="AP382" s="359"/>
      <c r="AQ382" s="359"/>
      <c r="AR382" s="359"/>
      <c r="AS382" s="359"/>
      <c r="AT382" s="359"/>
      <c r="AU382" s="359"/>
      <c r="AV382" s="359"/>
      <c r="AW382" s="359"/>
      <c r="AX382" s="359"/>
      <c r="AY382" s="359"/>
      <c r="AZ382" s="359"/>
      <c r="BA382" s="359"/>
      <c r="BB382" s="359"/>
      <c r="BC382" s="359"/>
      <c r="BD382" s="359"/>
      <c r="BE382" s="359"/>
      <c r="BF382" s="359"/>
      <c r="BG382" s="359"/>
      <c r="BH382" s="359"/>
      <c r="BI382" s="359"/>
      <c r="BJ382" s="359"/>
      <c r="BK382" s="359"/>
      <c r="BL382" s="359"/>
      <c r="BM382" s="359"/>
      <c r="BN382" s="359"/>
      <c r="BO382" s="359"/>
      <c r="BP382" s="103"/>
    </row>
    <row r="383" spans="1:68" x14ac:dyDescent="0.3">
      <c r="A383" s="354"/>
      <c r="B383" s="354"/>
      <c r="C383" s="354"/>
      <c r="D383" s="359"/>
      <c r="E383" s="264"/>
      <c r="F383" s="106"/>
      <c r="G383" s="107"/>
      <c r="H383" s="107"/>
      <c r="I383" s="107"/>
      <c r="J383" s="107"/>
      <c r="K383" s="107"/>
      <c r="L383" s="107"/>
      <c r="M383" s="107"/>
      <c r="N383" s="107"/>
      <c r="O383" s="107"/>
      <c r="P383" s="107"/>
      <c r="Q383" s="107"/>
      <c r="R383" s="107"/>
      <c r="S383" s="106"/>
      <c r="T383" s="106"/>
      <c r="U383" s="106"/>
      <c r="V383" s="106"/>
      <c r="W383" s="106"/>
      <c r="X383" s="106"/>
      <c r="Y383" s="106"/>
      <c r="Z383" s="106"/>
      <c r="AA383" s="106"/>
      <c r="AB383" s="106"/>
      <c r="AC383" s="106"/>
      <c r="AD383" s="106"/>
      <c r="AE383" s="106"/>
      <c r="AF383" s="106"/>
      <c r="AG383" s="106"/>
      <c r="AH383" s="106"/>
      <c r="AI383" s="106"/>
      <c r="AJ383" s="106"/>
      <c r="AK383" s="106"/>
      <c r="AL383" s="106"/>
      <c r="AM383" s="106"/>
      <c r="AN383" s="106"/>
      <c r="AO383" s="106"/>
      <c r="AP383" s="106"/>
      <c r="AQ383" s="106"/>
      <c r="AR383" s="106"/>
      <c r="AS383" s="106"/>
      <c r="AT383" s="106"/>
      <c r="AU383" s="106"/>
      <c r="AV383" s="106"/>
      <c r="AW383" s="106"/>
      <c r="AX383" s="106"/>
      <c r="AY383" s="106"/>
      <c r="AZ383" s="106"/>
      <c r="BA383" s="106"/>
      <c r="BB383" s="106"/>
      <c r="BC383" s="106"/>
      <c r="BD383" s="106"/>
      <c r="BE383" s="106"/>
      <c r="BF383" s="106"/>
      <c r="BG383" s="106"/>
      <c r="BH383" s="106"/>
      <c r="BI383" s="106"/>
      <c r="BJ383" s="106"/>
      <c r="BK383" s="106"/>
      <c r="BL383" s="106"/>
      <c r="BM383" s="106"/>
      <c r="BN383" s="106"/>
      <c r="BO383" s="106"/>
      <c r="BP383" s="108"/>
    </row>
    <row r="384" spans="1:68" ht="15.6" x14ac:dyDescent="0.3">
      <c r="A384" s="354"/>
      <c r="B384" s="354"/>
      <c r="C384" s="354"/>
      <c r="D384" s="359"/>
      <c r="E384" s="115"/>
      <c r="F384" s="110" t="s">
        <v>663</v>
      </c>
      <c r="G384" s="112"/>
      <c r="H384" s="112"/>
      <c r="I384" s="112"/>
      <c r="J384" s="112"/>
      <c r="K384" s="112"/>
      <c r="L384" s="112"/>
      <c r="M384" s="113"/>
      <c r="N384" s="113"/>
      <c r="O384" s="113"/>
      <c r="P384" s="113"/>
      <c r="Q384" s="113"/>
      <c r="R384" s="113"/>
      <c r="S384" s="117"/>
      <c r="T384" s="117"/>
      <c r="U384" s="117"/>
      <c r="V384" s="117"/>
      <c r="W384" s="117"/>
      <c r="X384" s="117"/>
      <c r="Y384" s="117"/>
      <c r="Z384" s="117"/>
      <c r="AA384" s="117"/>
      <c r="AB384" s="117"/>
      <c r="AC384" s="117"/>
      <c r="AD384" s="117"/>
      <c r="AE384" s="117"/>
      <c r="AF384" s="117"/>
      <c r="AG384" s="117"/>
      <c r="AH384" s="117"/>
      <c r="AI384" s="117"/>
      <c r="AJ384" s="117"/>
      <c r="AK384" s="117"/>
      <c r="AL384" s="117"/>
      <c r="AM384" s="117"/>
      <c r="AN384" s="117"/>
      <c r="AO384" s="117"/>
      <c r="AP384" s="117"/>
      <c r="AQ384" s="117"/>
      <c r="AR384" s="117"/>
      <c r="AS384" s="117"/>
      <c r="AT384" s="117"/>
      <c r="AU384" s="117"/>
      <c r="AV384" s="117"/>
      <c r="AW384" s="117"/>
      <c r="AX384" s="117"/>
      <c r="AY384" s="117"/>
      <c r="AZ384" s="117"/>
      <c r="BA384" s="117"/>
      <c r="BB384" s="117"/>
      <c r="BC384" s="117"/>
      <c r="BD384" s="117"/>
      <c r="BE384" s="117"/>
      <c r="BF384" s="117"/>
      <c r="BG384" s="117"/>
      <c r="BH384" s="117"/>
      <c r="BI384" s="117"/>
      <c r="BJ384" s="117"/>
      <c r="BK384" s="117"/>
      <c r="BL384" s="117"/>
      <c r="BM384" s="117"/>
      <c r="BN384" s="117"/>
      <c r="BO384" s="117"/>
      <c r="BP384" s="114"/>
    </row>
    <row r="385" spans="1:68" ht="15.6" x14ac:dyDescent="0.3">
      <c r="A385" s="354"/>
      <c r="B385" s="354"/>
      <c r="C385" s="354"/>
      <c r="D385" s="359"/>
      <c r="E385" s="115"/>
      <c r="F385" s="116" t="s">
        <v>664</v>
      </c>
      <c r="G385" s="112"/>
      <c r="H385" s="112"/>
      <c r="I385" s="112"/>
      <c r="J385" s="112"/>
      <c r="K385" s="112"/>
      <c r="L385" s="112"/>
      <c r="M385" s="113"/>
      <c r="N385" s="113"/>
      <c r="O385" s="113"/>
      <c r="P385" s="113"/>
      <c r="Q385" s="113"/>
      <c r="R385" s="113"/>
      <c r="S385" s="117"/>
      <c r="T385" s="117"/>
      <c r="U385" s="117"/>
      <c r="V385" s="117"/>
      <c r="W385" s="117"/>
      <c r="X385" s="117"/>
      <c r="Y385" s="117"/>
      <c r="Z385" s="117"/>
      <c r="AA385" s="117"/>
      <c r="AB385" s="117"/>
      <c r="AC385" s="117"/>
      <c r="AD385" s="117"/>
      <c r="AE385" s="117"/>
      <c r="AF385" s="117"/>
      <c r="AG385" s="117"/>
      <c r="AH385" s="117"/>
      <c r="AI385" s="117"/>
      <c r="AJ385" s="117"/>
      <c r="AK385" s="117"/>
      <c r="AL385" s="117"/>
      <c r="AM385" s="117"/>
      <c r="AN385" s="117"/>
      <c r="AO385" s="117"/>
      <c r="AP385" s="117"/>
      <c r="AQ385" s="117"/>
      <c r="AR385" s="117"/>
      <c r="AS385" s="117"/>
      <c r="AT385" s="117"/>
      <c r="AU385" s="117"/>
      <c r="AV385" s="117"/>
      <c r="AW385" s="117"/>
      <c r="AX385" s="117"/>
      <c r="AY385" s="117"/>
      <c r="AZ385" s="117"/>
      <c r="BA385" s="117"/>
      <c r="BB385" s="117"/>
      <c r="BC385" s="117"/>
      <c r="BD385" s="117"/>
      <c r="BE385" s="117"/>
      <c r="BF385" s="117"/>
      <c r="BG385" s="117"/>
      <c r="BH385" s="117"/>
      <c r="BI385" s="117"/>
      <c r="BJ385" s="117"/>
      <c r="BK385" s="117"/>
      <c r="BL385" s="117"/>
      <c r="BM385" s="117"/>
      <c r="BN385" s="117"/>
      <c r="BO385" s="117"/>
      <c r="BP385" s="114"/>
    </row>
    <row r="386" spans="1:68" x14ac:dyDescent="0.3">
      <c r="A386" s="354"/>
      <c r="B386" s="354"/>
      <c r="C386" s="354"/>
      <c r="D386" s="359"/>
      <c r="E386" s="115"/>
      <c r="F386" s="117" t="s">
        <v>426</v>
      </c>
      <c r="G386" s="392" t="s">
        <v>665</v>
      </c>
      <c r="H386" s="387"/>
      <c r="I386" s="387"/>
      <c r="J386" s="387"/>
      <c r="K386" s="387"/>
      <c r="L386" s="387"/>
      <c r="M386" s="387"/>
      <c r="N386" s="142">
        <v>203.37577932876076</v>
      </c>
      <c r="O386" s="142">
        <v>168.86544963795106</v>
      </c>
      <c r="P386" s="142">
        <v>148.33635557383047</v>
      </c>
      <c r="Q386" s="142">
        <v>164.93146787757703</v>
      </c>
      <c r="R386" s="142">
        <v>157.4</v>
      </c>
      <c r="S386" s="268">
        <v>162.82059158328727</v>
      </c>
      <c r="T386" s="268">
        <v>167.61009256368737</v>
      </c>
      <c r="U386" s="268">
        <v>172.83077002281885</v>
      </c>
      <c r="V386" s="268">
        <v>176.9136823539329</v>
      </c>
      <c r="W386" s="268">
        <v>180.36337952723147</v>
      </c>
      <c r="X386" s="268">
        <v>184.94626064913402</v>
      </c>
      <c r="Y386" s="268">
        <v>188.92872937823967</v>
      </c>
      <c r="Z386" s="268">
        <v>191.29018127295561</v>
      </c>
      <c r="AA386" s="268">
        <v>194.06841074275314</v>
      </c>
      <c r="AB386" s="268">
        <v>198.12602453903455</v>
      </c>
      <c r="AC386" s="268">
        <v>200.79849085221531</v>
      </c>
      <c r="AD386" s="268">
        <v>204.25169810208439</v>
      </c>
      <c r="AE386" s="268">
        <v>206.69667980653699</v>
      </c>
      <c r="AF386" s="268">
        <v>209.26406902650916</v>
      </c>
      <c r="AG386" s="268">
        <v>212.37184820931259</v>
      </c>
      <c r="AH386" s="268">
        <v>215.18104381227676</v>
      </c>
      <c r="AI386" s="268">
        <v>218.40823181041813</v>
      </c>
      <c r="AJ386" s="268">
        <v>222.42748093908403</v>
      </c>
      <c r="AK386" s="268">
        <v>226.25376494106735</v>
      </c>
      <c r="AL386" s="268">
        <v>230.57469599441441</v>
      </c>
      <c r="AM386" s="268">
        <v>235.14522927960468</v>
      </c>
      <c r="AN386" s="268">
        <v>239.0681002039255</v>
      </c>
      <c r="AO386" s="268">
        <v>244.36404556444106</v>
      </c>
      <c r="AP386" s="268">
        <v>249.28445125902726</v>
      </c>
      <c r="AQ386" s="268">
        <v>255.54596757119668</v>
      </c>
      <c r="AR386" s="268">
        <v>261.05524185828887</v>
      </c>
      <c r="AS386" s="268">
        <v>266.62991022160577</v>
      </c>
      <c r="AT386" s="268">
        <v>272.52958555942104</v>
      </c>
      <c r="AU386" s="268">
        <v>278.48807940434</v>
      </c>
      <c r="AV386" s="268">
        <v>283.72739142705069</v>
      </c>
      <c r="AW386" s="268">
        <v>289.17862843338787</v>
      </c>
      <c r="AX386" s="268">
        <v>294.81343607019124</v>
      </c>
      <c r="AY386" s="268">
        <v>300.67334703399962</v>
      </c>
      <c r="AZ386" s="268">
        <v>306.74142252113643</v>
      </c>
      <c r="BA386" s="268">
        <v>312.96607046919161</v>
      </c>
      <c r="BB386" s="268">
        <v>319.37748404065729</v>
      </c>
      <c r="BC386" s="268">
        <v>325.94795262852142</v>
      </c>
      <c r="BD386" s="268">
        <v>332.66888031461019</v>
      </c>
      <c r="BE386" s="268">
        <v>339.61024584747946</v>
      </c>
      <c r="BF386" s="268">
        <v>346.66913533142019</v>
      </c>
      <c r="BG386" s="268">
        <v>353.88882289739632</v>
      </c>
      <c r="BH386" s="268">
        <v>361.16393422395595</v>
      </c>
      <c r="BI386" s="268">
        <v>368.56600421803199</v>
      </c>
      <c r="BJ386" s="268">
        <v>376.09998516828307</v>
      </c>
      <c r="BK386" s="268">
        <v>383.74835100737283</v>
      </c>
      <c r="BL386" s="268">
        <v>391.51561394147404</v>
      </c>
      <c r="BM386" s="268">
        <v>399.4750108936916</v>
      </c>
      <c r="BN386" s="268">
        <v>407.62410255139088</v>
      </c>
      <c r="BO386" s="268">
        <v>415.96271569063782</v>
      </c>
      <c r="BP386" s="114"/>
    </row>
    <row r="387" spans="1:68" x14ac:dyDescent="0.3">
      <c r="A387" s="354"/>
      <c r="B387" s="354"/>
      <c r="C387" s="354"/>
      <c r="D387" s="359"/>
      <c r="E387" s="115"/>
      <c r="F387" s="117" t="s">
        <v>412</v>
      </c>
      <c r="G387" s="387"/>
      <c r="H387" s="388"/>
      <c r="I387" s="388"/>
      <c r="J387" s="388"/>
      <c r="K387" s="388"/>
      <c r="L387" s="388"/>
      <c r="M387" s="387"/>
      <c r="N387" s="142">
        <v>768.06</v>
      </c>
      <c r="O387" s="142">
        <v>769</v>
      </c>
      <c r="P387" s="142">
        <v>567</v>
      </c>
      <c r="Q387" s="142">
        <v>831.7</v>
      </c>
      <c r="R387" s="142">
        <v>1015.3</v>
      </c>
      <c r="S387" s="268">
        <v>1050.2652263946095</v>
      </c>
      <c r="T387" s="268">
        <v>1081.1596377376859</v>
      </c>
      <c r="U387" s="268">
        <v>1114.83532912432</v>
      </c>
      <c r="V387" s="268">
        <v>1141.1719294405848</v>
      </c>
      <c r="W387" s="268">
        <v>1163.4240103811824</v>
      </c>
      <c r="X387" s="268">
        <v>1192.985631747559</v>
      </c>
      <c r="Y387" s="268">
        <v>1218.674326160907</v>
      </c>
      <c r="Z387" s="268">
        <v>1233.9067410827945</v>
      </c>
      <c r="AA387" s="268">
        <v>1251.8275567161202</v>
      </c>
      <c r="AB387" s="268">
        <v>1278.0009702317777</v>
      </c>
      <c r="AC387" s="268">
        <v>1295.2395664692137</v>
      </c>
      <c r="AD387" s="268">
        <v>1317.5142889647161</v>
      </c>
      <c r="AE387" s="268">
        <v>1333.2855083073509</v>
      </c>
      <c r="AF387" s="268">
        <v>1349.846310562991</v>
      </c>
      <c r="AG387" s="268">
        <v>1369.8928684047974</v>
      </c>
      <c r="AH387" s="268">
        <v>1388.0134293685173</v>
      </c>
      <c r="AI387" s="268">
        <v>1408.8302271735549</v>
      </c>
      <c r="AJ387" s="268">
        <v>1434.7561715212962</v>
      </c>
      <c r="AK387" s="268">
        <v>1459.4374049851695</v>
      </c>
      <c r="AL387" s="268">
        <v>1487.3093319131444</v>
      </c>
      <c r="AM387" s="268">
        <v>1516.7913042413127</v>
      </c>
      <c r="AN387" s="268">
        <v>1542.0955663090569</v>
      </c>
      <c r="AO387" s="268">
        <v>1576.256769133272</v>
      </c>
      <c r="AP387" s="268">
        <v>1607.9955740996847</v>
      </c>
      <c r="AQ387" s="268">
        <v>1648.385138977357</v>
      </c>
      <c r="AR387" s="268">
        <v>1683.9224082510843</v>
      </c>
      <c r="AS387" s="268">
        <v>1719.88149839896</v>
      </c>
      <c r="AT387" s="268">
        <v>1757.9370280716655</v>
      </c>
      <c r="AU387" s="268">
        <v>1796.3719632733571</v>
      </c>
      <c r="AV387" s="268">
        <v>1830.1678558823671</v>
      </c>
      <c r="AW387" s="268">
        <v>1865.3307588844898</v>
      </c>
      <c r="AX387" s="268">
        <v>1901.6777740919008</v>
      </c>
      <c r="AY387" s="268">
        <v>1939.4768058679788</v>
      </c>
      <c r="AZ387" s="268">
        <v>1978.6185913958695</v>
      </c>
      <c r="BA387" s="268">
        <v>2018.7703389286551</v>
      </c>
      <c r="BB387" s="268">
        <v>2060.1268077921181</v>
      </c>
      <c r="BC387" s="268">
        <v>2102.5092522473815</v>
      </c>
      <c r="BD387" s="268">
        <v>2145.862224799389</v>
      </c>
      <c r="BE387" s="268">
        <v>2190.637119497751</v>
      </c>
      <c r="BF387" s="268">
        <v>2236.1700959465761</v>
      </c>
      <c r="BG387" s="268">
        <v>2282.7402915357475</v>
      </c>
      <c r="BH387" s="268">
        <v>2329.6679950291145</v>
      </c>
      <c r="BI387" s="268">
        <v>2377.414638389886</v>
      </c>
      <c r="BJ387" s="268">
        <v>2426.0121660823252</v>
      </c>
      <c r="BK387" s="268">
        <v>2475.3475271778007</v>
      </c>
      <c r="BL387" s="268">
        <v>2525.4498274128259</v>
      </c>
      <c r="BM387" s="268">
        <v>2576.7914775118506</v>
      </c>
      <c r="BN387" s="268">
        <v>2629.3567428235538</v>
      </c>
      <c r="BO387" s="268">
        <v>2683.1445059765238</v>
      </c>
      <c r="BP387" s="114"/>
    </row>
    <row r="388" spans="1:68" x14ac:dyDescent="0.3">
      <c r="A388" s="354"/>
      <c r="B388" s="354"/>
      <c r="C388" s="354"/>
      <c r="D388" s="359"/>
      <c r="E388" s="115"/>
      <c r="F388" s="117" t="s">
        <v>413</v>
      </c>
      <c r="G388" s="387"/>
      <c r="H388" s="388"/>
      <c r="I388" s="388"/>
      <c r="J388" s="388"/>
      <c r="K388" s="388"/>
      <c r="L388" s="388"/>
      <c r="M388" s="387"/>
      <c r="N388" s="142">
        <v>122.25383807632522</v>
      </c>
      <c r="O388" s="142">
        <v>30.379732311994736</v>
      </c>
      <c r="P388" s="142">
        <v>115.22607457378612</v>
      </c>
      <c r="Q388" s="142">
        <v>123.19989497262668</v>
      </c>
      <c r="R388" s="142">
        <v>131.33708370927823</v>
      </c>
      <c r="S388" s="268">
        <v>135.86011223868107</v>
      </c>
      <c r="T388" s="268">
        <v>139.85654865029784</v>
      </c>
      <c r="U388" s="268">
        <v>144.21276562913579</v>
      </c>
      <c r="V388" s="268">
        <v>147.61961314253585</v>
      </c>
      <c r="W388" s="268">
        <v>150.49809577545312</v>
      </c>
      <c r="X388" s="268">
        <v>154.32212526425226</v>
      </c>
      <c r="Y388" s="268">
        <v>157.64516102565082</v>
      </c>
      <c r="Z388" s="268">
        <v>159.61559434948654</v>
      </c>
      <c r="AA388" s="268">
        <v>161.93379356446994</v>
      </c>
      <c r="AB388" s="268">
        <v>165.31953157477574</v>
      </c>
      <c r="AC388" s="268">
        <v>167.54948031610004</v>
      </c>
      <c r="AD388" s="268">
        <v>170.43089181318734</v>
      </c>
      <c r="AE388" s="268">
        <v>172.47102374956182</v>
      </c>
      <c r="AF388" s="268">
        <v>174.61329447953503</v>
      </c>
      <c r="AG388" s="268">
        <v>177.206475258962</v>
      </c>
      <c r="AH388" s="268">
        <v>179.55051311196226</v>
      </c>
      <c r="AI388" s="268">
        <v>182.24333052147605</v>
      </c>
      <c r="AJ388" s="268">
        <v>185.59705643799472</v>
      </c>
      <c r="AK388" s="268">
        <v>188.78976915885849</v>
      </c>
      <c r="AL388" s="268">
        <v>192.39522331041798</v>
      </c>
      <c r="AM388" s="268">
        <v>196.20894956628248</v>
      </c>
      <c r="AN388" s="268">
        <v>199.48225596379339</v>
      </c>
      <c r="AO388" s="268">
        <v>203.90127768637151</v>
      </c>
      <c r="AP388" s="268">
        <v>208.00694309039616</v>
      </c>
      <c r="AQ388" s="268">
        <v>213.23165269673927</v>
      </c>
      <c r="AR388" s="268">
        <v>217.82867949611156</v>
      </c>
      <c r="AS388" s="268">
        <v>222.48027216119681</v>
      </c>
      <c r="AT388" s="268">
        <v>227.40305585687793</v>
      </c>
      <c r="AU388" s="268">
        <v>232.3749186579665</v>
      </c>
      <c r="AV388" s="268">
        <v>236.74668461543652</v>
      </c>
      <c r="AW388" s="268">
        <v>241.29528417719268</v>
      </c>
      <c r="AX388" s="268">
        <v>245.99705801633201</v>
      </c>
      <c r="AY388" s="268">
        <v>250.88666168077052</v>
      </c>
      <c r="AZ388" s="268">
        <v>255.94996116112824</v>
      </c>
      <c r="BA388" s="268">
        <v>261.14390721331699</v>
      </c>
      <c r="BB388" s="268">
        <v>266.4936934962293</v>
      </c>
      <c r="BC388" s="268">
        <v>271.9761978350698</v>
      </c>
      <c r="BD388" s="268">
        <v>277.5842476578897</v>
      </c>
      <c r="BE388" s="268">
        <v>283.37623435450439</v>
      </c>
      <c r="BF388" s="268">
        <v>289.26628492024054</v>
      </c>
      <c r="BG388" s="268">
        <v>295.29050798382019</v>
      </c>
      <c r="BH388" s="268">
        <v>301.36097752188044</v>
      </c>
      <c r="BI388" s="268">
        <v>307.53738340773748</v>
      </c>
      <c r="BJ388" s="268">
        <v>313.82385791045181</v>
      </c>
      <c r="BK388" s="268">
        <v>320.20577699842971</v>
      </c>
      <c r="BL388" s="268">
        <v>326.68690572884918</v>
      </c>
      <c r="BM388" s="268">
        <v>333.32835416461012</v>
      </c>
      <c r="BN388" s="268">
        <v>340.12808690413891</v>
      </c>
      <c r="BO388" s="268">
        <v>347.08595940660757</v>
      </c>
      <c r="BP388" s="114"/>
    </row>
    <row r="389" spans="1:68" x14ac:dyDescent="0.3">
      <c r="A389" s="354"/>
      <c r="B389" s="354"/>
      <c r="C389" s="354"/>
      <c r="D389" s="359"/>
      <c r="E389" s="115"/>
      <c r="F389" s="117" t="s">
        <v>414</v>
      </c>
      <c r="G389" s="387"/>
      <c r="H389" s="388"/>
      <c r="I389" s="388"/>
      <c r="J389" s="388"/>
      <c r="K389" s="388"/>
      <c r="L389" s="388"/>
      <c r="M389" s="387"/>
      <c r="N389" s="142">
        <v>150.85779409882147</v>
      </c>
      <c r="O389" s="142">
        <v>200</v>
      </c>
      <c r="P389" s="142">
        <v>200</v>
      </c>
      <c r="Q389" s="142">
        <v>200</v>
      </c>
      <c r="R389" s="142">
        <v>170</v>
      </c>
      <c r="S389" s="268">
        <v>175.85451441651102</v>
      </c>
      <c r="T389" s="268">
        <v>181.02741890614266</v>
      </c>
      <c r="U389" s="268">
        <v>186.6660159077459</v>
      </c>
      <c r="V389" s="268">
        <v>191.07576874312957</v>
      </c>
      <c r="W389" s="268">
        <v>194.80161702432881</v>
      </c>
      <c r="X389" s="268">
        <v>199.75136156513844</v>
      </c>
      <c r="Y389" s="268">
        <v>204.05263020521443</v>
      </c>
      <c r="Z389" s="268">
        <v>206.60311827447561</v>
      </c>
      <c r="AA389" s="268">
        <v>209.60374730792913</v>
      </c>
      <c r="AB389" s="268">
        <v>213.9861764398722</v>
      </c>
      <c r="AC389" s="268">
        <v>216.8725758886697</v>
      </c>
      <c r="AD389" s="268">
        <v>220.60221523096794</v>
      </c>
      <c r="AE389" s="268">
        <v>223.24291974022424</v>
      </c>
      <c r="AF389" s="268">
        <v>226.01583058771641</v>
      </c>
      <c r="AG389" s="268">
        <v>229.37239006088402</v>
      </c>
      <c r="AH389" s="268">
        <v>232.40646409203973</v>
      </c>
      <c r="AI389" s="268">
        <v>235.89199115483535</v>
      </c>
      <c r="AJ389" s="268">
        <v>240.2329844958341</v>
      </c>
      <c r="AK389" s="268">
        <v>244.36556569238533</v>
      </c>
      <c r="AL389" s="268">
        <v>249.03239084530148</v>
      </c>
      <c r="AM389" s="268">
        <v>253.96879909487166</v>
      </c>
      <c r="AN389" s="268">
        <v>258.20569907666669</v>
      </c>
      <c r="AO389" s="268">
        <v>263.9255892373252</v>
      </c>
      <c r="AP389" s="268">
        <v>269.23987747163051</v>
      </c>
      <c r="AQ389" s="268">
        <v>276.00263333610826</v>
      </c>
      <c r="AR389" s="268">
        <v>281.95292958010867</v>
      </c>
      <c r="AS389" s="268">
        <v>287.97385475014596</v>
      </c>
      <c r="AT389" s="268">
        <v>294.34580397142042</v>
      </c>
      <c r="AU389" s="268">
        <v>300.78128016987165</v>
      </c>
      <c r="AV389" s="268">
        <v>306.4400034472593</v>
      </c>
      <c r="AW389" s="268">
        <v>312.32761647824606</v>
      </c>
      <c r="AX389" s="268">
        <v>318.41349512028273</v>
      </c>
      <c r="AY389" s="268">
        <v>324.74249679656879</v>
      </c>
      <c r="AZ389" s="268">
        <v>331.29632673820322</v>
      </c>
      <c r="BA389" s="268">
        <v>338.01926289556906</v>
      </c>
      <c r="BB389" s="268">
        <v>344.94391541875308</v>
      </c>
      <c r="BC389" s="268">
        <v>352.04035544376518</v>
      </c>
      <c r="BD389" s="268">
        <v>359.2992989420822</v>
      </c>
      <c r="BE389" s="268">
        <v>366.79632651887874</v>
      </c>
      <c r="BF389" s="268">
        <v>374.42028593609558</v>
      </c>
      <c r="BG389" s="268">
        <v>382.21791545462122</v>
      </c>
      <c r="BH389" s="268">
        <v>390.07540545154075</v>
      </c>
      <c r="BI389" s="268">
        <v>398.07001726216924</v>
      </c>
      <c r="BJ389" s="268">
        <v>406.20709960996265</v>
      </c>
      <c r="BK389" s="268">
        <v>414.4677234514192</v>
      </c>
      <c r="BL389" s="268">
        <v>422.85676219854253</v>
      </c>
      <c r="BM389" s="268">
        <v>431.45331545061993</v>
      </c>
      <c r="BN389" s="268">
        <v>440.25474862602573</v>
      </c>
      <c r="BO389" s="268">
        <v>449.26087463410698</v>
      </c>
      <c r="BP389" s="114"/>
    </row>
    <row r="390" spans="1:68" x14ac:dyDescent="0.3">
      <c r="A390" s="354"/>
      <c r="B390" s="354"/>
      <c r="C390" s="354"/>
      <c r="D390" s="359"/>
      <c r="E390" s="115"/>
      <c r="F390" s="117" t="s">
        <v>415</v>
      </c>
      <c r="G390" s="387"/>
      <c r="H390" s="388"/>
      <c r="I390" s="388"/>
      <c r="J390" s="388"/>
      <c r="K390" s="388"/>
      <c r="L390" s="388"/>
      <c r="M390" s="387"/>
      <c r="N390" s="142">
        <v>501.71135388656484</v>
      </c>
      <c r="O390" s="142">
        <v>466</v>
      </c>
      <c r="P390" s="142">
        <v>438</v>
      </c>
      <c r="Q390" s="142">
        <v>367.7</v>
      </c>
      <c r="R390" s="142">
        <v>421.4</v>
      </c>
      <c r="S390" s="268">
        <v>435.91230808892789</v>
      </c>
      <c r="T390" s="268">
        <v>448.73502545322651</v>
      </c>
      <c r="U390" s="268">
        <v>462.71211237367129</v>
      </c>
      <c r="V390" s="268">
        <v>473.64311146091057</v>
      </c>
      <c r="W390" s="268">
        <v>482.87883184736563</v>
      </c>
      <c r="X390" s="268">
        <v>495.14837507970196</v>
      </c>
      <c r="Y390" s="268">
        <v>505.81046099104327</v>
      </c>
      <c r="Z390" s="268">
        <v>512.13267082861182</v>
      </c>
      <c r="AA390" s="268">
        <v>519.57070067977247</v>
      </c>
      <c r="AB390" s="268">
        <v>530.43396912801245</v>
      </c>
      <c r="AC390" s="268">
        <v>537.58884399697286</v>
      </c>
      <c r="AD390" s="268">
        <v>546.83396175488156</v>
      </c>
      <c r="AE390" s="268">
        <v>553.37980222664976</v>
      </c>
      <c r="AF390" s="268">
        <v>560.25335888037444</v>
      </c>
      <c r="AG390" s="268">
        <v>568.57367748033232</v>
      </c>
      <c r="AH390" s="268">
        <v>576.0946115787383</v>
      </c>
      <c r="AI390" s="268">
        <v>584.73461807439753</v>
      </c>
      <c r="AJ390" s="268">
        <v>595.49517450908502</v>
      </c>
      <c r="AK390" s="268">
        <v>605.73911401630085</v>
      </c>
      <c r="AL390" s="268">
        <v>617.30735001300002</v>
      </c>
      <c r="AM390" s="268">
        <v>629.54383493281694</v>
      </c>
      <c r="AN390" s="268">
        <v>640.04636229945481</v>
      </c>
      <c r="AO390" s="268">
        <v>654.22496061534594</v>
      </c>
      <c r="AP390" s="268">
        <v>667.39814333261802</v>
      </c>
      <c r="AQ390" s="268">
        <v>684.16182169315289</v>
      </c>
      <c r="AR390" s="268">
        <v>698.91155602975164</v>
      </c>
      <c r="AS390" s="268">
        <v>713.83636701006765</v>
      </c>
      <c r="AT390" s="268">
        <v>729.63130466797975</v>
      </c>
      <c r="AU390" s="268">
        <v>745.58371449167009</v>
      </c>
      <c r="AV390" s="268">
        <v>759.61069089808871</v>
      </c>
      <c r="AW390" s="268">
        <v>774.20504461137</v>
      </c>
      <c r="AX390" s="268">
        <v>789.29086378639511</v>
      </c>
      <c r="AY390" s="268">
        <v>804.97934205925958</v>
      </c>
      <c r="AZ390" s="268">
        <v>821.22512992634631</v>
      </c>
      <c r="BA390" s="268">
        <v>837.89010225995787</v>
      </c>
      <c r="BB390" s="268">
        <v>855.05509386742699</v>
      </c>
      <c r="BC390" s="268">
        <v>872.6459163764863</v>
      </c>
      <c r="BD390" s="268">
        <v>890.63955631878503</v>
      </c>
      <c r="BE390" s="268">
        <v>909.22336467679713</v>
      </c>
      <c r="BF390" s="268">
        <v>928.12181466747461</v>
      </c>
      <c r="BG390" s="268">
        <v>947.45076219163172</v>
      </c>
      <c r="BH390" s="268">
        <v>966.92809327811347</v>
      </c>
      <c r="BI390" s="268">
        <v>986.74532514281259</v>
      </c>
      <c r="BJ390" s="268">
        <v>1006.915716327284</v>
      </c>
      <c r="BK390" s="268">
        <v>1027.3923450731063</v>
      </c>
      <c r="BL390" s="268">
        <v>1048.1872917086225</v>
      </c>
      <c r="BM390" s="268">
        <v>1069.4966301817133</v>
      </c>
      <c r="BN390" s="268">
        <v>1091.3138298294546</v>
      </c>
      <c r="BO390" s="268">
        <v>1113.6384268871336</v>
      </c>
      <c r="BP390" s="114"/>
    </row>
    <row r="391" spans="1:68" x14ac:dyDescent="0.3">
      <c r="A391" s="354"/>
      <c r="B391" s="354"/>
      <c r="C391" s="354"/>
      <c r="D391" s="359"/>
      <c r="E391" s="115"/>
      <c r="F391" s="117" t="s">
        <v>416</v>
      </c>
      <c r="G391" s="387"/>
      <c r="H391" s="388"/>
      <c r="I391" s="388"/>
      <c r="J391" s="388"/>
      <c r="K391" s="388"/>
      <c r="L391" s="388"/>
      <c r="M391" s="387"/>
      <c r="N391" s="142">
        <v>325.44090052128229</v>
      </c>
      <c r="O391" s="142">
        <v>517</v>
      </c>
      <c r="P391" s="142">
        <v>742</v>
      </c>
      <c r="Q391" s="142">
        <v>650.4</v>
      </c>
      <c r="R391" s="142">
        <v>620.6</v>
      </c>
      <c r="S391" s="268">
        <v>641.97242145227494</v>
      </c>
      <c r="T391" s="268">
        <v>660.85656572442429</v>
      </c>
      <c r="U391" s="268">
        <v>681.44076160204179</v>
      </c>
      <c r="V391" s="268">
        <v>697.53895342344822</v>
      </c>
      <c r="W391" s="268">
        <v>711.14049132528498</v>
      </c>
      <c r="X391" s="268">
        <v>729.2099705136759</v>
      </c>
      <c r="Y391" s="268">
        <v>744.91213120797681</v>
      </c>
      <c r="Z391" s="268">
        <v>754.22291294787965</v>
      </c>
      <c r="AA391" s="268">
        <v>765.17697399588701</v>
      </c>
      <c r="AB391" s="268">
        <v>781.17541822696853</v>
      </c>
      <c r="AC391" s="268">
        <v>791.71247409710816</v>
      </c>
      <c r="AD391" s="268">
        <v>805.32785160199217</v>
      </c>
      <c r="AE391" s="268">
        <v>814.96797641637136</v>
      </c>
      <c r="AF391" s="268">
        <v>825.09073213374575</v>
      </c>
      <c r="AG391" s="268">
        <v>837.3441486575565</v>
      </c>
      <c r="AH391" s="268">
        <v>848.420303620705</v>
      </c>
      <c r="AI391" s="268">
        <v>861.14452770994603</v>
      </c>
      <c r="AJ391" s="268">
        <v>876.99170693008614</v>
      </c>
      <c r="AK391" s="268">
        <v>892.07805922761372</v>
      </c>
      <c r="AL391" s="268">
        <v>909.11471622702402</v>
      </c>
      <c r="AM391" s="268">
        <v>927.13551010751371</v>
      </c>
      <c r="AN391" s="268">
        <v>942.60268733517262</v>
      </c>
      <c r="AO391" s="268">
        <v>963.48365106284712</v>
      </c>
      <c r="AP391" s="268">
        <v>982.88392916996406</v>
      </c>
      <c r="AQ391" s="268">
        <v>1007.571966166993</v>
      </c>
      <c r="AR391" s="268">
        <v>1029.2940476318558</v>
      </c>
      <c r="AS391" s="268">
        <v>1051.2739662231802</v>
      </c>
      <c r="AT391" s="268">
        <v>1074.5353290862563</v>
      </c>
      <c r="AU391" s="268">
        <v>1098.0286027848379</v>
      </c>
      <c r="AV391" s="268">
        <v>1118.6862714080542</v>
      </c>
      <c r="AW391" s="268">
        <v>1140.1795222729388</v>
      </c>
      <c r="AX391" s="268">
        <v>1162.3965592449858</v>
      </c>
      <c r="AY391" s="268">
        <v>1185.5011383055926</v>
      </c>
      <c r="AZ391" s="268">
        <v>1209.4264727866416</v>
      </c>
      <c r="BA391" s="268">
        <v>1233.9691444293549</v>
      </c>
      <c r="BB391" s="268">
        <v>1259.2481994639902</v>
      </c>
      <c r="BC391" s="268">
        <v>1285.1543799317697</v>
      </c>
      <c r="BD391" s="268">
        <v>1311.6537936673903</v>
      </c>
      <c r="BE391" s="268">
        <v>1339.0223543389195</v>
      </c>
      <c r="BF391" s="268">
        <v>1366.8542908937711</v>
      </c>
      <c r="BG391" s="268">
        <v>1395.320225477283</v>
      </c>
      <c r="BH391" s="268">
        <v>1424.0046860189786</v>
      </c>
      <c r="BI391" s="268">
        <v>1453.1897218406025</v>
      </c>
      <c r="BJ391" s="268">
        <v>1482.8948589290765</v>
      </c>
      <c r="BK391" s="268">
        <v>1513.0509951408878</v>
      </c>
      <c r="BL391" s="268">
        <v>1543.6759212965628</v>
      </c>
      <c r="BM391" s="268">
        <v>1575.0583974626761</v>
      </c>
      <c r="BN391" s="268">
        <v>1607.18880586654</v>
      </c>
      <c r="BO391" s="268">
        <v>1640.0664635172177</v>
      </c>
      <c r="BP391" s="114"/>
    </row>
    <row r="392" spans="1:68" x14ac:dyDescent="0.3">
      <c r="A392" s="354"/>
      <c r="B392" s="354"/>
      <c r="C392" s="354"/>
      <c r="D392" s="359"/>
      <c r="E392" s="115"/>
      <c r="F392" s="117" t="s">
        <v>417</v>
      </c>
      <c r="G392" s="387"/>
      <c r="H392" s="388"/>
      <c r="I392" s="388"/>
      <c r="J392" s="388"/>
      <c r="K392" s="388"/>
      <c r="L392" s="388"/>
      <c r="M392" s="387"/>
      <c r="N392" s="142">
        <v>276.75341671727637</v>
      </c>
      <c r="O392" s="142">
        <v>201.02416595832574</v>
      </c>
      <c r="P392" s="142">
        <v>247.82375039928598</v>
      </c>
      <c r="Q392" s="142">
        <v>199.73610791490233</v>
      </c>
      <c r="R392" s="142">
        <v>268.89999999999998</v>
      </c>
      <c r="S392" s="268">
        <v>278.16046427411652</v>
      </c>
      <c r="T392" s="268">
        <v>286.34278202271616</v>
      </c>
      <c r="U392" s="268">
        <v>295.26171575054627</v>
      </c>
      <c r="V392" s="268">
        <v>302.23690714722079</v>
      </c>
      <c r="W392" s="268">
        <v>308.13032245789418</v>
      </c>
      <c r="X392" s="268">
        <v>315.95965367568067</v>
      </c>
      <c r="Y392" s="268">
        <v>322.76324860107144</v>
      </c>
      <c r="Z392" s="268">
        <v>326.79752061180278</v>
      </c>
      <c r="AA392" s="268">
        <v>331.54380971236543</v>
      </c>
      <c r="AB392" s="268">
        <v>338.4757814393036</v>
      </c>
      <c r="AC392" s="268">
        <v>343.04138621448976</v>
      </c>
      <c r="AD392" s="268">
        <v>348.94079809180738</v>
      </c>
      <c r="AE392" s="268">
        <v>353.11777128321336</v>
      </c>
      <c r="AF392" s="268">
        <v>357.50386379433479</v>
      </c>
      <c r="AG392" s="268">
        <v>362.8131511021864</v>
      </c>
      <c r="AH392" s="268">
        <v>367.61234231970269</v>
      </c>
      <c r="AI392" s="268">
        <v>373.12562600903061</v>
      </c>
      <c r="AJ392" s="268">
        <v>379.99205606429274</v>
      </c>
      <c r="AK392" s="268">
        <v>386.52882714519052</v>
      </c>
      <c r="AL392" s="268">
        <v>393.91064646059726</v>
      </c>
      <c r="AM392" s="268">
        <v>401.71888280359383</v>
      </c>
      <c r="AN392" s="268">
        <v>408.42066165715079</v>
      </c>
      <c r="AO392" s="268">
        <v>417.46818203480416</v>
      </c>
      <c r="AP392" s="268">
        <v>425.87413560071417</v>
      </c>
      <c r="AQ392" s="268">
        <v>436.571224141644</v>
      </c>
      <c r="AR392" s="268">
        <v>445.9831927299482</v>
      </c>
      <c r="AS392" s="268">
        <v>455.50687966067193</v>
      </c>
      <c r="AT392" s="268">
        <v>465.58580404655839</v>
      </c>
      <c r="AU392" s="268">
        <v>475.76521316281452</v>
      </c>
      <c r="AV392" s="268">
        <v>484.71598192334125</v>
      </c>
      <c r="AW392" s="268">
        <v>494.02880041764917</v>
      </c>
      <c r="AX392" s="268">
        <v>503.65522845790605</v>
      </c>
      <c r="AY392" s="268">
        <v>513.66621993292563</v>
      </c>
      <c r="AZ392" s="268">
        <v>524.03283682295796</v>
      </c>
      <c r="BA392" s="268">
        <v>534.66693995657954</v>
      </c>
      <c r="BB392" s="268">
        <v>545.62011091825127</v>
      </c>
      <c r="BC392" s="268">
        <v>556.84500928722628</v>
      </c>
      <c r="BD392" s="268">
        <v>568.32694991485823</v>
      </c>
      <c r="BE392" s="268">
        <v>580.18548353486176</v>
      </c>
      <c r="BF392" s="268">
        <v>592.24479346009468</v>
      </c>
      <c r="BG392" s="268">
        <v>604.57880862204502</v>
      </c>
      <c r="BH392" s="268">
        <v>617.00750897599596</v>
      </c>
      <c r="BI392" s="268">
        <v>629.6531037752784</v>
      </c>
      <c r="BJ392" s="268">
        <v>642.52405344187628</v>
      </c>
      <c r="BK392" s="268">
        <v>655.59041668286261</v>
      </c>
      <c r="BL392" s="268">
        <v>668.85990208934174</v>
      </c>
      <c r="BM392" s="268">
        <v>682.45762661571598</v>
      </c>
      <c r="BN392" s="268">
        <v>696.37942297375491</v>
      </c>
      <c r="BO392" s="268">
        <v>710.62499523006693</v>
      </c>
      <c r="BP392" s="114"/>
    </row>
    <row r="393" spans="1:68" x14ac:dyDescent="0.3">
      <c r="A393" s="354"/>
      <c r="B393" s="354"/>
      <c r="C393" s="354"/>
      <c r="D393" s="359"/>
      <c r="E393" s="115"/>
      <c r="F393" s="117" t="s">
        <v>418</v>
      </c>
      <c r="G393" s="387"/>
      <c r="H393" s="388"/>
      <c r="I393" s="388"/>
      <c r="J393" s="388"/>
      <c r="K393" s="388"/>
      <c r="L393" s="388"/>
      <c r="M393" s="387"/>
      <c r="N393" s="142">
        <v>0</v>
      </c>
      <c r="O393" s="142">
        <v>107.77264867839591</v>
      </c>
      <c r="P393" s="142">
        <v>121.71801820253535</v>
      </c>
      <c r="Q393" s="142">
        <v>156.70408071033322</v>
      </c>
      <c r="R393" s="142">
        <v>106.5</v>
      </c>
      <c r="S393" s="268">
        <v>110.16768109034368</v>
      </c>
      <c r="T393" s="268">
        <v>113.4083536088482</v>
      </c>
      <c r="U393" s="268">
        <v>116.94076878926435</v>
      </c>
      <c r="V393" s="268">
        <v>119.70334924201941</v>
      </c>
      <c r="W393" s="268">
        <v>122.03748360641775</v>
      </c>
      <c r="X393" s="268">
        <v>125.13835298051319</v>
      </c>
      <c r="Y393" s="268">
        <v>127.83297127561961</v>
      </c>
      <c r="Z393" s="268">
        <v>129.43077703665676</v>
      </c>
      <c r="AA393" s="268">
        <v>131.31058287232028</v>
      </c>
      <c r="AB393" s="268">
        <v>134.05604582850813</v>
      </c>
      <c r="AC393" s="268">
        <v>135.86429018907833</v>
      </c>
      <c r="AD393" s="268">
        <v>138.20079954175341</v>
      </c>
      <c r="AE393" s="268">
        <v>139.8551232490228</v>
      </c>
      <c r="AF393" s="268">
        <v>141.59227033877525</v>
      </c>
      <c r="AG393" s="268">
        <v>143.69505612637732</v>
      </c>
      <c r="AH393" s="268">
        <v>145.59581426942486</v>
      </c>
      <c r="AI393" s="268">
        <v>147.77939445876447</v>
      </c>
      <c r="AJ393" s="268">
        <v>150.49889911062544</v>
      </c>
      <c r="AK393" s="268">
        <v>153.087839683759</v>
      </c>
      <c r="AL393" s="268">
        <v>156.01146838249764</v>
      </c>
      <c r="AM393" s="268">
        <v>159.10398296237543</v>
      </c>
      <c r="AN393" s="268">
        <v>161.75827618626468</v>
      </c>
      <c r="AO393" s="268">
        <v>165.34161913985369</v>
      </c>
      <c r="AP393" s="268">
        <v>168.67086441605085</v>
      </c>
      <c r="AQ393" s="268">
        <v>172.90753206056192</v>
      </c>
      <c r="AR393" s="268">
        <v>176.63521764871513</v>
      </c>
      <c r="AS393" s="268">
        <v>180.40715018170908</v>
      </c>
      <c r="AT393" s="268">
        <v>184.39898895856632</v>
      </c>
      <c r="AU393" s="268">
        <v>188.43062551818431</v>
      </c>
      <c r="AV393" s="268">
        <v>191.97564921843011</v>
      </c>
      <c r="AW393" s="268">
        <v>195.66406561725418</v>
      </c>
      <c r="AX393" s="268">
        <v>199.47668959005952</v>
      </c>
      <c r="AY393" s="268">
        <v>203.44162299314462</v>
      </c>
      <c r="AZ393" s="268">
        <v>207.54740469187442</v>
      </c>
      <c r="BA393" s="268">
        <v>211.75912646104771</v>
      </c>
      <c r="BB393" s="268">
        <v>216.09721760057184</v>
      </c>
      <c r="BC393" s="268">
        <v>220.54292855741764</v>
      </c>
      <c r="BD393" s="268">
        <v>225.09044316077504</v>
      </c>
      <c r="BE393" s="268">
        <v>229.78711043682699</v>
      </c>
      <c r="BF393" s="268">
        <v>234.56329677761283</v>
      </c>
      <c r="BG393" s="268">
        <v>239.44828232892451</v>
      </c>
      <c r="BH393" s="268">
        <v>244.37076870934763</v>
      </c>
      <c r="BI393" s="268">
        <v>249.37915787306491</v>
      </c>
      <c r="BJ393" s="268">
        <v>254.47680063800607</v>
      </c>
      <c r="BK393" s="268">
        <v>259.65183851515388</v>
      </c>
      <c r="BL393" s="268">
        <v>264.90732455379288</v>
      </c>
      <c r="BM393" s="268">
        <v>270.29281232641785</v>
      </c>
      <c r="BN393" s="268">
        <v>275.80665134512799</v>
      </c>
      <c r="BO393" s="268">
        <v>281.44872440313179</v>
      </c>
      <c r="BP393" s="114"/>
    </row>
    <row r="394" spans="1:68" x14ac:dyDescent="0.3">
      <c r="A394" s="354"/>
      <c r="B394" s="354"/>
      <c r="C394" s="354"/>
      <c r="D394" s="359"/>
      <c r="E394" s="115"/>
      <c r="F394" s="117" t="s">
        <v>419</v>
      </c>
      <c r="G394" s="387"/>
      <c r="H394" s="388"/>
      <c r="I394" s="388"/>
      <c r="J394" s="388"/>
      <c r="K394" s="388"/>
      <c r="L394" s="388"/>
      <c r="M394" s="387"/>
      <c r="N394" s="142">
        <v>0</v>
      </c>
      <c r="O394" s="142">
        <v>133.29921508867</v>
      </c>
      <c r="P394" s="142">
        <v>196.93190017375747</v>
      </c>
      <c r="Q394" s="142">
        <v>211.50616730098926</v>
      </c>
      <c r="R394" s="142">
        <v>219.59911059084641</v>
      </c>
      <c r="S394" s="268">
        <v>227.16173505441765</v>
      </c>
      <c r="T394" s="268">
        <v>233.84388343732647</v>
      </c>
      <c r="U394" s="268">
        <v>241.12759453457522</v>
      </c>
      <c r="V394" s="268">
        <v>246.82393453796178</v>
      </c>
      <c r="W394" s="268">
        <v>251.63683435412523</v>
      </c>
      <c r="X394" s="268">
        <v>258.03071375891165</v>
      </c>
      <c r="Y394" s="268">
        <v>263.58691827522335</v>
      </c>
      <c r="Z394" s="268">
        <v>266.88153540217814</v>
      </c>
      <c r="AA394" s="268">
        <v>270.75762638429262</v>
      </c>
      <c r="AB394" s="268">
        <v>276.41867073489328</v>
      </c>
      <c r="AC394" s="268">
        <v>280.14720456881003</v>
      </c>
      <c r="AD394" s="268">
        <v>284.96500152406486</v>
      </c>
      <c r="AE394" s="268">
        <v>288.37615659209968</v>
      </c>
      <c r="AF394" s="268">
        <v>291.95809045008195</v>
      </c>
      <c r="AG394" s="268">
        <v>296.29395794980485</v>
      </c>
      <c r="AH394" s="268">
        <v>300.21325182456121</v>
      </c>
      <c r="AI394" s="268">
        <v>304.71571443003324</v>
      </c>
      <c r="AJ394" s="268">
        <v>310.32323370511625</v>
      </c>
      <c r="AK394" s="268">
        <v>315.66153461809921</v>
      </c>
      <c r="AL394" s="268">
        <v>321.6899502231779</v>
      </c>
      <c r="AM394" s="268">
        <v>328.0666023474069</v>
      </c>
      <c r="AN394" s="268">
        <v>333.5396580395514</v>
      </c>
      <c r="AO394" s="268">
        <v>340.92838034518633</v>
      </c>
      <c r="AP394" s="268">
        <v>347.79316251975604</v>
      </c>
      <c r="AQ394" s="268">
        <v>356.52901647847574</v>
      </c>
      <c r="AR394" s="268">
        <v>364.21536802514959</v>
      </c>
      <c r="AS394" s="268">
        <v>371.9929551561745</v>
      </c>
      <c r="AT394" s="268">
        <v>380.22398093100924</v>
      </c>
      <c r="AU394" s="268">
        <v>388.53706828047075</v>
      </c>
      <c r="AV394" s="268">
        <v>395.84677768514166</v>
      </c>
      <c r="AW394" s="268">
        <v>403.45215759754035</v>
      </c>
      <c r="AX394" s="268">
        <v>411.31364899139379</v>
      </c>
      <c r="AY394" s="268">
        <v>419.489196868102</v>
      </c>
      <c r="AZ394" s="268">
        <v>427.9551687866113</v>
      </c>
      <c r="BA394" s="268">
        <v>436.63958526141471</v>
      </c>
      <c r="BB394" s="268">
        <v>445.58457076283753</v>
      </c>
      <c r="BC394" s="268">
        <v>454.75146439727246</v>
      </c>
      <c r="BD394" s="268">
        <v>464.1282734329173</v>
      </c>
      <c r="BE394" s="268">
        <v>473.81262983256181</v>
      </c>
      <c r="BF394" s="268">
        <v>483.66095163962962</v>
      </c>
      <c r="BG394" s="268">
        <v>493.73361344542468</v>
      </c>
      <c r="BH394" s="268">
        <v>503.88360059130707</v>
      </c>
      <c r="BI394" s="268">
        <v>514.21071613914887</v>
      </c>
      <c r="BJ394" s="268">
        <v>524.72186935314835</v>
      </c>
      <c r="BK394" s="268">
        <v>535.39260846202717</v>
      </c>
      <c r="BL394" s="268">
        <v>546.22922874191204</v>
      </c>
      <c r="BM394" s="268">
        <v>557.33390784957703</v>
      </c>
      <c r="BN394" s="268">
        <v>568.70324253924696</v>
      </c>
      <c r="BO394" s="268">
        <v>580.33699113479827</v>
      </c>
      <c r="BP394" s="114"/>
    </row>
    <row r="395" spans="1:68" x14ac:dyDescent="0.3">
      <c r="A395" s="354"/>
      <c r="B395" s="354"/>
      <c r="C395" s="354"/>
      <c r="D395" s="359"/>
      <c r="E395" s="115"/>
      <c r="F395" s="117" t="s">
        <v>420</v>
      </c>
      <c r="G395" s="387"/>
      <c r="H395" s="388"/>
      <c r="I395" s="388"/>
      <c r="J395" s="388"/>
      <c r="K395" s="388"/>
      <c r="L395" s="388"/>
      <c r="M395" s="387"/>
      <c r="N395" s="269">
        <v>105.71304470928307</v>
      </c>
      <c r="O395" s="269">
        <v>1048.1144799708336</v>
      </c>
      <c r="P395" s="269">
        <v>683.87502065145532</v>
      </c>
      <c r="Q395" s="269">
        <v>503.48773330439957</v>
      </c>
      <c r="R395" s="269">
        <v>496.74178998435787</v>
      </c>
      <c r="S395" s="268">
        <v>513.84874275345737</v>
      </c>
      <c r="T395" s="268">
        <v>528.9640241393264</v>
      </c>
      <c r="U395" s="268">
        <v>545.44006394860185</v>
      </c>
      <c r="V395" s="268">
        <v>558.32540816529058</v>
      </c>
      <c r="W395" s="268">
        <v>569.21237607360263</v>
      </c>
      <c r="X395" s="268">
        <v>583.67558173929126</v>
      </c>
      <c r="Y395" s="268">
        <v>596.24393399502617</v>
      </c>
      <c r="Z395" s="268">
        <v>603.69648698831168</v>
      </c>
      <c r="AA395" s="268">
        <v>612.46435661864541</v>
      </c>
      <c r="AB395" s="268">
        <v>625.26986068618066</v>
      </c>
      <c r="AC395" s="268">
        <v>633.7039502673897</v>
      </c>
      <c r="AD395" s="268">
        <v>644.60199569615031</v>
      </c>
      <c r="AE395" s="268">
        <v>652.31816207701934</v>
      </c>
      <c r="AF395" s="268">
        <v>660.42063677025646</v>
      </c>
      <c r="AG395" s="268">
        <v>670.22853889314024</v>
      </c>
      <c r="AH395" s="268">
        <v>679.09413515891288</v>
      </c>
      <c r="AI395" s="268">
        <v>689.27888193663068</v>
      </c>
      <c r="AJ395" s="268">
        <v>701.96331018673595</v>
      </c>
      <c r="AK395" s="268">
        <v>714.03875595632746</v>
      </c>
      <c r="AL395" s="268">
        <v>727.67526819164266</v>
      </c>
      <c r="AM395" s="268">
        <v>742.09950507390761</v>
      </c>
      <c r="AN395" s="268">
        <v>754.47977143238734</v>
      </c>
      <c r="AO395" s="268">
        <v>771.19335070838395</v>
      </c>
      <c r="AP395" s="268">
        <v>786.72175688486413</v>
      </c>
      <c r="AQ395" s="268">
        <v>806.48260072808705</v>
      </c>
      <c r="AR395" s="268">
        <v>823.86942900562815</v>
      </c>
      <c r="AS395" s="268">
        <v>841.46263574872353</v>
      </c>
      <c r="AT395" s="268">
        <v>860.08153846557821</v>
      </c>
      <c r="AU395" s="268">
        <v>878.88606767863939</v>
      </c>
      <c r="AV395" s="268">
        <v>895.42091667767295</v>
      </c>
      <c r="AW395" s="268">
        <v>912.62458394677651</v>
      </c>
      <c r="AX395" s="268">
        <v>930.40758541896992</v>
      </c>
      <c r="AY395" s="268">
        <v>948.90099495716015</v>
      </c>
      <c r="AZ395" s="268">
        <v>968.05135505398698</v>
      </c>
      <c r="BA395" s="268">
        <v>987.69584529375447</v>
      </c>
      <c r="BB395" s="268">
        <v>1007.9297528783788</v>
      </c>
      <c r="BC395" s="268">
        <v>1028.6656253521503</v>
      </c>
      <c r="BD395" s="268">
        <v>1049.8763346859698</v>
      </c>
      <c r="BE395" s="268">
        <v>1071.7827282039698</v>
      </c>
      <c r="BF395" s="268">
        <v>1094.0600178961838</v>
      </c>
      <c r="BG395" s="268">
        <v>1116.8447734530503</v>
      </c>
      <c r="BH395" s="268">
        <v>1139.8044419580738</v>
      </c>
      <c r="BI395" s="268">
        <v>1163.1647818465542</v>
      </c>
      <c r="BJ395" s="268">
        <v>1186.9414221447485</v>
      </c>
      <c r="BK395" s="268">
        <v>1211.0790519882344</v>
      </c>
      <c r="BL395" s="268">
        <v>1235.5919115382001</v>
      </c>
      <c r="BM395" s="268">
        <v>1260.7111306566283</v>
      </c>
      <c r="BN395" s="268">
        <v>1286.4290110682682</v>
      </c>
      <c r="BO395" s="268">
        <v>1312.745006092262</v>
      </c>
      <c r="BP395" s="114"/>
    </row>
    <row r="396" spans="1:68" x14ac:dyDescent="0.3">
      <c r="A396" s="354"/>
      <c r="B396" s="354"/>
      <c r="C396" s="354"/>
      <c r="D396" s="359"/>
      <c r="E396" s="115"/>
      <c r="F396" s="117" t="s">
        <v>421</v>
      </c>
      <c r="G396" s="387"/>
      <c r="H396" s="388"/>
      <c r="I396" s="388"/>
      <c r="J396" s="388"/>
      <c r="K396" s="388"/>
      <c r="L396" s="388"/>
      <c r="M396" s="387"/>
      <c r="N396" s="269">
        <v>388.76177507084674</v>
      </c>
      <c r="O396" s="269">
        <v>330.0776224697172</v>
      </c>
      <c r="P396" s="269">
        <v>414.51562066941744</v>
      </c>
      <c r="Q396" s="269">
        <v>370.99405287354472</v>
      </c>
      <c r="R396" s="269">
        <v>469.70000000000005</v>
      </c>
      <c r="S396" s="268">
        <v>485.87567894961904</v>
      </c>
      <c r="T396" s="268">
        <v>500.16810976597185</v>
      </c>
      <c r="U396" s="268">
        <v>515.7472215992251</v>
      </c>
      <c r="V396" s="268">
        <v>527.93110928616454</v>
      </c>
      <c r="W396" s="268">
        <v>538.22540891957203</v>
      </c>
      <c r="X396" s="268">
        <v>551.90126192438549</v>
      </c>
      <c r="Y396" s="268">
        <v>563.78541416111307</v>
      </c>
      <c r="Z396" s="268">
        <v>570.83226266777172</v>
      </c>
      <c r="AA396" s="268">
        <v>579.12282417961353</v>
      </c>
      <c r="AB396" s="268">
        <v>591.23121808122323</v>
      </c>
      <c r="AC396" s="268">
        <v>599.20616997004788</v>
      </c>
      <c r="AD396" s="268">
        <v>609.51094408226834</v>
      </c>
      <c r="AE396" s="268">
        <v>616.80705530578416</v>
      </c>
      <c r="AF396" s="268">
        <v>624.4684448650022</v>
      </c>
      <c r="AG396" s="268">
        <v>633.74242124468947</v>
      </c>
      <c r="AH396" s="268">
        <v>642.12538931782967</v>
      </c>
      <c r="AI396" s="268">
        <v>651.7556955613303</v>
      </c>
      <c r="AJ396" s="268">
        <v>663.74960480996037</v>
      </c>
      <c r="AK396" s="268">
        <v>675.16768356301986</v>
      </c>
      <c r="AL396" s="268">
        <v>688.06184694140052</v>
      </c>
      <c r="AM396" s="268">
        <v>701.700852558007</v>
      </c>
      <c r="AN396" s="268">
        <v>713.40715797829603</v>
      </c>
      <c r="AO396" s="268">
        <v>729.21087802806835</v>
      </c>
      <c r="AP396" s="268">
        <v>743.89394381426371</v>
      </c>
      <c r="AQ396" s="268">
        <v>762.57904045864734</v>
      </c>
      <c r="AR396" s="268">
        <v>779.01935896339444</v>
      </c>
      <c r="AS396" s="268">
        <v>795.65482103613874</v>
      </c>
      <c r="AT396" s="268">
        <v>813.26014191397758</v>
      </c>
      <c r="AU396" s="268">
        <v>831.04098409287496</v>
      </c>
      <c r="AV396" s="268">
        <v>846.67570364222195</v>
      </c>
      <c r="AW396" s="268">
        <v>862.94283211666004</v>
      </c>
      <c r="AX396" s="268">
        <v>879.75775681174616</v>
      </c>
      <c r="AY396" s="268">
        <v>897.24441614910836</v>
      </c>
      <c r="AZ396" s="268">
        <v>915.35226275843593</v>
      </c>
      <c r="BA396" s="268">
        <v>933.92733989440501</v>
      </c>
      <c r="BB396" s="268">
        <v>953.05974748346114</v>
      </c>
      <c r="BC396" s="268">
        <v>972.66679383492101</v>
      </c>
      <c r="BD396" s="268">
        <v>992.72282772409449</v>
      </c>
      <c r="BE396" s="268">
        <v>1013.4366739171612</v>
      </c>
      <c r="BF396" s="268">
        <v>1034.5012253187303</v>
      </c>
      <c r="BG396" s="268">
        <v>1056.0456169943275</v>
      </c>
      <c r="BH396" s="268">
        <v>1077.7553996505221</v>
      </c>
      <c r="BI396" s="268">
        <v>1099.8440418120058</v>
      </c>
      <c r="BJ396" s="268">
        <v>1122.3263216870562</v>
      </c>
      <c r="BK396" s="268">
        <v>1145.1499394419511</v>
      </c>
      <c r="BL396" s="268">
        <v>1168.3283600273853</v>
      </c>
      <c r="BM396" s="268">
        <v>1192.0801309832723</v>
      </c>
      <c r="BN396" s="268">
        <v>1216.3979731155553</v>
      </c>
      <c r="BO396" s="268">
        <v>1241.2813695037655</v>
      </c>
      <c r="BP396" s="114"/>
    </row>
    <row r="397" spans="1:68" x14ac:dyDescent="0.3">
      <c r="A397" s="354"/>
      <c r="B397" s="354"/>
      <c r="C397" s="354"/>
      <c r="D397" s="359"/>
      <c r="E397" s="115"/>
      <c r="F397" s="117" t="s">
        <v>422</v>
      </c>
      <c r="G397" s="387"/>
      <c r="H397" s="388"/>
      <c r="I397" s="388"/>
      <c r="J397" s="388"/>
      <c r="K397" s="388"/>
      <c r="L397" s="388"/>
      <c r="M397" s="387"/>
      <c r="N397" s="269">
        <v>1016.4744417270931</v>
      </c>
      <c r="O397" s="269">
        <v>462</v>
      </c>
      <c r="P397" s="269">
        <v>486</v>
      </c>
      <c r="Q397" s="269">
        <v>495.5</v>
      </c>
      <c r="R397" s="269">
        <v>538.70000000000005</v>
      </c>
      <c r="S397" s="268">
        <v>557.25192303632059</v>
      </c>
      <c r="T397" s="268">
        <v>573.64394449846509</v>
      </c>
      <c r="U397" s="268">
        <v>591.51166335001608</v>
      </c>
      <c r="V397" s="268">
        <v>605.48539189367011</v>
      </c>
      <c r="W397" s="268">
        <v>617.29194759415259</v>
      </c>
      <c r="X397" s="268">
        <v>632.97681455964755</v>
      </c>
      <c r="Y397" s="268">
        <v>646.60677583264123</v>
      </c>
      <c r="Z397" s="268">
        <v>654.68882243799999</v>
      </c>
      <c r="AA397" s="268">
        <v>664.1972863222436</v>
      </c>
      <c r="AB397" s="268">
        <v>678.08443087152432</v>
      </c>
      <c r="AC397" s="268">
        <v>687.23092136015498</v>
      </c>
      <c r="AD397" s="268">
        <v>699.04949026424947</v>
      </c>
      <c r="AE397" s="268">
        <v>707.41741684740452</v>
      </c>
      <c r="AF397" s="268">
        <v>716.20428198589889</v>
      </c>
      <c r="AG397" s="268">
        <v>726.84062662234237</v>
      </c>
      <c r="AH397" s="268">
        <v>736.45507180224581</v>
      </c>
      <c r="AI397" s="268">
        <v>747.50009197123404</v>
      </c>
      <c r="AJ397" s="268">
        <v>761.25593381121064</v>
      </c>
      <c r="AK397" s="268">
        <v>774.35135434404685</v>
      </c>
      <c r="AL397" s="268">
        <v>789.13969969625816</v>
      </c>
      <c r="AM397" s="268">
        <v>804.78230630827841</v>
      </c>
      <c r="AN397" s="268">
        <v>818.20829466235477</v>
      </c>
      <c r="AO397" s="268">
        <v>836.33361718910021</v>
      </c>
      <c r="AP397" s="268">
        <v>853.17365878804299</v>
      </c>
      <c r="AQ397" s="268">
        <v>874.6036386950675</v>
      </c>
      <c r="AR397" s="268">
        <v>893.45907744002648</v>
      </c>
      <c r="AS397" s="268">
        <v>912.53832678766821</v>
      </c>
      <c r="AT397" s="268">
        <v>932.72990940825969</v>
      </c>
      <c r="AU397" s="268">
        <v>953.12279780888139</v>
      </c>
      <c r="AV397" s="268">
        <v>971.05429327669742</v>
      </c>
      <c r="AW397" s="268">
        <v>989.71109998135955</v>
      </c>
      <c r="AX397" s="268">
        <v>1008.9961754193899</v>
      </c>
      <c r="AY397" s="268">
        <v>1029.0516648488917</v>
      </c>
      <c r="AZ397" s="268">
        <v>1049.8195953757063</v>
      </c>
      <c r="BA397" s="268">
        <v>1071.1233936579004</v>
      </c>
      <c r="BB397" s="268">
        <v>1093.0663955063665</v>
      </c>
      <c r="BC397" s="268">
        <v>1115.5537616326842</v>
      </c>
      <c r="BD397" s="268">
        <v>1138.5560725888217</v>
      </c>
      <c r="BE397" s="268">
        <v>1162.3128299748234</v>
      </c>
      <c r="BF397" s="268">
        <v>1186.4718119633806</v>
      </c>
      <c r="BG397" s="268">
        <v>1211.1811238553205</v>
      </c>
      <c r="BH397" s="268">
        <v>1236.0801230396767</v>
      </c>
      <c r="BI397" s="268">
        <v>1261.4136370537094</v>
      </c>
      <c r="BJ397" s="268">
        <v>1287.1986150581583</v>
      </c>
      <c r="BK397" s="268">
        <v>1313.3750742545858</v>
      </c>
      <c r="BL397" s="268">
        <v>1339.958457625617</v>
      </c>
      <c r="BM397" s="268">
        <v>1367.1994178426412</v>
      </c>
      <c r="BN397" s="268">
        <v>1395.0896063814125</v>
      </c>
      <c r="BO397" s="268">
        <v>1423.6284303846676</v>
      </c>
      <c r="BP397" s="114"/>
    </row>
    <row r="398" spans="1:68" x14ac:dyDescent="0.3">
      <c r="A398" s="354"/>
      <c r="B398" s="354"/>
      <c r="C398" s="354"/>
      <c r="D398" s="359"/>
      <c r="E398" s="115"/>
      <c r="F398" s="117" t="s">
        <v>423</v>
      </c>
      <c r="G398" s="387"/>
      <c r="H398" s="388"/>
      <c r="I398" s="388"/>
      <c r="J398" s="388"/>
      <c r="K398" s="388"/>
      <c r="L398" s="388"/>
      <c r="M398" s="387"/>
      <c r="N398" s="269">
        <v>185.67</v>
      </c>
      <c r="O398" s="269">
        <v>1244.0659714179023</v>
      </c>
      <c r="P398" s="269">
        <v>618.36073373563374</v>
      </c>
      <c r="Q398" s="269">
        <v>607.660123075569</v>
      </c>
      <c r="R398" s="269">
        <v>584.38572887216105</v>
      </c>
      <c r="S398" s="268">
        <v>604.5109916632515</v>
      </c>
      <c r="T398" s="268">
        <v>622.29317731360118</v>
      </c>
      <c r="U398" s="268">
        <v>641.67621036417938</v>
      </c>
      <c r="V398" s="268">
        <v>656.835014039778</v>
      </c>
      <c r="W398" s="268">
        <v>669.64285264845864</v>
      </c>
      <c r="X398" s="268">
        <v>686.65791189088236</v>
      </c>
      <c r="Y398" s="268">
        <v>701.44379429856338</v>
      </c>
      <c r="Z398" s="268">
        <v>710.21125800053358</v>
      </c>
      <c r="AA398" s="268">
        <v>720.52610967576709</v>
      </c>
      <c r="AB398" s="268">
        <v>735.59098639636204</v>
      </c>
      <c r="AC398" s="268">
        <v>745.51316666519574</v>
      </c>
      <c r="AD398" s="268">
        <v>758.33403728566191</v>
      </c>
      <c r="AE398" s="268">
        <v>767.41162569376627</v>
      </c>
      <c r="AF398" s="268">
        <v>776.94368173323232</v>
      </c>
      <c r="AG398" s="268">
        <v>788.48206675811355</v>
      </c>
      <c r="AH398" s="268">
        <v>798.91188772369605</v>
      </c>
      <c r="AI398" s="268">
        <v>810.89360697719883</v>
      </c>
      <c r="AJ398" s="268">
        <v>825.81604555136801</v>
      </c>
      <c r="AK398" s="268">
        <v>840.02205422589725</v>
      </c>
      <c r="AL398" s="268">
        <v>856.06456021710801</v>
      </c>
      <c r="AM398" s="268">
        <v>873.0337751167292</v>
      </c>
      <c r="AN398" s="268">
        <v>887.59838619919833</v>
      </c>
      <c r="AO398" s="268">
        <v>907.26086961452256</v>
      </c>
      <c r="AP398" s="268">
        <v>925.52907081005935</v>
      </c>
      <c r="AQ398" s="268">
        <v>948.77647089857305</v>
      </c>
      <c r="AR398" s="268">
        <v>969.23098976654649</v>
      </c>
      <c r="AS398" s="268">
        <v>989.92830002523465</v>
      </c>
      <c r="AT398" s="268">
        <v>1011.8322776135338</v>
      </c>
      <c r="AU398" s="268">
        <v>1033.9546331951301</v>
      </c>
      <c r="AV398" s="268">
        <v>1053.4068515889069</v>
      </c>
      <c r="AW398" s="268">
        <v>1073.6458929561447</v>
      </c>
      <c r="AX398" s="268">
        <v>1094.5664848741103</v>
      </c>
      <c r="AY398" s="268">
        <v>1116.322827566049</v>
      </c>
      <c r="AZ398" s="268">
        <v>1138.852031609262</v>
      </c>
      <c r="BA398" s="268">
        <v>1161.9625489415164</v>
      </c>
      <c r="BB398" s="268">
        <v>1185.7664790117949</v>
      </c>
      <c r="BC398" s="268">
        <v>1210.1609394612906</v>
      </c>
      <c r="BD398" s="268">
        <v>1235.1140158560306</v>
      </c>
      <c r="BE398" s="268">
        <v>1260.8855212962715</v>
      </c>
      <c r="BF398" s="268">
        <v>1287.093362948754</v>
      </c>
      <c r="BG398" s="268">
        <v>1313.8982065349817</v>
      </c>
      <c r="BH398" s="268">
        <v>1340.9088242935436</v>
      </c>
      <c r="BI398" s="268">
        <v>1368.3908069406268</v>
      </c>
      <c r="BJ398" s="268">
        <v>1396.3625410506741</v>
      </c>
      <c r="BK398" s="268">
        <v>1424.7589568420174</v>
      </c>
      <c r="BL398" s="268">
        <v>1453.5968069759847</v>
      </c>
      <c r="BM398" s="268">
        <v>1483.1480013171824</v>
      </c>
      <c r="BN398" s="268">
        <v>1513.4034833250009</v>
      </c>
      <c r="BO398" s="268">
        <v>1544.3626098635132</v>
      </c>
      <c r="BP398" s="114"/>
    </row>
    <row r="399" spans="1:68" x14ac:dyDescent="0.3">
      <c r="A399" s="354"/>
      <c r="B399" s="354"/>
      <c r="C399" s="354"/>
      <c r="D399" s="359"/>
      <c r="E399" s="115"/>
      <c r="F399" s="117" t="s">
        <v>424</v>
      </c>
      <c r="G399" s="387"/>
      <c r="H399" s="388"/>
      <c r="I399" s="388"/>
      <c r="J399" s="388"/>
      <c r="K399" s="388"/>
      <c r="L399" s="388"/>
      <c r="M399" s="387"/>
      <c r="N399" s="269">
        <v>483.70721151232755</v>
      </c>
      <c r="O399" s="269">
        <v>901.23942272500881</v>
      </c>
      <c r="P399" s="269">
        <v>955.62587592882051</v>
      </c>
      <c r="Q399" s="269">
        <v>618.24892948451316</v>
      </c>
      <c r="R399" s="269">
        <v>816.25433898912627</v>
      </c>
      <c r="S399" s="268">
        <v>844.36476719589984</v>
      </c>
      <c r="T399" s="268">
        <v>869.20244798906538</v>
      </c>
      <c r="U399" s="268">
        <v>896.27614956771083</v>
      </c>
      <c r="V399" s="268">
        <v>917.44956066036684</v>
      </c>
      <c r="W399" s="268">
        <v>935.33920669533188</v>
      </c>
      <c r="X399" s="268">
        <v>959.10538586194127</v>
      </c>
      <c r="Y399" s="268">
        <v>979.7579105126465</v>
      </c>
      <c r="Z399" s="268">
        <v>992.00406906014314</v>
      </c>
      <c r="AA399" s="268">
        <v>1006.4115776969265</v>
      </c>
      <c r="AB399" s="268">
        <v>1027.4537941337551</v>
      </c>
      <c r="AC399" s="268">
        <v>1041.3128298639715</v>
      </c>
      <c r="AD399" s="268">
        <v>1059.2206786640627</v>
      </c>
      <c r="AE399" s="268">
        <v>1071.9000110974073</v>
      </c>
      <c r="AF399" s="268">
        <v>1085.2141317497337</v>
      </c>
      <c r="AG399" s="268">
        <v>1101.3306390088403</v>
      </c>
      <c r="AH399" s="268">
        <v>1115.8987336720468</v>
      </c>
      <c r="AI399" s="268">
        <v>1132.6344783112877</v>
      </c>
      <c r="AJ399" s="268">
        <v>1153.477740959012</v>
      </c>
      <c r="AK399" s="268">
        <v>1173.3203135055403</v>
      </c>
      <c r="AL399" s="268">
        <v>1195.7280563312543</v>
      </c>
      <c r="AM399" s="268">
        <v>1219.430201347333</v>
      </c>
      <c r="AN399" s="268">
        <v>1239.7736601355869</v>
      </c>
      <c r="AO399" s="268">
        <v>1267.2376905013439</v>
      </c>
      <c r="AP399" s="268">
        <v>1292.7542247948179</v>
      </c>
      <c r="AQ399" s="268">
        <v>1325.2255707824893</v>
      </c>
      <c r="AR399" s="268">
        <v>1353.795895061525</v>
      </c>
      <c r="AS399" s="268">
        <v>1382.7053438543003</v>
      </c>
      <c r="AT399" s="268">
        <v>1413.3002332642041</v>
      </c>
      <c r="AU399" s="268">
        <v>1444.2001472080103</v>
      </c>
      <c r="AV399" s="268">
        <v>1471.3704850215777</v>
      </c>
      <c r="AW399" s="268">
        <v>1499.6398360970593</v>
      </c>
      <c r="AX399" s="268">
        <v>1528.8611587330811</v>
      </c>
      <c r="AY399" s="268">
        <v>1559.2498356727162</v>
      </c>
      <c r="AZ399" s="268">
        <v>1590.7180246542218</v>
      </c>
      <c r="BA399" s="268">
        <v>1622.9981764730262</v>
      </c>
      <c r="BB399" s="268">
        <v>1656.2468686379732</v>
      </c>
      <c r="BC399" s="268">
        <v>1690.3203978249862</v>
      </c>
      <c r="BD399" s="268">
        <v>1725.1741868072106</v>
      </c>
      <c r="BE399" s="268">
        <v>1761.1711355665125</v>
      </c>
      <c r="BF399" s="268">
        <v>1797.7775470640433</v>
      </c>
      <c r="BG399" s="268">
        <v>1835.2178348777272</v>
      </c>
      <c r="BH399" s="268">
        <v>1872.9455425456638</v>
      </c>
      <c r="BI399" s="268">
        <v>1911.3316400689534</v>
      </c>
      <c r="BJ399" s="268">
        <v>1950.4018093224722</v>
      </c>
      <c r="BK399" s="268">
        <v>1990.0651625774483</v>
      </c>
      <c r="BL399" s="268">
        <v>2030.3450995026678</v>
      </c>
      <c r="BM399" s="268">
        <v>2071.6214165165461</v>
      </c>
      <c r="BN399" s="268">
        <v>2113.8814636856509</v>
      </c>
      <c r="BO399" s="268">
        <v>2157.12434269494</v>
      </c>
      <c r="BP399" s="114"/>
    </row>
    <row r="400" spans="1:68" x14ac:dyDescent="0.3">
      <c r="A400" s="354"/>
      <c r="B400" s="354"/>
      <c r="C400" s="354"/>
      <c r="D400" s="359"/>
      <c r="E400" s="115"/>
      <c r="F400" s="117" t="s">
        <v>425</v>
      </c>
      <c r="G400" s="387"/>
      <c r="H400" s="387"/>
      <c r="I400" s="387"/>
      <c r="J400" s="387"/>
      <c r="K400" s="387"/>
      <c r="L400" s="387"/>
      <c r="M400" s="387"/>
      <c r="N400" s="142">
        <v>0</v>
      </c>
      <c r="O400" s="142">
        <v>0</v>
      </c>
      <c r="P400" s="142">
        <v>129</v>
      </c>
      <c r="Q400" s="142">
        <v>0</v>
      </c>
      <c r="R400" s="142">
        <v>0</v>
      </c>
      <c r="S400" s="268">
        <v>0</v>
      </c>
      <c r="T400" s="268">
        <v>0</v>
      </c>
      <c r="U400" s="268">
        <v>0</v>
      </c>
      <c r="V400" s="268">
        <v>0</v>
      </c>
      <c r="W400" s="268">
        <v>0</v>
      </c>
      <c r="X400" s="268">
        <v>0</v>
      </c>
      <c r="Y400" s="268">
        <v>0</v>
      </c>
      <c r="Z400" s="268">
        <v>0</v>
      </c>
      <c r="AA400" s="268">
        <v>0</v>
      </c>
      <c r="AB400" s="268">
        <v>0</v>
      </c>
      <c r="AC400" s="268">
        <v>0</v>
      </c>
      <c r="AD400" s="268">
        <v>0</v>
      </c>
      <c r="AE400" s="268">
        <v>0</v>
      </c>
      <c r="AF400" s="268">
        <v>0</v>
      </c>
      <c r="AG400" s="268">
        <v>0</v>
      </c>
      <c r="AH400" s="268">
        <v>0</v>
      </c>
      <c r="AI400" s="268">
        <v>0</v>
      </c>
      <c r="AJ400" s="268">
        <v>0</v>
      </c>
      <c r="AK400" s="268">
        <v>0</v>
      </c>
      <c r="AL400" s="268">
        <v>0</v>
      </c>
      <c r="AM400" s="268">
        <v>0</v>
      </c>
      <c r="AN400" s="268">
        <v>0</v>
      </c>
      <c r="AO400" s="268">
        <v>0</v>
      </c>
      <c r="AP400" s="268">
        <v>0</v>
      </c>
      <c r="AQ400" s="268">
        <v>0</v>
      </c>
      <c r="AR400" s="268">
        <v>0</v>
      </c>
      <c r="AS400" s="268">
        <v>0</v>
      </c>
      <c r="AT400" s="268">
        <v>0</v>
      </c>
      <c r="AU400" s="268">
        <v>0</v>
      </c>
      <c r="AV400" s="268">
        <v>0</v>
      </c>
      <c r="AW400" s="268">
        <v>0</v>
      </c>
      <c r="AX400" s="268">
        <v>0</v>
      </c>
      <c r="AY400" s="268">
        <v>0</v>
      </c>
      <c r="AZ400" s="268">
        <v>0</v>
      </c>
      <c r="BA400" s="268">
        <v>0</v>
      </c>
      <c r="BB400" s="268">
        <v>0</v>
      </c>
      <c r="BC400" s="268">
        <v>0</v>
      </c>
      <c r="BD400" s="268">
        <v>0</v>
      </c>
      <c r="BE400" s="268">
        <v>0</v>
      </c>
      <c r="BF400" s="268">
        <v>0</v>
      </c>
      <c r="BG400" s="268">
        <v>0</v>
      </c>
      <c r="BH400" s="268">
        <v>0</v>
      </c>
      <c r="BI400" s="268">
        <v>0</v>
      </c>
      <c r="BJ400" s="268">
        <v>0</v>
      </c>
      <c r="BK400" s="268">
        <v>0</v>
      </c>
      <c r="BL400" s="268">
        <v>0</v>
      </c>
      <c r="BM400" s="268">
        <v>0</v>
      </c>
      <c r="BN400" s="268">
        <v>0</v>
      </c>
      <c r="BO400" s="268">
        <v>0</v>
      </c>
      <c r="BP400" s="114"/>
    </row>
    <row r="401" spans="1:68" x14ac:dyDescent="0.3">
      <c r="A401" s="354"/>
      <c r="B401" s="354"/>
      <c r="C401" s="354"/>
      <c r="D401" s="359"/>
      <c r="E401" s="129"/>
      <c r="F401" s="111" t="s">
        <v>666</v>
      </c>
      <c r="G401" s="267"/>
      <c r="H401" s="267"/>
      <c r="I401" s="267"/>
      <c r="J401" s="267"/>
      <c r="K401" s="267"/>
      <c r="L401" s="267"/>
      <c r="M401" s="267"/>
      <c r="N401" s="270">
        <f t="shared" ref="N401:AU401" si="252">SUM(N386:N400)</f>
        <v>4528.7795556485817</v>
      </c>
      <c r="O401" s="270">
        <f t="shared" si="252"/>
        <v>6578.8387082587988</v>
      </c>
      <c r="P401" s="270">
        <f t="shared" si="252"/>
        <v>6064.4133499085219</v>
      </c>
      <c r="Q401" s="270">
        <f t="shared" si="252"/>
        <v>5501.7685575144551</v>
      </c>
      <c r="R401" s="271">
        <f t="shared" si="252"/>
        <v>6016.8180521457698</v>
      </c>
      <c r="S401" s="271">
        <f t="shared" si="252"/>
        <v>6224.0271581917177</v>
      </c>
      <c r="T401" s="271">
        <f t="shared" si="252"/>
        <v>6407.1120118107856</v>
      </c>
      <c r="U401" s="271">
        <f t="shared" si="252"/>
        <v>6606.6791425638521</v>
      </c>
      <c r="V401" s="271">
        <f t="shared" si="252"/>
        <v>6762.7537335370143</v>
      </c>
      <c r="W401" s="271">
        <f t="shared" si="252"/>
        <v>6894.622858230402</v>
      </c>
      <c r="X401" s="271">
        <f t="shared" si="252"/>
        <v>7069.8094012107149</v>
      </c>
      <c r="Y401" s="271">
        <f t="shared" si="252"/>
        <v>7222.0444059209385</v>
      </c>
      <c r="Z401" s="271">
        <f t="shared" si="252"/>
        <v>7312.3139509616012</v>
      </c>
      <c r="AA401" s="271">
        <f t="shared" si="252"/>
        <v>7418.5153564691054</v>
      </c>
      <c r="AB401" s="271">
        <f t="shared" si="252"/>
        <v>7573.6228783121915</v>
      </c>
      <c r="AC401" s="271">
        <f t="shared" si="252"/>
        <v>7675.7813507194169</v>
      </c>
      <c r="AD401" s="271">
        <f t="shared" si="252"/>
        <v>7807.7846526178473</v>
      </c>
      <c r="AE401" s="271">
        <f t="shared" si="252"/>
        <v>7901.2472323924121</v>
      </c>
      <c r="AF401" s="271">
        <f t="shared" si="252"/>
        <v>7999.3889973581872</v>
      </c>
      <c r="AG401" s="271">
        <f t="shared" si="252"/>
        <v>8118.1878657773395</v>
      </c>
      <c r="AH401" s="271">
        <f t="shared" si="252"/>
        <v>8225.5729916726596</v>
      </c>
      <c r="AI401" s="271">
        <f t="shared" si="252"/>
        <v>8348.9364161001376</v>
      </c>
      <c r="AJ401" s="271">
        <f t="shared" si="252"/>
        <v>8502.5773990317011</v>
      </c>
      <c r="AK401" s="271">
        <f t="shared" si="252"/>
        <v>8648.8420410632752</v>
      </c>
      <c r="AL401" s="271">
        <f t="shared" si="252"/>
        <v>8814.0152047472384</v>
      </c>
      <c r="AM401" s="271">
        <f t="shared" si="252"/>
        <v>8988.729735740033</v>
      </c>
      <c r="AN401" s="271">
        <f t="shared" si="252"/>
        <v>9138.6865374788613</v>
      </c>
      <c r="AO401" s="271">
        <f t="shared" si="252"/>
        <v>9341.1308808608665</v>
      </c>
      <c r="AP401" s="271">
        <f t="shared" si="252"/>
        <v>9529.2197360518912</v>
      </c>
      <c r="AQ401" s="271">
        <f t="shared" si="252"/>
        <v>9768.574274685092</v>
      </c>
      <c r="AR401" s="271">
        <f t="shared" si="252"/>
        <v>9979.1733914881352</v>
      </c>
      <c r="AS401" s="271">
        <f t="shared" si="252"/>
        <v>10192.272281215777</v>
      </c>
      <c r="AT401" s="271">
        <f t="shared" si="252"/>
        <v>10417.79498181531</v>
      </c>
      <c r="AU401" s="271">
        <f t="shared" si="252"/>
        <v>10645.566095727048</v>
      </c>
      <c r="AV401" s="271">
        <f t="shared" ref="AV401:BO401" si="253">SUM(AV386:AV400)</f>
        <v>10845.845556712246</v>
      </c>
      <c r="AW401" s="271">
        <f t="shared" si="253"/>
        <v>11054.226123588069</v>
      </c>
      <c r="AX401" s="271">
        <f t="shared" si="253"/>
        <v>11269.623914626743</v>
      </c>
      <c r="AY401" s="271">
        <f t="shared" si="253"/>
        <v>11493.626570732267</v>
      </c>
      <c r="AZ401" s="271">
        <f t="shared" si="253"/>
        <v>11725.58658428238</v>
      </c>
      <c r="BA401" s="271">
        <f t="shared" si="253"/>
        <v>11963.531782135689</v>
      </c>
      <c r="BB401" s="271">
        <f t="shared" si="253"/>
        <v>12208.616336878807</v>
      </c>
      <c r="BC401" s="271">
        <f t="shared" si="253"/>
        <v>12459.780974810941</v>
      </c>
      <c r="BD401" s="271">
        <f t="shared" si="253"/>
        <v>12716.697105870824</v>
      </c>
      <c r="BE401" s="271">
        <f t="shared" si="253"/>
        <v>12982.03975799732</v>
      </c>
      <c r="BF401" s="271">
        <f t="shared" si="253"/>
        <v>13251.874914764005</v>
      </c>
      <c r="BG401" s="271">
        <f t="shared" si="253"/>
        <v>13527.856785652299</v>
      </c>
      <c r="BH401" s="271">
        <f t="shared" si="253"/>
        <v>13805.957301287715</v>
      </c>
      <c r="BI401" s="271">
        <f t="shared" si="253"/>
        <v>14088.910975770581</v>
      </c>
      <c r="BJ401" s="271">
        <f t="shared" si="253"/>
        <v>14376.907116723523</v>
      </c>
      <c r="BK401" s="271">
        <f t="shared" si="253"/>
        <v>14669.275767613297</v>
      </c>
      <c r="BL401" s="271">
        <f t="shared" si="253"/>
        <v>14966.189413341777</v>
      </c>
      <c r="BM401" s="271">
        <f t="shared" si="253"/>
        <v>15270.447629773142</v>
      </c>
      <c r="BN401" s="271">
        <f t="shared" si="253"/>
        <v>15581.957171035123</v>
      </c>
      <c r="BO401" s="271">
        <f t="shared" si="253"/>
        <v>15900.711415419373</v>
      </c>
      <c r="BP401" s="132"/>
    </row>
    <row r="402" spans="1:68" x14ac:dyDescent="0.3">
      <c r="A402" s="354"/>
      <c r="B402" s="354"/>
      <c r="C402" s="354"/>
      <c r="D402" s="359"/>
      <c r="E402" s="265"/>
      <c r="F402" s="133"/>
      <c r="G402" s="134"/>
      <c r="H402" s="134"/>
      <c r="I402" s="134"/>
      <c r="J402" s="134"/>
      <c r="K402" s="134"/>
      <c r="L402" s="134"/>
      <c r="M402" s="134"/>
      <c r="N402" s="134"/>
      <c r="O402" s="134"/>
      <c r="P402" s="134"/>
      <c r="Q402" s="134"/>
      <c r="R402" s="134"/>
      <c r="S402" s="133"/>
      <c r="T402" s="133"/>
      <c r="U402" s="133"/>
      <c r="V402" s="133"/>
      <c r="W402" s="133"/>
      <c r="X402" s="133"/>
      <c r="Y402" s="133"/>
      <c r="Z402" s="133"/>
      <c r="AA402" s="133"/>
      <c r="AB402" s="133"/>
      <c r="AC402" s="133"/>
      <c r="AD402" s="133"/>
      <c r="AE402" s="133"/>
      <c r="AF402" s="133"/>
      <c r="AG402" s="133"/>
      <c r="AH402" s="133"/>
      <c r="AI402" s="133"/>
      <c r="AJ402" s="133"/>
      <c r="AK402" s="133"/>
      <c r="AL402" s="133"/>
      <c r="AM402" s="133"/>
      <c r="AN402" s="133"/>
      <c r="AO402" s="133"/>
      <c r="AP402" s="133"/>
      <c r="AQ402" s="133"/>
      <c r="AR402" s="133"/>
      <c r="AS402" s="133"/>
      <c r="AT402" s="133"/>
      <c r="AU402" s="133"/>
      <c r="AV402" s="133"/>
      <c r="AW402" s="133"/>
      <c r="AX402" s="133"/>
      <c r="AY402" s="133"/>
      <c r="AZ402" s="133"/>
      <c r="BA402" s="133"/>
      <c r="BB402" s="133"/>
      <c r="BC402" s="133"/>
      <c r="BD402" s="133"/>
      <c r="BE402" s="133"/>
      <c r="BF402" s="133"/>
      <c r="BG402" s="133"/>
      <c r="BH402" s="133"/>
      <c r="BI402" s="133"/>
      <c r="BJ402" s="133"/>
      <c r="BK402" s="133"/>
      <c r="BL402" s="133"/>
      <c r="BM402" s="133"/>
      <c r="BN402" s="133"/>
      <c r="BO402" s="133"/>
      <c r="BP402" s="114"/>
    </row>
    <row r="403" spans="1:68" ht="15.6" x14ac:dyDescent="0.3">
      <c r="A403" s="354"/>
      <c r="B403" s="354"/>
      <c r="C403" s="354"/>
      <c r="D403" s="359"/>
      <c r="E403" s="115"/>
      <c r="F403" s="110" t="s">
        <v>667</v>
      </c>
      <c r="G403" s="112"/>
      <c r="H403" s="112"/>
      <c r="I403" s="112"/>
      <c r="J403" s="112"/>
      <c r="K403" s="112"/>
      <c r="L403" s="112"/>
      <c r="M403" s="113"/>
      <c r="N403" s="113"/>
      <c r="O403" s="113"/>
      <c r="P403" s="113"/>
      <c r="Q403" s="113"/>
      <c r="R403" s="113"/>
      <c r="S403" s="117"/>
      <c r="T403" s="117"/>
      <c r="U403" s="117"/>
      <c r="V403" s="117"/>
      <c r="W403" s="117"/>
      <c r="X403" s="117"/>
      <c r="Y403" s="117"/>
      <c r="Z403" s="117"/>
      <c r="AA403" s="117"/>
      <c r="AB403" s="117"/>
      <c r="AC403" s="117"/>
      <c r="AD403" s="117"/>
      <c r="AE403" s="117"/>
      <c r="AF403" s="117"/>
      <c r="AG403" s="117"/>
      <c r="AH403" s="117"/>
      <c r="AI403" s="117"/>
      <c r="AJ403" s="117"/>
      <c r="AK403" s="117"/>
      <c r="AL403" s="117"/>
      <c r="AM403" s="117"/>
      <c r="AN403" s="117"/>
      <c r="AO403" s="117"/>
      <c r="AP403" s="117"/>
      <c r="AQ403" s="117"/>
      <c r="AR403" s="117"/>
      <c r="AS403" s="117"/>
      <c r="AT403" s="117"/>
      <c r="AU403" s="117"/>
      <c r="AV403" s="117"/>
      <c r="AW403" s="117"/>
      <c r="AX403" s="117"/>
      <c r="AY403" s="117"/>
      <c r="AZ403" s="117"/>
      <c r="BA403" s="117"/>
      <c r="BB403" s="117"/>
      <c r="BC403" s="117"/>
      <c r="BD403" s="117"/>
      <c r="BE403" s="117"/>
      <c r="BF403" s="117"/>
      <c r="BG403" s="117"/>
      <c r="BH403" s="117"/>
      <c r="BI403" s="117"/>
      <c r="BJ403" s="117"/>
      <c r="BK403" s="117"/>
      <c r="BL403" s="117"/>
      <c r="BM403" s="117"/>
      <c r="BN403" s="117"/>
      <c r="BO403" s="117"/>
      <c r="BP403" s="114"/>
    </row>
    <row r="404" spans="1:68" ht="15.6" x14ac:dyDescent="0.3">
      <c r="A404" s="354"/>
      <c r="B404" s="354"/>
      <c r="C404" s="354"/>
      <c r="D404" s="359"/>
      <c r="E404" s="115"/>
      <c r="F404" s="116" t="s">
        <v>668</v>
      </c>
      <c r="G404" s="112"/>
      <c r="H404" s="112"/>
      <c r="I404" s="112"/>
      <c r="J404" s="112"/>
      <c r="K404" s="112"/>
      <c r="L404" s="112"/>
      <c r="M404" s="113"/>
      <c r="N404" s="113"/>
      <c r="O404" s="113"/>
      <c r="P404" s="113"/>
      <c r="Q404" s="113"/>
      <c r="R404" s="113"/>
      <c r="S404" s="117"/>
      <c r="T404" s="117"/>
      <c r="U404" s="117"/>
      <c r="V404" s="117"/>
      <c r="W404" s="117"/>
      <c r="X404" s="117"/>
      <c r="Y404" s="117"/>
      <c r="Z404" s="117"/>
      <c r="AA404" s="117"/>
      <c r="AB404" s="117"/>
      <c r="AC404" s="117"/>
      <c r="AD404" s="117"/>
      <c r="AE404" s="117"/>
      <c r="AF404" s="117"/>
      <c r="AG404" s="117"/>
      <c r="AH404" s="117"/>
      <c r="AI404" s="117"/>
      <c r="AJ404" s="117"/>
      <c r="AK404" s="117"/>
      <c r="AL404" s="117"/>
      <c r="AM404" s="117"/>
      <c r="AN404" s="117"/>
      <c r="AO404" s="117"/>
      <c r="AP404" s="117"/>
      <c r="AQ404" s="117"/>
      <c r="AR404" s="117"/>
      <c r="AS404" s="117"/>
      <c r="AT404" s="117"/>
      <c r="AU404" s="117"/>
      <c r="AV404" s="117"/>
      <c r="AW404" s="117"/>
      <c r="AX404" s="117"/>
      <c r="AY404" s="117"/>
      <c r="AZ404" s="117"/>
      <c r="BA404" s="117"/>
      <c r="BB404" s="117"/>
      <c r="BC404" s="117"/>
      <c r="BD404" s="117"/>
      <c r="BE404" s="117"/>
      <c r="BF404" s="117"/>
      <c r="BG404" s="117"/>
      <c r="BH404" s="117"/>
      <c r="BI404" s="117"/>
      <c r="BJ404" s="117"/>
      <c r="BK404" s="117"/>
      <c r="BL404" s="117"/>
      <c r="BM404" s="117"/>
      <c r="BN404" s="117"/>
      <c r="BO404" s="117"/>
      <c r="BP404" s="114"/>
    </row>
    <row r="405" spans="1:68" x14ac:dyDescent="0.3">
      <c r="A405" s="354"/>
      <c r="B405" s="354"/>
      <c r="C405" s="354"/>
      <c r="D405" s="359"/>
      <c r="E405" s="115"/>
      <c r="F405" s="117" t="s">
        <v>669</v>
      </c>
      <c r="G405" s="392" t="s">
        <v>665</v>
      </c>
      <c r="H405" s="387"/>
      <c r="I405" s="387"/>
      <c r="J405" s="387"/>
      <c r="K405" s="387"/>
      <c r="L405" s="387"/>
      <c r="M405" s="387"/>
      <c r="N405" s="142">
        <v>188.51506308789868</v>
      </c>
      <c r="O405" s="142">
        <v>145.28096183790507</v>
      </c>
      <c r="P405" s="142">
        <v>122.23089736940734</v>
      </c>
      <c r="Q405" s="142">
        <v>133.15344674625547</v>
      </c>
      <c r="R405" s="142">
        <v>177.5</v>
      </c>
      <c r="S405" s="272"/>
      <c r="T405" s="272"/>
      <c r="U405" s="272"/>
      <c r="V405" s="272"/>
      <c r="W405" s="272"/>
      <c r="X405" s="272"/>
      <c r="Y405" s="272"/>
      <c r="Z405" s="272"/>
      <c r="AA405" s="272"/>
      <c r="AB405" s="272"/>
      <c r="AC405" s="272"/>
      <c r="AD405" s="272"/>
      <c r="AE405" s="272"/>
      <c r="AF405" s="272"/>
      <c r="AG405" s="272"/>
      <c r="AH405" s="272"/>
      <c r="AI405" s="272"/>
      <c r="AJ405" s="272"/>
      <c r="AK405" s="272"/>
      <c r="AL405" s="272"/>
      <c r="AM405" s="272"/>
      <c r="AN405" s="272"/>
      <c r="AO405" s="272"/>
      <c r="AP405" s="272"/>
      <c r="AQ405" s="272"/>
      <c r="AR405" s="272"/>
      <c r="AS405" s="272"/>
      <c r="AT405" s="272"/>
      <c r="AU405" s="272"/>
      <c r="AV405" s="272"/>
      <c r="AW405" s="272"/>
      <c r="AX405" s="272"/>
      <c r="AY405" s="272"/>
      <c r="AZ405" s="272"/>
      <c r="BA405" s="272"/>
      <c r="BB405" s="272"/>
      <c r="BC405" s="272"/>
      <c r="BD405" s="272"/>
      <c r="BE405" s="272"/>
      <c r="BF405" s="272"/>
      <c r="BG405" s="272"/>
      <c r="BH405" s="272"/>
      <c r="BI405" s="272"/>
      <c r="BJ405" s="272"/>
      <c r="BK405" s="272"/>
      <c r="BL405" s="272"/>
      <c r="BM405" s="272"/>
      <c r="BN405" s="272"/>
      <c r="BO405" s="272"/>
      <c r="BP405" s="114"/>
    </row>
    <row r="406" spans="1:68" x14ac:dyDescent="0.3">
      <c r="A406" s="354"/>
      <c r="B406" s="354"/>
      <c r="C406" s="354"/>
      <c r="D406" s="359"/>
      <c r="E406" s="115"/>
      <c r="F406" s="117" t="s">
        <v>412</v>
      </c>
      <c r="G406" s="387"/>
      <c r="H406" s="388"/>
      <c r="I406" s="388"/>
      <c r="J406" s="388"/>
      <c r="K406" s="388"/>
      <c r="L406" s="388"/>
      <c r="M406" s="387"/>
      <c r="N406" s="142">
        <v>507.34</v>
      </c>
      <c r="O406" s="142">
        <v>444</v>
      </c>
      <c r="P406" s="142">
        <v>472</v>
      </c>
      <c r="Q406" s="142">
        <v>70.257031728152484</v>
      </c>
      <c r="R406" s="142">
        <v>89.482079349866268</v>
      </c>
      <c r="S406" s="272"/>
      <c r="T406" s="272"/>
      <c r="U406" s="272"/>
      <c r="V406" s="272"/>
      <c r="W406" s="272"/>
      <c r="X406" s="272"/>
      <c r="Y406" s="272"/>
      <c r="Z406" s="272"/>
      <c r="AA406" s="272"/>
      <c r="AB406" s="272"/>
      <c r="AC406" s="272"/>
      <c r="AD406" s="272"/>
      <c r="AE406" s="272"/>
      <c r="AF406" s="272"/>
      <c r="AG406" s="272"/>
      <c r="AH406" s="272"/>
      <c r="AI406" s="272"/>
      <c r="AJ406" s="272"/>
      <c r="AK406" s="272"/>
      <c r="AL406" s="272"/>
      <c r="AM406" s="272"/>
      <c r="AN406" s="272"/>
      <c r="AO406" s="272"/>
      <c r="AP406" s="272"/>
      <c r="AQ406" s="272"/>
      <c r="AR406" s="272"/>
      <c r="AS406" s="272"/>
      <c r="AT406" s="272"/>
      <c r="AU406" s="272"/>
      <c r="AV406" s="272"/>
      <c r="AW406" s="272"/>
      <c r="AX406" s="272"/>
      <c r="AY406" s="272"/>
      <c r="AZ406" s="272"/>
      <c r="BA406" s="272"/>
      <c r="BB406" s="272"/>
      <c r="BC406" s="272"/>
      <c r="BD406" s="272"/>
      <c r="BE406" s="272"/>
      <c r="BF406" s="272"/>
      <c r="BG406" s="272"/>
      <c r="BH406" s="272"/>
      <c r="BI406" s="272"/>
      <c r="BJ406" s="272"/>
      <c r="BK406" s="272"/>
      <c r="BL406" s="272"/>
      <c r="BM406" s="272"/>
      <c r="BN406" s="272"/>
      <c r="BO406" s="272"/>
      <c r="BP406" s="114"/>
    </row>
    <row r="407" spans="1:68" x14ac:dyDescent="0.3">
      <c r="A407" s="354"/>
      <c r="B407" s="354"/>
      <c r="C407" s="354"/>
      <c r="D407" s="359"/>
      <c r="E407" s="115"/>
      <c r="F407" s="117" t="s">
        <v>413</v>
      </c>
      <c r="G407" s="387"/>
      <c r="H407" s="388"/>
      <c r="I407" s="388"/>
      <c r="J407" s="388"/>
      <c r="K407" s="388"/>
      <c r="L407" s="388"/>
      <c r="M407" s="387"/>
      <c r="N407" s="142">
        <v>89.556361957077144</v>
      </c>
      <c r="O407" s="142">
        <v>0</v>
      </c>
      <c r="P407" s="142">
        <v>119.25433286090312</v>
      </c>
      <c r="Q407" s="142">
        <v>96.15168910528169</v>
      </c>
      <c r="R407" s="142">
        <v>85.7</v>
      </c>
      <c r="S407" s="272"/>
      <c r="T407" s="272"/>
      <c r="U407" s="272"/>
      <c r="V407" s="272"/>
      <c r="W407" s="272"/>
      <c r="X407" s="272"/>
      <c r="Y407" s="272"/>
      <c r="Z407" s="272"/>
      <c r="AA407" s="272"/>
      <c r="AB407" s="272"/>
      <c r="AC407" s="272"/>
      <c r="AD407" s="272"/>
      <c r="AE407" s="272"/>
      <c r="AF407" s="272"/>
      <c r="AG407" s="272"/>
      <c r="AH407" s="272"/>
      <c r="AI407" s="272"/>
      <c r="AJ407" s="272"/>
      <c r="AK407" s="272"/>
      <c r="AL407" s="272"/>
      <c r="AM407" s="272"/>
      <c r="AN407" s="272"/>
      <c r="AO407" s="272"/>
      <c r="AP407" s="272"/>
      <c r="AQ407" s="272"/>
      <c r="AR407" s="272"/>
      <c r="AS407" s="272"/>
      <c r="AT407" s="272"/>
      <c r="AU407" s="272"/>
      <c r="AV407" s="272"/>
      <c r="AW407" s="272"/>
      <c r="AX407" s="272"/>
      <c r="AY407" s="272"/>
      <c r="AZ407" s="272"/>
      <c r="BA407" s="272"/>
      <c r="BB407" s="272"/>
      <c r="BC407" s="272"/>
      <c r="BD407" s="272"/>
      <c r="BE407" s="272"/>
      <c r="BF407" s="272"/>
      <c r="BG407" s="272"/>
      <c r="BH407" s="272"/>
      <c r="BI407" s="272"/>
      <c r="BJ407" s="272"/>
      <c r="BK407" s="272"/>
      <c r="BL407" s="272"/>
      <c r="BM407" s="272"/>
      <c r="BN407" s="272"/>
      <c r="BO407" s="272"/>
      <c r="BP407" s="114"/>
    </row>
    <row r="408" spans="1:68" x14ac:dyDescent="0.3">
      <c r="A408" s="354"/>
      <c r="B408" s="354"/>
      <c r="C408" s="354"/>
      <c r="D408" s="359"/>
      <c r="E408" s="115"/>
      <c r="F408" s="117" t="s">
        <v>414</v>
      </c>
      <c r="G408" s="387"/>
      <c r="H408" s="388"/>
      <c r="I408" s="388"/>
      <c r="J408" s="388"/>
      <c r="K408" s="388"/>
      <c r="L408" s="388"/>
      <c r="M408" s="387"/>
      <c r="N408" s="142">
        <v>31.242163659231721</v>
      </c>
      <c r="O408" s="142">
        <v>0</v>
      </c>
      <c r="P408" s="142">
        <v>0</v>
      </c>
      <c r="Q408" s="142">
        <v>0</v>
      </c>
      <c r="R408" s="142">
        <v>54.4</v>
      </c>
      <c r="S408" s="272"/>
      <c r="T408" s="272"/>
      <c r="U408" s="272"/>
      <c r="V408" s="272"/>
      <c r="W408" s="272"/>
      <c r="X408" s="272"/>
      <c r="Y408" s="272"/>
      <c r="Z408" s="272"/>
      <c r="AA408" s="272"/>
      <c r="AB408" s="272"/>
      <c r="AC408" s="272"/>
      <c r="AD408" s="272"/>
      <c r="AE408" s="272"/>
      <c r="AF408" s="272"/>
      <c r="AG408" s="272"/>
      <c r="AH408" s="272"/>
      <c r="AI408" s="272"/>
      <c r="AJ408" s="272"/>
      <c r="AK408" s="272"/>
      <c r="AL408" s="272"/>
      <c r="AM408" s="272"/>
      <c r="AN408" s="272"/>
      <c r="AO408" s="272"/>
      <c r="AP408" s="272"/>
      <c r="AQ408" s="272"/>
      <c r="AR408" s="272"/>
      <c r="AS408" s="272"/>
      <c r="AT408" s="272"/>
      <c r="AU408" s="272"/>
      <c r="AV408" s="272"/>
      <c r="AW408" s="272"/>
      <c r="AX408" s="272"/>
      <c r="AY408" s="272"/>
      <c r="AZ408" s="272"/>
      <c r="BA408" s="272"/>
      <c r="BB408" s="272"/>
      <c r="BC408" s="272"/>
      <c r="BD408" s="272"/>
      <c r="BE408" s="272"/>
      <c r="BF408" s="272"/>
      <c r="BG408" s="272"/>
      <c r="BH408" s="272"/>
      <c r="BI408" s="272"/>
      <c r="BJ408" s="272"/>
      <c r="BK408" s="272"/>
      <c r="BL408" s="272"/>
      <c r="BM408" s="272"/>
      <c r="BN408" s="272"/>
      <c r="BO408" s="272"/>
      <c r="BP408" s="114"/>
    </row>
    <row r="409" spans="1:68" x14ac:dyDescent="0.3">
      <c r="A409" s="354"/>
      <c r="B409" s="354"/>
      <c r="C409" s="354"/>
      <c r="D409" s="359"/>
      <c r="E409" s="115"/>
      <c r="F409" s="117" t="s">
        <v>415</v>
      </c>
      <c r="G409" s="387"/>
      <c r="H409" s="388"/>
      <c r="I409" s="388"/>
      <c r="J409" s="388"/>
      <c r="K409" s="388"/>
      <c r="L409" s="388"/>
      <c r="M409" s="387"/>
      <c r="N409" s="142">
        <v>209.6640747175139</v>
      </c>
      <c r="O409" s="142">
        <v>289</v>
      </c>
      <c r="P409" s="142">
        <v>315</v>
      </c>
      <c r="Q409" s="142">
        <v>291.2</v>
      </c>
      <c r="R409" s="142">
        <v>343.4</v>
      </c>
      <c r="S409" s="272"/>
      <c r="T409" s="272"/>
      <c r="U409" s="272"/>
      <c r="V409" s="272"/>
      <c r="W409" s="272"/>
      <c r="X409" s="272"/>
      <c r="Y409" s="272"/>
      <c r="Z409" s="272"/>
      <c r="AA409" s="272"/>
      <c r="AB409" s="272"/>
      <c r="AC409" s="272"/>
      <c r="AD409" s="272"/>
      <c r="AE409" s="272"/>
      <c r="AF409" s="272"/>
      <c r="AG409" s="272"/>
      <c r="AH409" s="272"/>
      <c r="AI409" s="272"/>
      <c r="AJ409" s="272"/>
      <c r="AK409" s="272"/>
      <c r="AL409" s="272"/>
      <c r="AM409" s="272"/>
      <c r="AN409" s="272"/>
      <c r="AO409" s="272"/>
      <c r="AP409" s="272"/>
      <c r="AQ409" s="272"/>
      <c r="AR409" s="272"/>
      <c r="AS409" s="272"/>
      <c r="AT409" s="272"/>
      <c r="AU409" s="272"/>
      <c r="AV409" s="272"/>
      <c r="AW409" s="272"/>
      <c r="AX409" s="272"/>
      <c r="AY409" s="272"/>
      <c r="AZ409" s="272"/>
      <c r="BA409" s="272"/>
      <c r="BB409" s="272"/>
      <c r="BC409" s="272"/>
      <c r="BD409" s="272"/>
      <c r="BE409" s="272"/>
      <c r="BF409" s="272"/>
      <c r="BG409" s="272"/>
      <c r="BH409" s="272"/>
      <c r="BI409" s="272"/>
      <c r="BJ409" s="272"/>
      <c r="BK409" s="272"/>
      <c r="BL409" s="272"/>
      <c r="BM409" s="272"/>
      <c r="BN409" s="272"/>
      <c r="BO409" s="272"/>
      <c r="BP409" s="114"/>
    </row>
    <row r="410" spans="1:68" x14ac:dyDescent="0.3">
      <c r="A410" s="354"/>
      <c r="B410" s="354"/>
      <c r="C410" s="354"/>
      <c r="D410" s="359"/>
      <c r="E410" s="115"/>
      <c r="F410" s="117" t="s">
        <v>416</v>
      </c>
      <c r="G410" s="387"/>
      <c r="H410" s="388"/>
      <c r="I410" s="388"/>
      <c r="J410" s="388"/>
      <c r="K410" s="388"/>
      <c r="L410" s="388"/>
      <c r="M410" s="387"/>
      <c r="N410" s="142">
        <v>225.16596407905777</v>
      </c>
      <c r="O410" s="142">
        <v>504</v>
      </c>
      <c r="P410" s="142">
        <v>459</v>
      </c>
      <c r="Q410" s="142">
        <v>560.70000000000005</v>
      </c>
      <c r="R410" s="142">
        <v>624.29999999999995</v>
      </c>
      <c r="S410" s="272"/>
      <c r="T410" s="272"/>
      <c r="U410" s="272"/>
      <c r="V410" s="272"/>
      <c r="W410" s="272"/>
      <c r="X410" s="272"/>
      <c r="Y410" s="272"/>
      <c r="Z410" s="272"/>
      <c r="AA410" s="272"/>
      <c r="AB410" s="272"/>
      <c r="AC410" s="272"/>
      <c r="AD410" s="272"/>
      <c r="AE410" s="272"/>
      <c r="AF410" s="272"/>
      <c r="AG410" s="272"/>
      <c r="AH410" s="272"/>
      <c r="AI410" s="272"/>
      <c r="AJ410" s="272"/>
      <c r="AK410" s="272"/>
      <c r="AL410" s="272"/>
      <c r="AM410" s="272"/>
      <c r="AN410" s="272"/>
      <c r="AO410" s="272"/>
      <c r="AP410" s="272"/>
      <c r="AQ410" s="272"/>
      <c r="AR410" s="272"/>
      <c r="AS410" s="272"/>
      <c r="AT410" s="272"/>
      <c r="AU410" s="272"/>
      <c r="AV410" s="272"/>
      <c r="AW410" s="272"/>
      <c r="AX410" s="272"/>
      <c r="AY410" s="272"/>
      <c r="AZ410" s="272"/>
      <c r="BA410" s="272"/>
      <c r="BB410" s="272"/>
      <c r="BC410" s="272"/>
      <c r="BD410" s="272"/>
      <c r="BE410" s="272"/>
      <c r="BF410" s="272"/>
      <c r="BG410" s="272"/>
      <c r="BH410" s="272"/>
      <c r="BI410" s="272"/>
      <c r="BJ410" s="272"/>
      <c r="BK410" s="272"/>
      <c r="BL410" s="272"/>
      <c r="BM410" s="272"/>
      <c r="BN410" s="272"/>
      <c r="BO410" s="272"/>
      <c r="BP410" s="114"/>
    </row>
    <row r="411" spans="1:68" x14ac:dyDescent="0.3">
      <c r="A411" s="354"/>
      <c r="B411" s="354"/>
      <c r="C411" s="354"/>
      <c r="D411" s="359"/>
      <c r="E411" s="115"/>
      <c r="F411" s="117" t="s">
        <v>417</v>
      </c>
      <c r="G411" s="387"/>
      <c r="H411" s="388"/>
      <c r="I411" s="388"/>
      <c r="J411" s="388"/>
      <c r="K411" s="388"/>
      <c r="L411" s="388"/>
      <c r="M411" s="387"/>
      <c r="N411" s="142">
        <v>140.70319537875019</v>
      </c>
      <c r="O411" s="142">
        <v>101.30512348021746</v>
      </c>
      <c r="P411" s="142">
        <v>121.71872104367945</v>
      </c>
      <c r="Q411" s="142">
        <v>93.011900681839663</v>
      </c>
      <c r="R411" s="142">
        <v>161.5</v>
      </c>
      <c r="S411" s="272"/>
      <c r="T411" s="272"/>
      <c r="U411" s="272"/>
      <c r="V411" s="272"/>
      <c r="W411" s="272"/>
      <c r="X411" s="272"/>
      <c r="Y411" s="272"/>
      <c r="Z411" s="272"/>
      <c r="AA411" s="272"/>
      <c r="AB411" s="272"/>
      <c r="AC411" s="272"/>
      <c r="AD411" s="272"/>
      <c r="AE411" s="272"/>
      <c r="AF411" s="272"/>
      <c r="AG411" s="272"/>
      <c r="AH411" s="272"/>
      <c r="AI411" s="272"/>
      <c r="AJ411" s="272"/>
      <c r="AK411" s="272"/>
      <c r="AL411" s="272"/>
      <c r="AM411" s="272"/>
      <c r="AN411" s="272"/>
      <c r="AO411" s="272"/>
      <c r="AP411" s="272"/>
      <c r="AQ411" s="272"/>
      <c r="AR411" s="272"/>
      <c r="AS411" s="272"/>
      <c r="AT411" s="272"/>
      <c r="AU411" s="272"/>
      <c r="AV411" s="272"/>
      <c r="AW411" s="272"/>
      <c r="AX411" s="272"/>
      <c r="AY411" s="272"/>
      <c r="AZ411" s="272"/>
      <c r="BA411" s="272"/>
      <c r="BB411" s="272"/>
      <c r="BC411" s="272"/>
      <c r="BD411" s="272"/>
      <c r="BE411" s="272"/>
      <c r="BF411" s="272"/>
      <c r="BG411" s="272"/>
      <c r="BH411" s="272"/>
      <c r="BI411" s="272"/>
      <c r="BJ411" s="272"/>
      <c r="BK411" s="272"/>
      <c r="BL411" s="272"/>
      <c r="BM411" s="272"/>
      <c r="BN411" s="272"/>
      <c r="BO411" s="272"/>
      <c r="BP411" s="114"/>
    </row>
    <row r="412" spans="1:68" x14ac:dyDescent="0.3">
      <c r="A412" s="354"/>
      <c r="B412" s="354"/>
      <c r="C412" s="354"/>
      <c r="D412" s="359"/>
      <c r="E412" s="115"/>
      <c r="F412" s="117" t="s">
        <v>418</v>
      </c>
      <c r="G412" s="387"/>
      <c r="H412" s="388"/>
      <c r="I412" s="388"/>
      <c r="J412" s="388"/>
      <c r="K412" s="388"/>
      <c r="L412" s="388"/>
      <c r="M412" s="387"/>
      <c r="N412" s="142">
        <v>0</v>
      </c>
      <c r="O412" s="142">
        <v>138.56369308701076</v>
      </c>
      <c r="P412" s="142">
        <v>51.238300846430114</v>
      </c>
      <c r="Q412" s="142">
        <v>136.89247960387596</v>
      </c>
      <c r="R412" s="142">
        <v>112</v>
      </c>
      <c r="S412" s="272"/>
      <c r="T412" s="272"/>
      <c r="U412" s="272"/>
      <c r="V412" s="272"/>
      <c r="W412" s="272"/>
      <c r="X412" s="272"/>
      <c r="Y412" s="272"/>
      <c r="Z412" s="272"/>
      <c r="AA412" s="272"/>
      <c r="AB412" s="272"/>
      <c r="AC412" s="272"/>
      <c r="AD412" s="272"/>
      <c r="AE412" s="272"/>
      <c r="AF412" s="272"/>
      <c r="AG412" s="272"/>
      <c r="AH412" s="272"/>
      <c r="AI412" s="272"/>
      <c r="AJ412" s="272"/>
      <c r="AK412" s="272"/>
      <c r="AL412" s="272"/>
      <c r="AM412" s="272"/>
      <c r="AN412" s="272"/>
      <c r="AO412" s="272"/>
      <c r="AP412" s="272"/>
      <c r="AQ412" s="272"/>
      <c r="AR412" s="272"/>
      <c r="AS412" s="272"/>
      <c r="AT412" s="272"/>
      <c r="AU412" s="272"/>
      <c r="AV412" s="272"/>
      <c r="AW412" s="272"/>
      <c r="AX412" s="272"/>
      <c r="AY412" s="272"/>
      <c r="AZ412" s="272"/>
      <c r="BA412" s="272"/>
      <c r="BB412" s="272"/>
      <c r="BC412" s="272"/>
      <c r="BD412" s="272"/>
      <c r="BE412" s="272"/>
      <c r="BF412" s="272"/>
      <c r="BG412" s="272"/>
      <c r="BH412" s="272"/>
      <c r="BI412" s="272"/>
      <c r="BJ412" s="272"/>
      <c r="BK412" s="272"/>
      <c r="BL412" s="272"/>
      <c r="BM412" s="272"/>
      <c r="BN412" s="272"/>
      <c r="BO412" s="272"/>
      <c r="BP412" s="114"/>
    </row>
    <row r="413" spans="1:68" x14ac:dyDescent="0.3">
      <c r="A413" s="354"/>
      <c r="B413" s="354"/>
      <c r="C413" s="354"/>
      <c r="D413" s="359"/>
      <c r="E413" s="115"/>
      <c r="F413" s="117" t="s">
        <v>419</v>
      </c>
      <c r="G413" s="387"/>
      <c r="H413" s="388"/>
      <c r="I413" s="388"/>
      <c r="J413" s="388"/>
      <c r="K413" s="388"/>
      <c r="L413" s="388"/>
      <c r="M413" s="387"/>
      <c r="N413" s="142">
        <v>0</v>
      </c>
      <c r="O413" s="142">
        <v>90.718474000000001</v>
      </c>
      <c r="P413" s="142">
        <v>81.18152272775869</v>
      </c>
      <c r="Q413" s="142">
        <v>0</v>
      </c>
      <c r="R413" s="142">
        <v>9.5489500701369625</v>
      </c>
      <c r="S413" s="272"/>
      <c r="T413" s="272"/>
      <c r="U413" s="272"/>
      <c r="V413" s="272"/>
      <c r="W413" s="272"/>
      <c r="X413" s="272"/>
      <c r="Y413" s="272"/>
      <c r="Z413" s="272"/>
      <c r="AA413" s="272"/>
      <c r="AB413" s="272"/>
      <c r="AC413" s="272"/>
      <c r="AD413" s="272"/>
      <c r="AE413" s="272"/>
      <c r="AF413" s="272"/>
      <c r="AG413" s="272"/>
      <c r="AH413" s="272"/>
      <c r="AI413" s="272"/>
      <c r="AJ413" s="272"/>
      <c r="AK413" s="272"/>
      <c r="AL413" s="272"/>
      <c r="AM413" s="272"/>
      <c r="AN413" s="272"/>
      <c r="AO413" s="272"/>
      <c r="AP413" s="272"/>
      <c r="AQ413" s="272"/>
      <c r="AR413" s="272"/>
      <c r="AS413" s="272"/>
      <c r="AT413" s="272"/>
      <c r="AU413" s="272"/>
      <c r="AV413" s="272"/>
      <c r="AW413" s="272"/>
      <c r="AX413" s="272"/>
      <c r="AY413" s="272"/>
      <c r="AZ413" s="272"/>
      <c r="BA413" s="272"/>
      <c r="BB413" s="272"/>
      <c r="BC413" s="272"/>
      <c r="BD413" s="272"/>
      <c r="BE413" s="272"/>
      <c r="BF413" s="272"/>
      <c r="BG413" s="272"/>
      <c r="BH413" s="272"/>
      <c r="BI413" s="272"/>
      <c r="BJ413" s="272"/>
      <c r="BK413" s="272"/>
      <c r="BL413" s="272"/>
      <c r="BM413" s="272"/>
      <c r="BN413" s="272"/>
      <c r="BO413" s="272"/>
      <c r="BP413" s="114"/>
    </row>
    <row r="414" spans="1:68" x14ac:dyDescent="0.3">
      <c r="A414" s="354"/>
      <c r="B414" s="354"/>
      <c r="C414" s="354"/>
      <c r="D414" s="359"/>
      <c r="E414" s="115"/>
      <c r="F414" s="117" t="s">
        <v>326</v>
      </c>
      <c r="G414" s="387"/>
      <c r="H414" s="388"/>
      <c r="I414" s="388"/>
      <c r="J414" s="388"/>
      <c r="K414" s="388"/>
      <c r="L414" s="388"/>
      <c r="M414" s="387"/>
      <c r="N414" s="142">
        <v>60.516393629655965</v>
      </c>
      <c r="O414" s="269">
        <v>560</v>
      </c>
      <c r="P414" s="269">
        <v>427</v>
      </c>
      <c r="Q414" s="269">
        <v>547.1</v>
      </c>
      <c r="R414" s="269">
        <v>548.20000000000005</v>
      </c>
      <c r="S414" s="272"/>
      <c r="T414" s="272"/>
      <c r="U414" s="272"/>
      <c r="V414" s="272"/>
      <c r="W414" s="272"/>
      <c r="X414" s="272"/>
      <c r="Y414" s="272"/>
      <c r="Z414" s="272"/>
      <c r="AA414" s="272"/>
      <c r="AB414" s="272"/>
      <c r="AC414" s="272"/>
      <c r="AD414" s="272"/>
      <c r="AE414" s="272"/>
      <c r="AF414" s="272"/>
      <c r="AG414" s="272"/>
      <c r="AH414" s="272"/>
      <c r="AI414" s="272"/>
      <c r="AJ414" s="272"/>
      <c r="AK414" s="272"/>
      <c r="AL414" s="272"/>
      <c r="AM414" s="272"/>
      <c r="AN414" s="272"/>
      <c r="AO414" s="272"/>
      <c r="AP414" s="272"/>
      <c r="AQ414" s="272"/>
      <c r="AR414" s="272"/>
      <c r="AS414" s="272"/>
      <c r="AT414" s="272"/>
      <c r="AU414" s="272"/>
      <c r="AV414" s="272"/>
      <c r="AW414" s="272"/>
      <c r="AX414" s="272"/>
      <c r="AY414" s="272"/>
      <c r="AZ414" s="272"/>
      <c r="BA414" s="272"/>
      <c r="BB414" s="272"/>
      <c r="BC414" s="272"/>
      <c r="BD414" s="272"/>
      <c r="BE414" s="272"/>
      <c r="BF414" s="272"/>
      <c r="BG414" s="272"/>
      <c r="BH414" s="272"/>
      <c r="BI414" s="272"/>
      <c r="BJ414" s="272"/>
      <c r="BK414" s="272"/>
      <c r="BL414" s="272"/>
      <c r="BM414" s="272"/>
      <c r="BN414" s="272"/>
      <c r="BO414" s="272"/>
      <c r="BP414" s="114"/>
    </row>
    <row r="415" spans="1:68" x14ac:dyDescent="0.3">
      <c r="A415" s="354"/>
      <c r="B415" s="354"/>
      <c r="C415" s="354"/>
      <c r="D415" s="359"/>
      <c r="E415" s="115"/>
      <c r="F415" s="117" t="s">
        <v>670</v>
      </c>
      <c r="G415" s="387"/>
      <c r="H415" s="388"/>
      <c r="I415" s="388"/>
      <c r="J415" s="388"/>
      <c r="K415" s="388"/>
      <c r="L415" s="388"/>
      <c r="M415" s="387"/>
      <c r="N415" s="269">
        <v>160.43223036590172</v>
      </c>
      <c r="O415" s="269">
        <v>202</v>
      </c>
      <c r="P415" s="269">
        <v>173</v>
      </c>
      <c r="Q415" s="269">
        <v>474.13333333333338</v>
      </c>
      <c r="R415" s="269">
        <v>276.40000000000003</v>
      </c>
      <c r="S415" s="272"/>
      <c r="T415" s="272"/>
      <c r="U415" s="272"/>
      <c r="V415" s="272"/>
      <c r="W415" s="272"/>
      <c r="X415" s="272"/>
      <c r="Y415" s="272"/>
      <c r="Z415" s="272"/>
      <c r="AA415" s="272"/>
      <c r="AB415" s="272"/>
      <c r="AC415" s="272"/>
      <c r="AD415" s="272"/>
      <c r="AE415" s="272"/>
      <c r="AF415" s="272"/>
      <c r="AG415" s="272"/>
      <c r="AH415" s="272"/>
      <c r="AI415" s="272"/>
      <c r="AJ415" s="272"/>
      <c r="AK415" s="272"/>
      <c r="AL415" s="272"/>
      <c r="AM415" s="272"/>
      <c r="AN415" s="272"/>
      <c r="AO415" s="272"/>
      <c r="AP415" s="272"/>
      <c r="AQ415" s="272"/>
      <c r="AR415" s="272"/>
      <c r="AS415" s="272"/>
      <c r="AT415" s="272"/>
      <c r="AU415" s="272"/>
      <c r="AV415" s="272"/>
      <c r="AW415" s="272"/>
      <c r="AX415" s="272"/>
      <c r="AY415" s="272"/>
      <c r="AZ415" s="272"/>
      <c r="BA415" s="272"/>
      <c r="BB415" s="272"/>
      <c r="BC415" s="272"/>
      <c r="BD415" s="272"/>
      <c r="BE415" s="272"/>
      <c r="BF415" s="272"/>
      <c r="BG415" s="272"/>
      <c r="BH415" s="272"/>
      <c r="BI415" s="272"/>
      <c r="BJ415" s="272"/>
      <c r="BK415" s="272"/>
      <c r="BL415" s="272"/>
      <c r="BM415" s="272"/>
      <c r="BN415" s="272"/>
      <c r="BO415" s="272"/>
      <c r="BP415" s="114"/>
    </row>
    <row r="416" spans="1:68" x14ac:dyDescent="0.3">
      <c r="A416" s="354"/>
      <c r="B416" s="354"/>
      <c r="C416" s="354"/>
      <c r="D416" s="359"/>
      <c r="E416" s="115"/>
      <c r="F416" s="117" t="s">
        <v>671</v>
      </c>
      <c r="G416" s="387"/>
      <c r="H416" s="388"/>
      <c r="I416" s="388"/>
      <c r="J416" s="388"/>
      <c r="K416" s="388"/>
      <c r="L416" s="388"/>
      <c r="M416" s="387"/>
      <c r="N416" s="269">
        <v>1298.0794734765552</v>
      </c>
      <c r="O416" s="269">
        <v>249</v>
      </c>
      <c r="P416" s="269">
        <v>208</v>
      </c>
      <c r="Q416" s="269">
        <v>249</v>
      </c>
      <c r="R416" s="269">
        <v>274.10000000000002</v>
      </c>
      <c r="S416" s="272"/>
      <c r="T416" s="272"/>
      <c r="U416" s="272"/>
      <c r="V416" s="272"/>
      <c r="W416" s="272"/>
      <c r="X416" s="272"/>
      <c r="Y416" s="272"/>
      <c r="Z416" s="272"/>
      <c r="AA416" s="272"/>
      <c r="AB416" s="272"/>
      <c r="AC416" s="272"/>
      <c r="AD416" s="272"/>
      <c r="AE416" s="272"/>
      <c r="AF416" s="272"/>
      <c r="AG416" s="272"/>
      <c r="AH416" s="272"/>
      <c r="AI416" s="272"/>
      <c r="AJ416" s="272"/>
      <c r="AK416" s="272"/>
      <c r="AL416" s="272"/>
      <c r="AM416" s="272"/>
      <c r="AN416" s="272"/>
      <c r="AO416" s="272"/>
      <c r="AP416" s="272"/>
      <c r="AQ416" s="272"/>
      <c r="AR416" s="272"/>
      <c r="AS416" s="272"/>
      <c r="AT416" s="272"/>
      <c r="AU416" s="272"/>
      <c r="AV416" s="272"/>
      <c r="AW416" s="272"/>
      <c r="AX416" s="272"/>
      <c r="AY416" s="272"/>
      <c r="AZ416" s="272"/>
      <c r="BA416" s="272"/>
      <c r="BB416" s="272"/>
      <c r="BC416" s="272"/>
      <c r="BD416" s="272"/>
      <c r="BE416" s="272"/>
      <c r="BF416" s="272"/>
      <c r="BG416" s="272"/>
      <c r="BH416" s="272"/>
      <c r="BI416" s="272"/>
      <c r="BJ416" s="272"/>
      <c r="BK416" s="272"/>
      <c r="BL416" s="272"/>
      <c r="BM416" s="272"/>
      <c r="BN416" s="272"/>
      <c r="BO416" s="272"/>
      <c r="BP416" s="114"/>
    </row>
    <row r="417" spans="1:68" x14ac:dyDescent="0.3">
      <c r="A417" s="354"/>
      <c r="B417" s="354"/>
      <c r="C417" s="354"/>
      <c r="D417" s="359"/>
      <c r="E417" s="115"/>
      <c r="F417" s="117" t="s">
        <v>423</v>
      </c>
      <c r="G417" s="387"/>
      <c r="H417" s="388"/>
      <c r="I417" s="388"/>
      <c r="J417" s="388"/>
      <c r="K417" s="388"/>
      <c r="L417" s="388"/>
      <c r="M417" s="387"/>
      <c r="N417" s="269">
        <v>134.86000000000001</v>
      </c>
      <c r="O417" s="269">
        <v>699.74918015369724</v>
      </c>
      <c r="P417" s="269">
        <v>748.89562781130621</v>
      </c>
      <c r="Q417" s="269">
        <v>498.69101764540835</v>
      </c>
      <c r="R417" s="269">
        <v>487.15887304007219</v>
      </c>
      <c r="S417" s="272"/>
      <c r="T417" s="272"/>
      <c r="U417" s="272"/>
      <c r="V417" s="272"/>
      <c r="W417" s="272"/>
      <c r="X417" s="272"/>
      <c r="Y417" s="272"/>
      <c r="Z417" s="272"/>
      <c r="AA417" s="272"/>
      <c r="AB417" s="272"/>
      <c r="AC417" s="272"/>
      <c r="AD417" s="272"/>
      <c r="AE417" s="272"/>
      <c r="AF417" s="272"/>
      <c r="AG417" s="272"/>
      <c r="AH417" s="272"/>
      <c r="AI417" s="272"/>
      <c r="AJ417" s="272"/>
      <c r="AK417" s="272"/>
      <c r="AL417" s="272"/>
      <c r="AM417" s="272"/>
      <c r="AN417" s="272"/>
      <c r="AO417" s="272"/>
      <c r="AP417" s="272"/>
      <c r="AQ417" s="272"/>
      <c r="AR417" s="272"/>
      <c r="AS417" s="272"/>
      <c r="AT417" s="272"/>
      <c r="AU417" s="272"/>
      <c r="AV417" s="272"/>
      <c r="AW417" s="272"/>
      <c r="AX417" s="272"/>
      <c r="AY417" s="272"/>
      <c r="AZ417" s="272"/>
      <c r="BA417" s="272"/>
      <c r="BB417" s="272"/>
      <c r="BC417" s="272"/>
      <c r="BD417" s="272"/>
      <c r="BE417" s="272"/>
      <c r="BF417" s="272"/>
      <c r="BG417" s="272"/>
      <c r="BH417" s="272"/>
      <c r="BI417" s="272"/>
      <c r="BJ417" s="272"/>
      <c r="BK417" s="272"/>
      <c r="BL417" s="272"/>
      <c r="BM417" s="272"/>
      <c r="BN417" s="272"/>
      <c r="BO417" s="272"/>
      <c r="BP417" s="114"/>
    </row>
    <row r="418" spans="1:68" x14ac:dyDescent="0.3">
      <c r="A418" s="354"/>
      <c r="B418" s="354"/>
      <c r="C418" s="354"/>
      <c r="D418" s="359"/>
      <c r="E418" s="115"/>
      <c r="F418" s="117" t="s">
        <v>424</v>
      </c>
      <c r="G418" s="387"/>
      <c r="H418" s="388"/>
      <c r="I418" s="388"/>
      <c r="J418" s="388"/>
      <c r="K418" s="388"/>
      <c r="L418" s="388"/>
      <c r="M418" s="387"/>
      <c r="N418" s="269">
        <v>188.51506308789868</v>
      </c>
      <c r="O418" s="269">
        <v>469.82131568580076</v>
      </c>
      <c r="P418" s="269">
        <v>488.83823374289562</v>
      </c>
      <c r="Q418" s="269">
        <v>604.63174330158949</v>
      </c>
      <c r="R418" s="269">
        <v>478.96878663002803</v>
      </c>
      <c r="S418" s="272"/>
      <c r="T418" s="272"/>
      <c r="U418" s="272"/>
      <c r="V418" s="272"/>
      <c r="W418" s="272"/>
      <c r="X418" s="272"/>
      <c r="Y418" s="272"/>
      <c r="Z418" s="272"/>
      <c r="AA418" s="272"/>
      <c r="AB418" s="272"/>
      <c r="AC418" s="272"/>
      <c r="AD418" s="272"/>
      <c r="AE418" s="272"/>
      <c r="AF418" s="272"/>
      <c r="AG418" s="272"/>
      <c r="AH418" s="272"/>
      <c r="AI418" s="272"/>
      <c r="AJ418" s="272"/>
      <c r="AK418" s="272"/>
      <c r="AL418" s="272"/>
      <c r="AM418" s="272"/>
      <c r="AN418" s="272"/>
      <c r="AO418" s="272"/>
      <c r="AP418" s="272"/>
      <c r="AQ418" s="272"/>
      <c r="AR418" s="272"/>
      <c r="AS418" s="272"/>
      <c r="AT418" s="272"/>
      <c r="AU418" s="272"/>
      <c r="AV418" s="272"/>
      <c r="AW418" s="272"/>
      <c r="AX418" s="272"/>
      <c r="AY418" s="272"/>
      <c r="AZ418" s="272"/>
      <c r="BA418" s="272"/>
      <c r="BB418" s="272"/>
      <c r="BC418" s="272"/>
      <c r="BD418" s="272"/>
      <c r="BE418" s="272"/>
      <c r="BF418" s="272"/>
      <c r="BG418" s="272"/>
      <c r="BH418" s="272"/>
      <c r="BI418" s="272"/>
      <c r="BJ418" s="272"/>
      <c r="BK418" s="272"/>
      <c r="BL418" s="272"/>
      <c r="BM418" s="272"/>
      <c r="BN418" s="272"/>
      <c r="BO418" s="272"/>
      <c r="BP418" s="114"/>
    </row>
    <row r="419" spans="1:68" x14ac:dyDescent="0.3">
      <c r="A419" s="354"/>
      <c r="B419" s="354"/>
      <c r="C419" s="354"/>
      <c r="D419" s="359"/>
      <c r="E419" s="115"/>
      <c r="F419" s="117" t="s">
        <v>425</v>
      </c>
      <c r="G419" s="387"/>
      <c r="H419" s="387"/>
      <c r="I419" s="387"/>
      <c r="J419" s="387"/>
      <c r="K419" s="387"/>
      <c r="L419" s="387"/>
      <c r="M419" s="387"/>
      <c r="N419" s="142">
        <v>0</v>
      </c>
      <c r="O419" s="142">
        <v>0</v>
      </c>
      <c r="P419" s="142">
        <v>0</v>
      </c>
      <c r="Q419" s="142">
        <v>0</v>
      </c>
      <c r="R419" s="142">
        <v>0</v>
      </c>
      <c r="S419" s="272"/>
      <c r="T419" s="272"/>
      <c r="U419" s="272"/>
      <c r="V419" s="272"/>
      <c r="W419" s="272"/>
      <c r="X419" s="272"/>
      <c r="Y419" s="272"/>
      <c r="Z419" s="272"/>
      <c r="AA419" s="272"/>
      <c r="AB419" s="272"/>
      <c r="AC419" s="272"/>
      <c r="AD419" s="272"/>
      <c r="AE419" s="272"/>
      <c r="AF419" s="272"/>
      <c r="AG419" s="272"/>
      <c r="AH419" s="272"/>
      <c r="AI419" s="272"/>
      <c r="AJ419" s="272"/>
      <c r="AK419" s="272"/>
      <c r="AL419" s="272"/>
      <c r="AM419" s="272"/>
      <c r="AN419" s="272"/>
      <c r="AO419" s="272"/>
      <c r="AP419" s="272"/>
      <c r="AQ419" s="272"/>
      <c r="AR419" s="272"/>
      <c r="AS419" s="272"/>
      <c r="AT419" s="272"/>
      <c r="AU419" s="272"/>
      <c r="AV419" s="272"/>
      <c r="AW419" s="272"/>
      <c r="AX419" s="272"/>
      <c r="AY419" s="272"/>
      <c r="AZ419" s="272"/>
      <c r="BA419" s="272"/>
      <c r="BB419" s="272"/>
      <c r="BC419" s="272"/>
      <c r="BD419" s="272"/>
      <c r="BE419" s="272"/>
      <c r="BF419" s="272"/>
      <c r="BG419" s="272"/>
      <c r="BH419" s="272"/>
      <c r="BI419" s="272"/>
      <c r="BJ419" s="272"/>
      <c r="BK419" s="272"/>
      <c r="BL419" s="272"/>
      <c r="BM419" s="272"/>
      <c r="BN419" s="272"/>
      <c r="BO419" s="272"/>
      <c r="BP419" s="133"/>
    </row>
    <row r="420" spans="1:68" x14ac:dyDescent="0.3">
      <c r="A420" s="354"/>
      <c r="B420" s="354"/>
      <c r="C420" s="354"/>
      <c r="D420" s="359"/>
      <c r="E420" s="129"/>
      <c r="F420" s="111" t="s">
        <v>666</v>
      </c>
      <c r="G420" s="267"/>
      <c r="H420" s="267"/>
      <c r="I420" s="267"/>
      <c r="J420" s="267"/>
      <c r="K420" s="267"/>
      <c r="L420" s="267"/>
      <c r="M420" s="267"/>
      <c r="N420" s="270">
        <f t="shared" ref="N420:R420" si="254">SUM(N405:N419)</f>
        <v>3234.5899834395414</v>
      </c>
      <c r="O420" s="270">
        <f t="shared" si="254"/>
        <v>3893.4387482446309</v>
      </c>
      <c r="P420" s="270">
        <f t="shared" si="254"/>
        <v>3787.3576364023802</v>
      </c>
      <c r="Q420" s="270">
        <f t="shared" si="254"/>
        <v>3754.922642145737</v>
      </c>
      <c r="R420" s="270">
        <f t="shared" si="254"/>
        <v>3722.6586890901035</v>
      </c>
      <c r="S420" s="273"/>
      <c r="T420" s="273"/>
      <c r="U420" s="273"/>
      <c r="V420" s="273"/>
      <c r="W420" s="273"/>
      <c r="X420" s="273"/>
      <c r="Y420" s="273"/>
      <c r="Z420" s="273"/>
      <c r="AA420" s="273"/>
      <c r="AB420" s="273"/>
      <c r="AC420" s="273"/>
      <c r="AD420" s="273"/>
      <c r="AE420" s="273"/>
      <c r="AF420" s="273"/>
      <c r="AG420" s="273"/>
      <c r="AH420" s="273"/>
      <c r="AI420" s="273"/>
      <c r="AJ420" s="273"/>
      <c r="AK420" s="273"/>
      <c r="AL420" s="273"/>
      <c r="AM420" s="273"/>
      <c r="AN420" s="273"/>
      <c r="AO420" s="273"/>
      <c r="AP420" s="273"/>
      <c r="AQ420" s="273"/>
      <c r="AR420" s="273"/>
      <c r="AS420" s="273"/>
      <c r="AT420" s="273"/>
      <c r="AU420" s="273"/>
      <c r="AV420" s="273"/>
      <c r="AW420" s="273"/>
      <c r="AX420" s="273"/>
      <c r="AY420" s="273"/>
      <c r="AZ420" s="273"/>
      <c r="BA420" s="273"/>
      <c r="BB420" s="273"/>
      <c r="BC420" s="273"/>
      <c r="BD420" s="273"/>
      <c r="BE420" s="273"/>
      <c r="BF420" s="273"/>
      <c r="BG420" s="273"/>
      <c r="BH420" s="273"/>
      <c r="BI420" s="273"/>
      <c r="BJ420" s="273"/>
      <c r="BK420" s="273"/>
      <c r="BL420" s="273"/>
      <c r="BM420" s="273"/>
      <c r="BN420" s="273"/>
      <c r="BO420" s="273"/>
      <c r="BP420" s="132"/>
    </row>
    <row r="421" spans="1:68" ht="15" thickBot="1" x14ac:dyDescent="0.35">
      <c r="A421" s="354"/>
      <c r="B421" s="354"/>
      <c r="C421" s="354"/>
      <c r="D421" s="359"/>
      <c r="E421" s="266"/>
      <c r="F421" s="136"/>
      <c r="G421" s="137"/>
      <c r="H421" s="137"/>
      <c r="I421" s="137"/>
      <c r="J421" s="137"/>
      <c r="K421" s="137"/>
      <c r="L421" s="137"/>
      <c r="M421" s="137"/>
      <c r="N421" s="137"/>
      <c r="O421" s="137"/>
      <c r="P421" s="137"/>
      <c r="Q421" s="137"/>
      <c r="R421" s="137"/>
      <c r="S421" s="136"/>
      <c r="T421" s="136"/>
      <c r="U421" s="136"/>
      <c r="V421" s="136"/>
      <c r="W421" s="136"/>
      <c r="X421" s="136"/>
      <c r="Y421" s="136"/>
      <c r="Z421" s="136"/>
      <c r="AA421" s="136"/>
      <c r="AB421" s="136"/>
      <c r="AC421" s="136"/>
      <c r="AD421" s="136"/>
      <c r="AE421" s="136"/>
      <c r="AF421" s="136"/>
      <c r="AG421" s="136"/>
      <c r="AH421" s="136"/>
      <c r="AI421" s="136"/>
      <c r="AJ421" s="136"/>
      <c r="AK421" s="136"/>
      <c r="AL421" s="136"/>
      <c r="AM421" s="136"/>
      <c r="AN421" s="136"/>
      <c r="AO421" s="136"/>
      <c r="AP421" s="136"/>
      <c r="AQ421" s="136"/>
      <c r="AR421" s="136"/>
      <c r="AS421" s="136"/>
      <c r="AT421" s="136"/>
      <c r="AU421" s="136"/>
      <c r="AV421" s="136"/>
      <c r="AW421" s="136"/>
      <c r="AX421" s="136"/>
      <c r="AY421" s="136"/>
      <c r="AZ421" s="136"/>
      <c r="BA421" s="136"/>
      <c r="BB421" s="136"/>
      <c r="BC421" s="136"/>
      <c r="BD421" s="136"/>
      <c r="BE421" s="136"/>
      <c r="BF421" s="136"/>
      <c r="BG421" s="136"/>
      <c r="BH421" s="136"/>
      <c r="BI421" s="136"/>
      <c r="BJ421" s="136"/>
      <c r="BK421" s="136"/>
      <c r="BL421" s="136"/>
      <c r="BM421" s="136"/>
      <c r="BN421" s="136"/>
      <c r="BO421" s="136"/>
      <c r="BP421" s="138"/>
    </row>
    <row r="422" spans="1:68" x14ac:dyDescent="0.3">
      <c r="A422" s="354"/>
      <c r="B422" s="354"/>
      <c r="C422" s="354"/>
      <c r="D422" s="359"/>
      <c r="E422" s="359"/>
      <c r="F422" s="103"/>
      <c r="G422" s="103"/>
      <c r="H422" s="103"/>
      <c r="I422" s="103"/>
      <c r="J422" s="103"/>
      <c r="K422" s="103"/>
      <c r="L422" s="359"/>
      <c r="M422" s="359"/>
      <c r="N422" s="359"/>
      <c r="O422" s="359"/>
      <c r="P422" s="359"/>
      <c r="Q422" s="359"/>
      <c r="R422" s="359"/>
      <c r="S422" s="359"/>
      <c r="T422" s="359"/>
      <c r="U422" s="359"/>
      <c r="V422" s="359"/>
      <c r="W422" s="359"/>
      <c r="X422" s="359"/>
      <c r="Y422" s="359"/>
      <c r="Z422" s="359"/>
      <c r="AA422" s="359"/>
      <c r="AB422" s="359"/>
      <c r="AC422" s="359"/>
      <c r="AD422" s="359"/>
      <c r="AE422" s="359"/>
      <c r="AF422" s="359"/>
      <c r="AG422" s="359"/>
      <c r="AH422" s="359"/>
      <c r="AI422" s="359"/>
      <c r="AJ422" s="359"/>
      <c r="AK422" s="359"/>
      <c r="AL422" s="359"/>
      <c r="AM422" s="359"/>
      <c r="AN422" s="359"/>
      <c r="AO422" s="359"/>
      <c r="AP422" s="359"/>
      <c r="AQ422" s="359"/>
      <c r="AR422" s="359"/>
      <c r="AS422" s="359"/>
      <c r="AT422" s="359"/>
      <c r="AU422" s="359"/>
      <c r="AV422" s="359"/>
      <c r="AW422" s="359"/>
      <c r="AX422" s="359"/>
      <c r="AY422" s="359"/>
      <c r="AZ422" s="359"/>
      <c r="BA422" s="359"/>
      <c r="BB422" s="359"/>
      <c r="BC422" s="359"/>
      <c r="BD422" s="359"/>
      <c r="BE422" s="359"/>
      <c r="BF422" s="359"/>
      <c r="BG422" s="359"/>
      <c r="BH422" s="359"/>
      <c r="BI422" s="359"/>
      <c r="BJ422" s="359"/>
      <c r="BK422" s="359"/>
      <c r="BL422" s="359"/>
      <c r="BM422" s="359"/>
      <c r="BN422" s="359"/>
      <c r="BO422" s="359"/>
      <c r="BP422" s="103"/>
    </row>
    <row r="423" spans="1:68" x14ac:dyDescent="0.3">
      <c r="A423" s="354"/>
      <c r="B423" s="354"/>
      <c r="C423" s="354"/>
      <c r="D423" s="359"/>
      <c r="E423" s="359"/>
      <c r="F423" s="103"/>
      <c r="G423" s="103"/>
      <c r="H423" s="103"/>
      <c r="I423" s="103"/>
      <c r="J423" s="103"/>
      <c r="K423" s="103"/>
      <c r="L423" s="359"/>
      <c r="M423" s="359"/>
      <c r="N423" s="359"/>
      <c r="O423" s="359"/>
      <c r="P423" s="359"/>
      <c r="Q423" s="359"/>
      <c r="R423" s="359"/>
      <c r="S423" s="359"/>
      <c r="T423" s="359"/>
      <c r="U423" s="359"/>
      <c r="V423" s="359"/>
      <c r="W423" s="359"/>
      <c r="X423" s="359"/>
      <c r="Y423" s="359"/>
      <c r="Z423" s="359"/>
      <c r="AA423" s="359"/>
      <c r="AB423" s="359"/>
      <c r="AC423" s="359"/>
      <c r="AD423" s="359"/>
      <c r="AE423" s="359"/>
      <c r="AF423" s="359"/>
      <c r="AG423" s="359"/>
      <c r="AH423" s="359"/>
      <c r="AI423" s="359"/>
      <c r="AJ423" s="359"/>
      <c r="AK423" s="359"/>
      <c r="AL423" s="359"/>
      <c r="AM423" s="359"/>
      <c r="AN423" s="359"/>
      <c r="AO423" s="359"/>
      <c r="AP423" s="359"/>
      <c r="AQ423" s="359"/>
      <c r="AR423" s="359"/>
      <c r="AS423" s="359"/>
      <c r="AT423" s="359"/>
      <c r="AU423" s="359"/>
      <c r="AV423" s="359"/>
      <c r="AW423" s="359"/>
      <c r="AX423" s="359"/>
      <c r="AY423" s="359"/>
      <c r="AZ423" s="359"/>
      <c r="BA423" s="359"/>
      <c r="BB423" s="359"/>
      <c r="BC423" s="359"/>
      <c r="BD423" s="359"/>
      <c r="BE423" s="359"/>
      <c r="BF423" s="359"/>
      <c r="BG423" s="359"/>
      <c r="BH423" s="359"/>
      <c r="BI423" s="359"/>
      <c r="BJ423" s="359"/>
      <c r="BK423" s="359"/>
      <c r="BL423" s="359"/>
      <c r="BM423" s="359"/>
      <c r="BN423" s="359"/>
      <c r="BO423" s="359"/>
      <c r="BP423" s="103"/>
    </row>
    <row r="424" spans="1:68" x14ac:dyDescent="0.3">
      <c r="A424" s="354"/>
      <c r="B424" s="354"/>
      <c r="C424" s="354"/>
      <c r="D424" s="359"/>
      <c r="E424" s="359"/>
      <c r="F424" s="103"/>
      <c r="G424" s="103"/>
      <c r="H424" s="103"/>
      <c r="I424" s="103"/>
      <c r="J424" s="103"/>
      <c r="K424" s="103"/>
      <c r="L424" s="359"/>
      <c r="M424" s="359"/>
      <c r="N424" s="359"/>
      <c r="O424" s="359"/>
      <c r="P424" s="359"/>
      <c r="Q424" s="359"/>
      <c r="R424" s="359"/>
      <c r="S424" s="359"/>
      <c r="T424" s="359"/>
      <c r="U424" s="359"/>
      <c r="V424" s="359"/>
      <c r="W424" s="359"/>
      <c r="X424" s="359"/>
      <c r="Y424" s="359"/>
      <c r="Z424" s="359"/>
      <c r="AA424" s="359"/>
      <c r="AB424" s="359"/>
      <c r="AC424" s="359"/>
      <c r="AD424" s="359"/>
      <c r="AE424" s="359"/>
      <c r="AF424" s="359"/>
      <c r="AG424" s="359"/>
      <c r="AH424" s="359"/>
      <c r="AI424" s="359"/>
      <c r="AJ424" s="359"/>
      <c r="AK424" s="359"/>
      <c r="AL424" s="359"/>
      <c r="AM424" s="359"/>
      <c r="AN424" s="359"/>
      <c r="AO424" s="359"/>
      <c r="AP424" s="359"/>
      <c r="AQ424" s="359"/>
      <c r="AR424" s="359"/>
      <c r="AS424" s="359"/>
      <c r="AT424" s="359"/>
      <c r="AU424" s="359"/>
      <c r="AV424" s="359"/>
      <c r="AW424" s="359"/>
      <c r="AX424" s="359"/>
      <c r="AY424" s="359"/>
      <c r="AZ424" s="359"/>
      <c r="BA424" s="359"/>
      <c r="BB424" s="359"/>
      <c r="BC424" s="359"/>
      <c r="BD424" s="359"/>
      <c r="BE424" s="359"/>
      <c r="BF424" s="359"/>
      <c r="BG424" s="359"/>
      <c r="BH424" s="359"/>
      <c r="BI424" s="359"/>
      <c r="BJ424" s="359"/>
      <c r="BK424" s="359"/>
      <c r="BL424" s="359"/>
      <c r="BM424" s="359"/>
      <c r="BN424" s="359"/>
      <c r="BO424" s="359"/>
      <c r="BP424" s="103"/>
    </row>
    <row r="425" spans="1:68" x14ac:dyDescent="0.3">
      <c r="A425" s="354"/>
      <c r="B425" s="354"/>
      <c r="C425" s="354"/>
      <c r="D425" s="359"/>
      <c r="E425" s="359"/>
      <c r="F425" s="103"/>
      <c r="G425" s="103"/>
      <c r="H425" s="103"/>
      <c r="I425" s="103"/>
      <c r="J425" s="103"/>
      <c r="K425" s="103"/>
      <c r="L425" s="359"/>
      <c r="M425" s="359"/>
      <c r="N425" s="359"/>
      <c r="O425" s="359"/>
      <c r="P425" s="359"/>
      <c r="Q425" s="359"/>
      <c r="R425" s="359"/>
      <c r="S425" s="359"/>
      <c r="T425" s="359"/>
      <c r="U425" s="359"/>
      <c r="V425" s="359"/>
      <c r="W425" s="359"/>
      <c r="X425" s="359"/>
      <c r="Y425" s="359"/>
      <c r="Z425" s="359"/>
      <c r="AA425" s="359"/>
      <c r="AB425" s="359"/>
      <c r="AC425" s="359"/>
      <c r="AD425" s="359"/>
      <c r="AE425" s="359"/>
      <c r="AF425" s="359"/>
      <c r="AG425" s="359"/>
      <c r="AH425" s="359"/>
      <c r="AI425" s="359"/>
      <c r="AJ425" s="359"/>
      <c r="AK425" s="359"/>
      <c r="AL425" s="359"/>
      <c r="AM425" s="359"/>
      <c r="AN425" s="359"/>
      <c r="AO425" s="359"/>
      <c r="AP425" s="359"/>
      <c r="AQ425" s="359"/>
      <c r="AR425" s="359"/>
      <c r="AS425" s="359"/>
      <c r="AT425" s="359"/>
      <c r="AU425" s="359"/>
      <c r="AV425" s="359"/>
      <c r="AW425" s="359"/>
      <c r="AX425" s="359"/>
      <c r="AY425" s="359"/>
      <c r="AZ425" s="359"/>
      <c r="BA425" s="359"/>
      <c r="BB425" s="359"/>
      <c r="BC425" s="359"/>
      <c r="BD425" s="359"/>
      <c r="BE425" s="359"/>
      <c r="BF425" s="359"/>
      <c r="BG425" s="359"/>
      <c r="BH425" s="359"/>
      <c r="BI425" s="359"/>
      <c r="BJ425" s="359"/>
      <c r="BK425" s="359"/>
      <c r="BL425" s="359"/>
      <c r="BM425" s="359"/>
      <c r="BN425" s="359"/>
      <c r="BO425" s="359"/>
      <c r="BP425" s="103"/>
    </row>
    <row r="426" spans="1:68" x14ac:dyDescent="0.3">
      <c r="A426" s="354"/>
      <c r="B426" s="354"/>
      <c r="C426" s="354"/>
      <c r="D426" s="359"/>
      <c r="E426" s="359"/>
      <c r="F426" s="103"/>
      <c r="G426" s="103"/>
      <c r="H426" s="103"/>
      <c r="I426" s="103"/>
      <c r="J426" s="103"/>
      <c r="K426" s="103"/>
      <c r="L426" s="359"/>
      <c r="M426" s="359"/>
      <c r="N426" s="359"/>
      <c r="O426" s="359"/>
      <c r="P426" s="359"/>
      <c r="Q426" s="359"/>
      <c r="R426" s="359"/>
      <c r="S426" s="359"/>
      <c r="T426" s="359"/>
      <c r="U426" s="359"/>
      <c r="V426" s="359"/>
      <c r="W426" s="359"/>
      <c r="X426" s="359"/>
      <c r="Y426" s="359"/>
      <c r="Z426" s="359"/>
      <c r="AA426" s="359"/>
      <c r="AB426" s="359"/>
      <c r="AC426" s="359"/>
      <c r="AD426" s="359"/>
      <c r="AE426" s="359"/>
      <c r="AF426" s="359"/>
      <c r="AG426" s="359"/>
      <c r="AH426" s="359"/>
      <c r="AI426" s="359"/>
      <c r="AJ426" s="359"/>
      <c r="AK426" s="359"/>
      <c r="AL426" s="359"/>
      <c r="AM426" s="359"/>
      <c r="AN426" s="359"/>
      <c r="AO426" s="359"/>
      <c r="AP426" s="359"/>
      <c r="AQ426" s="359"/>
      <c r="AR426" s="359"/>
      <c r="AS426" s="359"/>
      <c r="AT426" s="359"/>
      <c r="AU426" s="359"/>
      <c r="AV426" s="359"/>
      <c r="AW426" s="359"/>
      <c r="AX426" s="359"/>
      <c r="AY426" s="359"/>
      <c r="AZ426" s="359"/>
      <c r="BA426" s="359"/>
      <c r="BB426" s="359"/>
      <c r="BC426" s="359"/>
      <c r="BD426" s="359"/>
      <c r="BE426" s="359"/>
      <c r="BF426" s="359"/>
      <c r="BG426" s="359"/>
      <c r="BH426" s="359"/>
      <c r="BI426" s="359"/>
      <c r="BJ426" s="359"/>
      <c r="BK426" s="359"/>
      <c r="BL426" s="359"/>
      <c r="BM426" s="359"/>
      <c r="BN426" s="359"/>
      <c r="BO426" s="359"/>
      <c r="BP426" s="103"/>
    </row>
    <row r="427" spans="1:68" x14ac:dyDescent="0.3">
      <c r="A427" s="354"/>
      <c r="B427" s="354"/>
      <c r="C427" s="354"/>
      <c r="D427" s="359"/>
      <c r="E427" s="359"/>
      <c r="F427" s="103"/>
      <c r="G427" s="103"/>
      <c r="H427" s="103"/>
      <c r="I427" s="103"/>
      <c r="J427" s="103"/>
      <c r="K427" s="103"/>
      <c r="L427" s="359"/>
      <c r="M427" s="359"/>
      <c r="N427" s="359"/>
      <c r="O427" s="359"/>
      <c r="P427" s="359"/>
      <c r="Q427" s="359"/>
      <c r="R427" s="359"/>
      <c r="S427" s="359"/>
      <c r="T427" s="359"/>
      <c r="U427" s="359"/>
      <c r="V427" s="359"/>
      <c r="W427" s="359"/>
      <c r="X427" s="359"/>
      <c r="Y427" s="359"/>
      <c r="Z427" s="359"/>
      <c r="AA427" s="359"/>
      <c r="AB427" s="359"/>
      <c r="AC427" s="359"/>
      <c r="AD427" s="359"/>
      <c r="AE427" s="359"/>
      <c r="AF427" s="359"/>
      <c r="AG427" s="359"/>
      <c r="AH427" s="359"/>
      <c r="AI427" s="359"/>
      <c r="AJ427" s="359"/>
      <c r="AK427" s="359"/>
      <c r="AL427" s="359"/>
      <c r="AM427" s="359"/>
      <c r="AN427" s="359"/>
      <c r="AO427" s="359"/>
      <c r="AP427" s="359"/>
      <c r="AQ427" s="359"/>
      <c r="AR427" s="359"/>
      <c r="AS427" s="359"/>
      <c r="AT427" s="359"/>
      <c r="AU427" s="359"/>
      <c r="AV427" s="359"/>
      <c r="AW427" s="359"/>
      <c r="AX427" s="359"/>
      <c r="AY427" s="359"/>
      <c r="AZ427" s="359"/>
      <c r="BA427" s="359"/>
      <c r="BB427" s="359"/>
      <c r="BC427" s="359"/>
      <c r="BD427" s="359"/>
      <c r="BE427" s="359"/>
      <c r="BF427" s="359"/>
      <c r="BG427" s="359"/>
      <c r="BH427" s="359"/>
      <c r="BI427" s="359"/>
      <c r="BJ427" s="359"/>
      <c r="BK427" s="359"/>
      <c r="BL427" s="359"/>
      <c r="BM427" s="359"/>
      <c r="BN427" s="359"/>
      <c r="BO427" s="359"/>
      <c r="BP427" s="103"/>
    </row>
    <row r="428" spans="1:68" x14ac:dyDescent="0.3">
      <c r="A428" s="354"/>
      <c r="B428" s="354"/>
      <c r="C428" s="354"/>
      <c r="D428" s="359"/>
      <c r="E428" s="359"/>
      <c r="F428" s="103"/>
      <c r="G428" s="103"/>
      <c r="H428" s="103"/>
      <c r="I428" s="103"/>
      <c r="J428" s="103"/>
      <c r="K428" s="103"/>
      <c r="L428" s="359"/>
      <c r="M428" s="359"/>
      <c r="N428" s="359"/>
      <c r="O428" s="359"/>
      <c r="P428" s="359"/>
      <c r="Q428" s="359"/>
      <c r="R428" s="359"/>
      <c r="S428" s="359"/>
      <c r="T428" s="359"/>
      <c r="U428" s="359"/>
      <c r="V428" s="359"/>
      <c r="W428" s="359"/>
      <c r="X428" s="359"/>
      <c r="Y428" s="359"/>
      <c r="Z428" s="359"/>
      <c r="AA428" s="359"/>
      <c r="AB428" s="359"/>
      <c r="AC428" s="359"/>
      <c r="AD428" s="359"/>
      <c r="AE428" s="359"/>
      <c r="AF428" s="359"/>
      <c r="AG428" s="359"/>
      <c r="AH428" s="359"/>
      <c r="AI428" s="359"/>
      <c r="AJ428" s="359"/>
      <c r="AK428" s="359"/>
      <c r="AL428" s="359"/>
      <c r="AM428" s="359"/>
      <c r="AN428" s="359"/>
      <c r="AO428" s="359"/>
      <c r="AP428" s="359"/>
      <c r="AQ428" s="359"/>
      <c r="AR428" s="359"/>
      <c r="AS428" s="359"/>
      <c r="AT428" s="359"/>
      <c r="AU428" s="359"/>
      <c r="AV428" s="359"/>
      <c r="AW428" s="359"/>
      <c r="AX428" s="359"/>
      <c r="AY428" s="359"/>
      <c r="AZ428" s="359"/>
      <c r="BA428" s="359"/>
      <c r="BB428" s="359"/>
      <c r="BC428" s="359"/>
      <c r="BD428" s="359"/>
      <c r="BE428" s="359"/>
      <c r="BF428" s="359"/>
      <c r="BG428" s="359"/>
      <c r="BH428" s="359"/>
      <c r="BI428" s="359"/>
      <c r="BJ428" s="359"/>
      <c r="BK428" s="359"/>
      <c r="BL428" s="359"/>
      <c r="BM428" s="359"/>
      <c r="BN428" s="359"/>
      <c r="BO428" s="359"/>
      <c r="BP428" s="103"/>
    </row>
    <row r="429" spans="1:68" x14ac:dyDescent="0.3">
      <c r="A429" s="354"/>
      <c r="B429" s="354"/>
      <c r="C429" s="354"/>
      <c r="D429" s="359"/>
      <c r="E429" s="359"/>
      <c r="F429" s="103"/>
      <c r="G429" s="103"/>
      <c r="H429" s="103"/>
      <c r="I429" s="103"/>
      <c r="J429" s="103"/>
      <c r="K429" s="103"/>
      <c r="L429" s="359"/>
      <c r="M429" s="359"/>
      <c r="N429" s="359"/>
      <c r="O429" s="359"/>
      <c r="P429" s="359"/>
      <c r="Q429" s="359"/>
      <c r="R429" s="359"/>
      <c r="S429" s="359"/>
      <c r="T429" s="359"/>
      <c r="U429" s="359"/>
      <c r="V429" s="359"/>
      <c r="W429" s="359"/>
      <c r="X429" s="359"/>
      <c r="Y429" s="359"/>
      <c r="Z429" s="359"/>
      <c r="AA429" s="359"/>
      <c r="AB429" s="359"/>
      <c r="AC429" s="359"/>
      <c r="AD429" s="359"/>
      <c r="AE429" s="359"/>
      <c r="AF429" s="359"/>
      <c r="AG429" s="359"/>
      <c r="AH429" s="359"/>
      <c r="AI429" s="359"/>
      <c r="AJ429" s="359"/>
      <c r="AK429" s="359"/>
      <c r="AL429" s="359"/>
      <c r="AM429" s="359"/>
      <c r="AN429" s="359"/>
      <c r="AO429" s="359"/>
      <c r="AP429" s="359"/>
      <c r="AQ429" s="359"/>
      <c r="AR429" s="359"/>
      <c r="AS429" s="359"/>
      <c r="AT429" s="359"/>
      <c r="AU429" s="359"/>
      <c r="AV429" s="359"/>
      <c r="AW429" s="359"/>
      <c r="AX429" s="359"/>
      <c r="AY429" s="359"/>
      <c r="AZ429" s="359"/>
      <c r="BA429" s="359"/>
      <c r="BB429" s="359"/>
      <c r="BC429" s="359"/>
      <c r="BD429" s="359"/>
      <c r="BE429" s="359"/>
      <c r="BF429" s="359"/>
      <c r="BG429" s="359"/>
      <c r="BH429" s="359"/>
      <c r="BI429" s="359"/>
      <c r="BJ429" s="359"/>
      <c r="BK429" s="359"/>
      <c r="BL429" s="359"/>
      <c r="BM429" s="359"/>
      <c r="BN429" s="359"/>
      <c r="BO429" s="359"/>
      <c r="BP429" s="103"/>
    </row>
    <row r="430" spans="1:68" x14ac:dyDescent="0.3">
      <c r="A430" s="354"/>
      <c r="B430" s="354"/>
      <c r="C430" s="354"/>
      <c r="D430" s="359"/>
      <c r="E430" s="359"/>
      <c r="F430" s="103"/>
      <c r="G430" s="103"/>
      <c r="H430" s="103"/>
      <c r="I430" s="103"/>
      <c r="J430" s="103"/>
      <c r="K430" s="103"/>
      <c r="L430" s="359"/>
      <c r="M430" s="359"/>
      <c r="N430" s="359"/>
      <c r="O430" s="359"/>
      <c r="P430" s="359"/>
      <c r="Q430" s="359"/>
      <c r="R430" s="359"/>
      <c r="S430" s="359"/>
      <c r="T430" s="359"/>
      <c r="U430" s="359"/>
      <c r="V430" s="359"/>
      <c r="W430" s="359"/>
      <c r="X430" s="359"/>
      <c r="Y430" s="359"/>
      <c r="Z430" s="359"/>
      <c r="AA430" s="359"/>
      <c r="AB430" s="359"/>
      <c r="AC430" s="359"/>
      <c r="AD430" s="359"/>
      <c r="AE430" s="359"/>
      <c r="AF430" s="359"/>
      <c r="AG430" s="359"/>
      <c r="AH430" s="359"/>
      <c r="AI430" s="359"/>
      <c r="AJ430" s="359"/>
      <c r="AK430" s="359"/>
      <c r="AL430" s="359"/>
      <c r="AM430" s="359"/>
      <c r="AN430" s="359"/>
      <c r="AO430" s="359"/>
      <c r="AP430" s="359"/>
      <c r="AQ430" s="359"/>
      <c r="AR430" s="359"/>
      <c r="AS430" s="359"/>
      <c r="AT430" s="359"/>
      <c r="AU430" s="359"/>
      <c r="AV430" s="359"/>
      <c r="AW430" s="359"/>
      <c r="AX430" s="359"/>
      <c r="AY430" s="359"/>
      <c r="AZ430" s="359"/>
      <c r="BA430" s="359"/>
      <c r="BB430" s="359"/>
      <c r="BC430" s="359"/>
      <c r="BD430" s="359"/>
      <c r="BE430" s="359"/>
      <c r="BF430" s="359"/>
      <c r="BG430" s="359"/>
      <c r="BH430" s="359"/>
      <c r="BI430" s="359"/>
      <c r="BJ430" s="359"/>
      <c r="BK430" s="359"/>
      <c r="BL430" s="359"/>
      <c r="BM430" s="359"/>
      <c r="BN430" s="359"/>
      <c r="BO430" s="359"/>
      <c r="BP430" s="103"/>
    </row>
    <row r="431" spans="1:68" x14ac:dyDescent="0.3">
      <c r="A431" s="354"/>
      <c r="B431" s="354"/>
      <c r="C431" s="354"/>
      <c r="D431" s="359"/>
      <c r="E431" s="359"/>
      <c r="F431" s="103"/>
      <c r="G431" s="103"/>
      <c r="H431" s="103"/>
      <c r="I431" s="103"/>
      <c r="J431" s="103"/>
      <c r="K431" s="103"/>
      <c r="L431" s="359"/>
      <c r="M431" s="359"/>
      <c r="N431" s="359"/>
      <c r="O431" s="359"/>
      <c r="P431" s="359"/>
      <c r="Q431" s="359"/>
      <c r="R431" s="359"/>
      <c r="S431" s="359"/>
      <c r="T431" s="359"/>
      <c r="U431" s="359"/>
      <c r="V431" s="359"/>
      <c r="W431" s="359"/>
      <c r="X431" s="359"/>
      <c r="Y431" s="359"/>
      <c r="Z431" s="359"/>
      <c r="AA431" s="359"/>
      <c r="AB431" s="359"/>
      <c r="AC431" s="359"/>
      <c r="AD431" s="359"/>
      <c r="AE431" s="359"/>
      <c r="AF431" s="359"/>
      <c r="AG431" s="359"/>
      <c r="AH431" s="359"/>
      <c r="AI431" s="359"/>
      <c r="AJ431" s="359"/>
      <c r="AK431" s="359"/>
      <c r="AL431" s="359"/>
      <c r="AM431" s="359"/>
      <c r="AN431" s="359"/>
      <c r="AO431" s="359"/>
      <c r="AP431" s="359"/>
      <c r="AQ431" s="359"/>
      <c r="AR431" s="359"/>
      <c r="AS431" s="359"/>
      <c r="AT431" s="359"/>
      <c r="AU431" s="359"/>
      <c r="AV431" s="359"/>
      <c r="AW431" s="359"/>
      <c r="AX431" s="359"/>
      <c r="AY431" s="359"/>
      <c r="AZ431" s="359"/>
      <c r="BA431" s="359"/>
      <c r="BB431" s="359"/>
      <c r="BC431" s="359"/>
      <c r="BD431" s="359"/>
      <c r="BE431" s="359"/>
      <c r="BF431" s="359"/>
      <c r="BG431" s="359"/>
      <c r="BH431" s="359"/>
      <c r="BI431" s="359"/>
      <c r="BJ431" s="359"/>
      <c r="BK431" s="359"/>
      <c r="BL431" s="359"/>
      <c r="BM431" s="359"/>
      <c r="BN431" s="359"/>
      <c r="BO431" s="359"/>
      <c r="BP431" s="103"/>
    </row>
    <row r="432" spans="1:68" x14ac:dyDescent="0.3">
      <c r="A432" s="354"/>
      <c r="B432" s="354"/>
      <c r="C432" s="354"/>
      <c r="D432" s="359"/>
      <c r="E432" s="359"/>
      <c r="F432" s="103"/>
      <c r="G432" s="103"/>
      <c r="H432" s="103"/>
      <c r="I432" s="103"/>
      <c r="J432" s="103"/>
      <c r="K432" s="103"/>
      <c r="L432" s="359"/>
      <c r="M432" s="359"/>
      <c r="N432" s="359"/>
      <c r="O432" s="359"/>
      <c r="P432" s="359"/>
      <c r="Q432" s="359"/>
      <c r="R432" s="359"/>
      <c r="S432" s="359"/>
      <c r="T432" s="359"/>
      <c r="U432" s="359"/>
      <c r="V432" s="359"/>
      <c r="W432" s="359"/>
      <c r="X432" s="359"/>
      <c r="Y432" s="359"/>
      <c r="Z432" s="359"/>
      <c r="AA432" s="359"/>
      <c r="AB432" s="359"/>
      <c r="AC432" s="359"/>
      <c r="AD432" s="359"/>
      <c r="AE432" s="359"/>
      <c r="AF432" s="359"/>
      <c r="AG432" s="359"/>
      <c r="AH432" s="359"/>
      <c r="AI432" s="359"/>
      <c r="AJ432" s="359"/>
      <c r="AK432" s="359"/>
      <c r="AL432" s="359"/>
      <c r="AM432" s="359"/>
      <c r="AN432" s="359"/>
      <c r="AO432" s="359"/>
      <c r="AP432" s="359"/>
      <c r="AQ432" s="359"/>
      <c r="AR432" s="359"/>
      <c r="AS432" s="359"/>
      <c r="AT432" s="359"/>
      <c r="AU432" s="359"/>
      <c r="AV432" s="359"/>
      <c r="AW432" s="359"/>
      <c r="AX432" s="359"/>
      <c r="AY432" s="359"/>
      <c r="AZ432" s="359"/>
      <c r="BA432" s="359"/>
      <c r="BB432" s="359"/>
      <c r="BC432" s="359"/>
      <c r="BD432" s="359"/>
      <c r="BE432" s="359"/>
      <c r="BF432" s="359"/>
      <c r="BG432" s="359"/>
      <c r="BH432" s="359"/>
      <c r="BI432" s="359"/>
      <c r="BJ432" s="359"/>
      <c r="BK432" s="359"/>
      <c r="BL432" s="359"/>
      <c r="BM432" s="359"/>
      <c r="BN432" s="359"/>
      <c r="BO432" s="359"/>
      <c r="BP432" s="103"/>
    </row>
    <row r="433" spans="1:68" x14ac:dyDescent="0.3">
      <c r="A433" s="354"/>
      <c r="B433" s="354"/>
      <c r="C433" s="354"/>
      <c r="D433" s="359"/>
      <c r="E433" s="359"/>
      <c r="F433" s="103"/>
      <c r="G433" s="103"/>
      <c r="H433" s="103"/>
      <c r="I433" s="103"/>
      <c r="J433" s="103"/>
      <c r="K433" s="103"/>
      <c r="L433" s="359"/>
      <c r="M433" s="359"/>
      <c r="N433" s="359"/>
      <c r="O433" s="359"/>
      <c r="P433" s="359"/>
      <c r="Q433" s="359"/>
      <c r="R433" s="359"/>
      <c r="S433" s="359"/>
      <c r="T433" s="359"/>
      <c r="U433" s="359"/>
      <c r="V433" s="359"/>
      <c r="W433" s="359"/>
      <c r="X433" s="359"/>
      <c r="Y433" s="359"/>
      <c r="Z433" s="359"/>
      <c r="AA433" s="359"/>
      <c r="AB433" s="359"/>
      <c r="AC433" s="359"/>
      <c r="AD433" s="359"/>
      <c r="AE433" s="359"/>
      <c r="AF433" s="359"/>
      <c r="AG433" s="359"/>
      <c r="AH433" s="359"/>
      <c r="AI433" s="359"/>
      <c r="AJ433" s="359"/>
      <c r="AK433" s="359"/>
      <c r="AL433" s="359"/>
      <c r="AM433" s="359"/>
      <c r="AN433" s="359"/>
      <c r="AO433" s="359"/>
      <c r="AP433" s="359"/>
      <c r="AQ433" s="359"/>
      <c r="AR433" s="359"/>
      <c r="AS433" s="359"/>
      <c r="AT433" s="359"/>
      <c r="AU433" s="359"/>
      <c r="AV433" s="359"/>
      <c r="AW433" s="359"/>
      <c r="AX433" s="359"/>
      <c r="AY433" s="359"/>
      <c r="AZ433" s="359"/>
      <c r="BA433" s="359"/>
      <c r="BB433" s="359"/>
      <c r="BC433" s="359"/>
      <c r="BD433" s="359"/>
      <c r="BE433" s="359"/>
      <c r="BF433" s="359"/>
      <c r="BG433" s="359"/>
      <c r="BH433" s="359"/>
      <c r="BI433" s="359"/>
      <c r="BJ433" s="359"/>
      <c r="BK433" s="359"/>
      <c r="BL433" s="359"/>
      <c r="BM433" s="359"/>
      <c r="BN433" s="359"/>
      <c r="BO433" s="359"/>
      <c r="BP433" s="103"/>
    </row>
    <row r="434" spans="1:68" x14ac:dyDescent="0.3">
      <c r="A434" s="354"/>
      <c r="B434" s="354"/>
      <c r="C434" s="354"/>
      <c r="D434" s="359"/>
      <c r="E434" s="359"/>
      <c r="F434" s="103"/>
      <c r="G434" s="103"/>
      <c r="H434" s="103"/>
      <c r="I434" s="103"/>
      <c r="J434" s="103"/>
      <c r="K434" s="103"/>
      <c r="L434" s="359"/>
      <c r="M434" s="359"/>
      <c r="N434" s="359"/>
      <c r="O434" s="359"/>
      <c r="P434" s="359"/>
      <c r="Q434" s="359"/>
      <c r="R434" s="359"/>
      <c r="S434" s="359"/>
      <c r="T434" s="359"/>
      <c r="U434" s="359"/>
      <c r="V434" s="359"/>
      <c r="W434" s="359"/>
      <c r="X434" s="359"/>
      <c r="Y434" s="359"/>
      <c r="Z434" s="359"/>
      <c r="AA434" s="359"/>
      <c r="AB434" s="359"/>
      <c r="AC434" s="359"/>
      <c r="AD434" s="359"/>
      <c r="AE434" s="359"/>
      <c r="AF434" s="359"/>
      <c r="AG434" s="359"/>
      <c r="AH434" s="359"/>
      <c r="AI434" s="359"/>
      <c r="AJ434" s="359"/>
      <c r="AK434" s="359"/>
      <c r="AL434" s="359"/>
      <c r="AM434" s="359"/>
      <c r="AN434" s="359"/>
      <c r="AO434" s="359"/>
      <c r="AP434" s="359"/>
      <c r="AQ434" s="359"/>
      <c r="AR434" s="359"/>
      <c r="AS434" s="359"/>
      <c r="AT434" s="359"/>
      <c r="AU434" s="359"/>
      <c r="AV434" s="359"/>
      <c r="AW434" s="359"/>
      <c r="AX434" s="359"/>
      <c r="AY434" s="359"/>
      <c r="AZ434" s="359"/>
      <c r="BA434" s="359"/>
      <c r="BB434" s="359"/>
      <c r="BC434" s="359"/>
      <c r="BD434" s="359"/>
      <c r="BE434" s="359"/>
      <c r="BF434" s="359"/>
      <c r="BG434" s="359"/>
      <c r="BH434" s="359"/>
      <c r="BI434" s="359"/>
      <c r="BJ434" s="359"/>
      <c r="BK434" s="359"/>
      <c r="BL434" s="359"/>
      <c r="BM434" s="359"/>
      <c r="BN434" s="359"/>
      <c r="BO434" s="359"/>
      <c r="BP434" s="103"/>
    </row>
    <row r="435" spans="1:68" x14ac:dyDescent="0.3">
      <c r="A435" s="354"/>
      <c r="B435" s="354"/>
      <c r="C435" s="354"/>
      <c r="D435" s="359"/>
      <c r="E435" s="359"/>
      <c r="F435" s="103"/>
      <c r="G435" s="103"/>
      <c r="H435" s="103"/>
      <c r="I435" s="103"/>
      <c r="J435" s="103"/>
      <c r="K435" s="103"/>
      <c r="L435" s="359"/>
      <c r="M435" s="359"/>
      <c r="N435" s="359"/>
      <c r="O435" s="359"/>
      <c r="P435" s="359"/>
      <c r="Q435" s="359"/>
      <c r="R435" s="359"/>
      <c r="S435" s="359"/>
      <c r="T435" s="359"/>
      <c r="U435" s="359"/>
      <c r="V435" s="359"/>
      <c r="W435" s="359"/>
      <c r="X435" s="359"/>
      <c r="Y435" s="359"/>
      <c r="Z435" s="359"/>
      <c r="AA435" s="359"/>
      <c r="AB435" s="359"/>
      <c r="AC435" s="359"/>
      <c r="AD435" s="359"/>
      <c r="AE435" s="359"/>
      <c r="AF435" s="359"/>
      <c r="AG435" s="359"/>
      <c r="AH435" s="359"/>
      <c r="AI435" s="359"/>
      <c r="AJ435" s="359"/>
      <c r="AK435" s="359"/>
      <c r="AL435" s="359"/>
      <c r="AM435" s="359"/>
      <c r="AN435" s="359"/>
      <c r="AO435" s="359"/>
      <c r="AP435" s="359"/>
      <c r="AQ435" s="359"/>
      <c r="AR435" s="359"/>
      <c r="AS435" s="359"/>
      <c r="AT435" s="359"/>
      <c r="AU435" s="359"/>
      <c r="AV435" s="359"/>
      <c r="AW435" s="359"/>
      <c r="AX435" s="359"/>
      <c r="AY435" s="359"/>
      <c r="AZ435" s="359"/>
      <c r="BA435" s="359"/>
      <c r="BB435" s="359"/>
      <c r="BC435" s="359"/>
      <c r="BD435" s="359"/>
      <c r="BE435" s="359"/>
      <c r="BF435" s="359"/>
      <c r="BG435" s="359"/>
      <c r="BH435" s="359"/>
      <c r="BI435" s="359"/>
      <c r="BJ435" s="359"/>
      <c r="BK435" s="359"/>
      <c r="BL435" s="359"/>
      <c r="BM435" s="359"/>
      <c r="BN435" s="359"/>
      <c r="BO435" s="359"/>
      <c r="BP435" s="103"/>
    </row>
    <row r="436" spans="1:68" x14ac:dyDescent="0.3">
      <c r="A436" s="354"/>
      <c r="B436" s="354"/>
      <c r="C436" s="354"/>
      <c r="D436" s="359"/>
      <c r="E436" s="359"/>
      <c r="F436" s="103"/>
      <c r="G436" s="103"/>
      <c r="H436" s="103"/>
      <c r="I436" s="103"/>
      <c r="J436" s="103"/>
      <c r="K436" s="103"/>
      <c r="L436" s="359"/>
      <c r="M436" s="359"/>
      <c r="N436" s="359"/>
      <c r="O436" s="359"/>
      <c r="P436" s="359"/>
      <c r="Q436" s="359"/>
      <c r="R436" s="359"/>
      <c r="S436" s="359"/>
      <c r="T436" s="359"/>
      <c r="U436" s="359"/>
      <c r="V436" s="359"/>
      <c r="W436" s="359"/>
      <c r="X436" s="359"/>
      <c r="Y436" s="359"/>
      <c r="Z436" s="359"/>
      <c r="AA436" s="359"/>
      <c r="AB436" s="359"/>
      <c r="AC436" s="359"/>
      <c r="AD436" s="359"/>
      <c r="AE436" s="359"/>
      <c r="AF436" s="359"/>
      <c r="AG436" s="359"/>
      <c r="AH436" s="359"/>
      <c r="AI436" s="359"/>
      <c r="AJ436" s="359"/>
      <c r="AK436" s="359"/>
      <c r="AL436" s="359"/>
      <c r="AM436" s="359"/>
      <c r="AN436" s="359"/>
      <c r="AO436" s="359"/>
      <c r="AP436" s="359"/>
      <c r="AQ436" s="359"/>
      <c r="AR436" s="359"/>
      <c r="AS436" s="359"/>
      <c r="AT436" s="359"/>
      <c r="AU436" s="359"/>
      <c r="AV436" s="359"/>
      <c r="AW436" s="359"/>
      <c r="AX436" s="359"/>
      <c r="AY436" s="359"/>
      <c r="AZ436" s="359"/>
      <c r="BA436" s="359"/>
      <c r="BB436" s="359"/>
      <c r="BC436" s="359"/>
      <c r="BD436" s="359"/>
      <c r="BE436" s="359"/>
      <c r="BF436" s="359"/>
      <c r="BG436" s="359"/>
      <c r="BH436" s="359"/>
      <c r="BI436" s="359"/>
      <c r="BJ436" s="359"/>
      <c r="BK436" s="359"/>
      <c r="BL436" s="359"/>
      <c r="BM436" s="359"/>
      <c r="BN436" s="359"/>
      <c r="BO436" s="359"/>
      <c r="BP436" s="103"/>
    </row>
    <row r="437" spans="1:68" x14ac:dyDescent="0.3">
      <c r="A437" s="354"/>
      <c r="B437" s="354"/>
      <c r="C437" s="354"/>
      <c r="D437" s="359"/>
      <c r="E437" s="359"/>
      <c r="F437" s="103"/>
      <c r="G437" s="103"/>
      <c r="H437" s="103"/>
      <c r="I437" s="103"/>
      <c r="J437" s="103"/>
      <c r="K437" s="103"/>
      <c r="L437" s="359"/>
      <c r="M437" s="359"/>
      <c r="N437" s="359"/>
      <c r="O437" s="359"/>
      <c r="P437" s="359"/>
      <c r="Q437" s="359"/>
      <c r="R437" s="359"/>
      <c r="S437" s="359"/>
      <c r="T437" s="359"/>
      <c r="U437" s="359"/>
      <c r="V437" s="359"/>
      <c r="W437" s="359"/>
      <c r="X437" s="359"/>
      <c r="Y437" s="359"/>
      <c r="Z437" s="359"/>
      <c r="AA437" s="359"/>
      <c r="AB437" s="359"/>
      <c r="AC437" s="359"/>
      <c r="AD437" s="359"/>
      <c r="AE437" s="359"/>
      <c r="AF437" s="359"/>
      <c r="AG437" s="359"/>
      <c r="AH437" s="359"/>
      <c r="AI437" s="359"/>
      <c r="AJ437" s="359"/>
      <c r="AK437" s="359"/>
      <c r="AL437" s="359"/>
      <c r="AM437" s="359"/>
      <c r="AN437" s="359"/>
      <c r="AO437" s="359"/>
      <c r="AP437" s="359"/>
      <c r="AQ437" s="359"/>
      <c r="AR437" s="359"/>
      <c r="AS437" s="359"/>
      <c r="AT437" s="359"/>
      <c r="AU437" s="359"/>
      <c r="AV437" s="359"/>
      <c r="AW437" s="359"/>
      <c r="AX437" s="359"/>
      <c r="AY437" s="359"/>
      <c r="AZ437" s="359"/>
      <c r="BA437" s="359"/>
      <c r="BB437" s="359"/>
      <c r="BC437" s="359"/>
      <c r="BD437" s="359"/>
      <c r="BE437" s="359"/>
      <c r="BF437" s="359"/>
      <c r="BG437" s="359"/>
      <c r="BH437" s="359"/>
      <c r="BI437" s="359"/>
      <c r="BJ437" s="359"/>
      <c r="BK437" s="359"/>
      <c r="BL437" s="359"/>
      <c r="BM437" s="359"/>
      <c r="BN437" s="359"/>
      <c r="BO437" s="359"/>
      <c r="BP437" s="103"/>
    </row>
    <row r="438" spans="1:68" x14ac:dyDescent="0.3">
      <c r="A438" s="354"/>
      <c r="B438" s="354"/>
      <c r="C438" s="354"/>
      <c r="D438" s="359"/>
      <c r="E438" s="359"/>
      <c r="F438" s="103"/>
      <c r="G438" s="103"/>
      <c r="H438" s="103"/>
      <c r="I438" s="103"/>
      <c r="J438" s="103"/>
      <c r="K438" s="103"/>
      <c r="L438" s="359"/>
      <c r="M438" s="359"/>
      <c r="N438" s="359"/>
      <c r="O438" s="359"/>
      <c r="P438" s="359"/>
      <c r="Q438" s="359"/>
      <c r="R438" s="359"/>
      <c r="S438" s="359"/>
      <c r="T438" s="359"/>
      <c r="U438" s="359"/>
      <c r="V438" s="359"/>
      <c r="W438" s="359"/>
      <c r="X438" s="359"/>
      <c r="Y438" s="359"/>
      <c r="Z438" s="359"/>
      <c r="AA438" s="359"/>
      <c r="AB438" s="359"/>
      <c r="AC438" s="359"/>
      <c r="AD438" s="359"/>
      <c r="AE438" s="359"/>
      <c r="AF438" s="359"/>
      <c r="AG438" s="359"/>
      <c r="AH438" s="359"/>
      <c r="AI438" s="359"/>
      <c r="AJ438" s="359"/>
      <c r="AK438" s="359"/>
      <c r="AL438" s="359"/>
      <c r="AM438" s="359"/>
      <c r="AN438" s="359"/>
      <c r="AO438" s="359"/>
      <c r="AP438" s="359"/>
      <c r="AQ438" s="359"/>
      <c r="AR438" s="359"/>
      <c r="AS438" s="359"/>
      <c r="AT438" s="359"/>
      <c r="AU438" s="359"/>
      <c r="AV438" s="359"/>
      <c r="AW438" s="359"/>
      <c r="AX438" s="359"/>
      <c r="AY438" s="359"/>
      <c r="AZ438" s="359"/>
      <c r="BA438" s="359"/>
      <c r="BB438" s="359"/>
      <c r="BC438" s="359"/>
      <c r="BD438" s="359"/>
      <c r="BE438" s="359"/>
      <c r="BF438" s="359"/>
      <c r="BG438" s="359"/>
      <c r="BH438" s="359"/>
      <c r="BI438" s="359"/>
      <c r="BJ438" s="359"/>
      <c r="BK438" s="359"/>
      <c r="BL438" s="359"/>
      <c r="BM438" s="359"/>
      <c r="BN438" s="359"/>
      <c r="BO438" s="359"/>
      <c r="BP438" s="103"/>
    </row>
    <row r="439" spans="1:68" x14ac:dyDescent="0.3">
      <c r="A439" s="354"/>
      <c r="B439" s="354"/>
      <c r="C439" s="354"/>
      <c r="D439" s="359"/>
      <c r="E439" s="359"/>
      <c r="F439" s="103"/>
      <c r="G439" s="103"/>
      <c r="H439" s="103"/>
      <c r="I439" s="103"/>
      <c r="J439" s="103"/>
      <c r="K439" s="103"/>
      <c r="L439" s="359"/>
      <c r="M439" s="359"/>
      <c r="N439" s="359"/>
      <c r="O439" s="359"/>
      <c r="P439" s="359"/>
      <c r="Q439" s="359"/>
      <c r="R439" s="359"/>
      <c r="S439" s="359"/>
      <c r="T439" s="359"/>
      <c r="U439" s="359"/>
      <c r="V439" s="359"/>
      <c r="W439" s="359"/>
      <c r="X439" s="359"/>
      <c r="Y439" s="359"/>
      <c r="Z439" s="359"/>
      <c r="AA439" s="359"/>
      <c r="AB439" s="359"/>
      <c r="AC439" s="359"/>
      <c r="AD439" s="359"/>
      <c r="AE439" s="359"/>
      <c r="AF439" s="359"/>
      <c r="AG439" s="359"/>
      <c r="AH439" s="359"/>
      <c r="AI439" s="359"/>
      <c r="AJ439" s="359"/>
      <c r="AK439" s="359"/>
      <c r="AL439" s="359"/>
      <c r="AM439" s="359"/>
      <c r="AN439" s="359"/>
      <c r="AO439" s="359"/>
      <c r="AP439" s="359"/>
      <c r="AQ439" s="359"/>
      <c r="AR439" s="359"/>
      <c r="AS439" s="359"/>
      <c r="AT439" s="359"/>
      <c r="AU439" s="359"/>
      <c r="AV439" s="359"/>
      <c r="AW439" s="359"/>
      <c r="AX439" s="359"/>
      <c r="AY439" s="359"/>
      <c r="AZ439" s="359"/>
      <c r="BA439" s="359"/>
      <c r="BB439" s="359"/>
      <c r="BC439" s="359"/>
      <c r="BD439" s="359"/>
      <c r="BE439" s="359"/>
      <c r="BF439" s="359"/>
      <c r="BG439" s="359"/>
      <c r="BH439" s="359"/>
      <c r="BI439" s="359"/>
      <c r="BJ439" s="359"/>
      <c r="BK439" s="359"/>
      <c r="BL439" s="359"/>
      <c r="BM439" s="359"/>
      <c r="BN439" s="359"/>
      <c r="BO439" s="359"/>
      <c r="BP439" s="103"/>
    </row>
    <row r="440" spans="1:68" x14ac:dyDescent="0.3">
      <c r="A440" s="354"/>
      <c r="B440" s="354"/>
      <c r="C440" s="354"/>
      <c r="D440" s="359"/>
      <c r="E440" s="359"/>
      <c r="F440" s="103"/>
      <c r="G440" s="103"/>
      <c r="H440" s="103"/>
      <c r="I440" s="103"/>
      <c r="J440" s="103"/>
      <c r="K440" s="103"/>
      <c r="L440" s="359"/>
      <c r="M440" s="359"/>
      <c r="N440" s="359"/>
      <c r="O440" s="359"/>
      <c r="P440" s="359"/>
      <c r="Q440" s="359"/>
      <c r="R440" s="359"/>
      <c r="S440" s="359"/>
      <c r="T440" s="359"/>
      <c r="U440" s="359"/>
      <c r="V440" s="359"/>
      <c r="W440" s="359"/>
      <c r="X440" s="359"/>
      <c r="Y440" s="359"/>
      <c r="Z440" s="359"/>
      <c r="AA440" s="359"/>
      <c r="AB440" s="359"/>
      <c r="AC440" s="359"/>
      <c r="AD440" s="359"/>
      <c r="AE440" s="359"/>
      <c r="AF440" s="359"/>
      <c r="AG440" s="359"/>
      <c r="AH440" s="359"/>
      <c r="AI440" s="359"/>
      <c r="AJ440" s="359"/>
      <c r="AK440" s="359"/>
      <c r="AL440" s="359"/>
      <c r="AM440" s="359"/>
      <c r="AN440" s="359"/>
      <c r="AO440" s="359"/>
      <c r="AP440" s="359"/>
      <c r="AQ440" s="359"/>
      <c r="AR440" s="359"/>
      <c r="AS440" s="359"/>
      <c r="AT440" s="359"/>
      <c r="AU440" s="359"/>
      <c r="AV440" s="359"/>
      <c r="AW440" s="359"/>
      <c r="AX440" s="359"/>
      <c r="AY440" s="359"/>
      <c r="AZ440" s="359"/>
      <c r="BA440" s="359"/>
      <c r="BB440" s="359"/>
      <c r="BC440" s="359"/>
      <c r="BD440" s="359"/>
      <c r="BE440" s="359"/>
      <c r="BF440" s="359"/>
      <c r="BG440" s="359"/>
      <c r="BH440" s="359"/>
      <c r="BI440" s="359"/>
      <c r="BJ440" s="359"/>
      <c r="BK440" s="359"/>
      <c r="BL440" s="359"/>
      <c r="BM440" s="359"/>
      <c r="BN440" s="359"/>
      <c r="BO440" s="359"/>
      <c r="BP440" s="103"/>
    </row>
    <row r="441" spans="1:68" x14ac:dyDescent="0.3">
      <c r="A441" s="354"/>
      <c r="B441" s="354"/>
      <c r="C441" s="354"/>
      <c r="D441" s="359"/>
      <c r="E441" s="359"/>
      <c r="F441" s="103"/>
      <c r="G441" s="103"/>
      <c r="H441" s="103"/>
      <c r="I441" s="103"/>
      <c r="J441" s="103"/>
      <c r="K441" s="103"/>
      <c r="L441" s="359"/>
      <c r="M441" s="359"/>
      <c r="N441" s="359"/>
      <c r="O441" s="359"/>
      <c r="P441" s="359"/>
      <c r="Q441" s="359"/>
      <c r="R441" s="359"/>
      <c r="S441" s="359"/>
      <c r="T441" s="359"/>
      <c r="U441" s="359"/>
      <c r="V441" s="359"/>
      <c r="W441" s="359"/>
      <c r="X441" s="359"/>
      <c r="Y441" s="359"/>
      <c r="Z441" s="359"/>
      <c r="AA441" s="359"/>
      <c r="AB441" s="359"/>
      <c r="AC441" s="359"/>
      <c r="AD441" s="359"/>
      <c r="AE441" s="359"/>
      <c r="AF441" s="359"/>
      <c r="AG441" s="359"/>
      <c r="AH441" s="359"/>
      <c r="AI441" s="359"/>
      <c r="AJ441" s="359"/>
      <c r="AK441" s="359"/>
      <c r="AL441" s="359"/>
      <c r="AM441" s="359"/>
      <c r="AN441" s="359"/>
      <c r="AO441" s="359"/>
      <c r="AP441" s="359"/>
      <c r="AQ441" s="359"/>
      <c r="AR441" s="359"/>
      <c r="AS441" s="359"/>
      <c r="AT441" s="359"/>
      <c r="AU441" s="359"/>
      <c r="AV441" s="359"/>
      <c r="AW441" s="359"/>
      <c r="AX441" s="359"/>
      <c r="AY441" s="359"/>
      <c r="AZ441" s="359"/>
      <c r="BA441" s="359"/>
      <c r="BB441" s="359"/>
      <c r="BC441" s="359"/>
      <c r="BD441" s="359"/>
      <c r="BE441" s="359"/>
      <c r="BF441" s="359"/>
      <c r="BG441" s="359"/>
      <c r="BH441" s="359"/>
      <c r="BI441" s="359"/>
      <c r="BJ441" s="359"/>
      <c r="BK441" s="359"/>
      <c r="BL441" s="359"/>
      <c r="BM441" s="359"/>
      <c r="BN441" s="359"/>
      <c r="BO441" s="359"/>
      <c r="BP441" s="103"/>
    </row>
    <row r="442" spans="1:68" x14ac:dyDescent="0.3">
      <c r="A442" s="354"/>
      <c r="B442" s="354"/>
      <c r="C442" s="354"/>
      <c r="D442" s="359"/>
      <c r="E442" s="359"/>
      <c r="F442" s="103"/>
      <c r="G442" s="103"/>
      <c r="H442" s="103"/>
      <c r="I442" s="103"/>
      <c r="J442" s="103"/>
      <c r="K442" s="103"/>
      <c r="L442" s="359"/>
      <c r="M442" s="359"/>
      <c r="N442" s="359"/>
      <c r="O442" s="359"/>
      <c r="P442" s="359"/>
      <c r="Q442" s="359"/>
      <c r="R442" s="359"/>
      <c r="S442" s="359"/>
      <c r="T442" s="359"/>
      <c r="U442" s="359"/>
      <c r="V442" s="359"/>
      <c r="W442" s="359"/>
      <c r="X442" s="359"/>
      <c r="Y442" s="359"/>
      <c r="Z442" s="359"/>
      <c r="AA442" s="359"/>
      <c r="AB442" s="359"/>
      <c r="AC442" s="359"/>
      <c r="AD442" s="359"/>
      <c r="AE442" s="359"/>
      <c r="AF442" s="359"/>
      <c r="AG442" s="359"/>
      <c r="AH442" s="359"/>
      <c r="AI442" s="359"/>
      <c r="AJ442" s="359"/>
      <c r="AK442" s="359"/>
      <c r="AL442" s="359"/>
      <c r="AM442" s="359"/>
      <c r="AN442" s="359"/>
      <c r="AO442" s="359"/>
      <c r="AP442" s="359"/>
      <c r="AQ442" s="359"/>
      <c r="AR442" s="359"/>
      <c r="AS442" s="359"/>
      <c r="AT442" s="359"/>
      <c r="AU442" s="359"/>
      <c r="AV442" s="359"/>
      <c r="AW442" s="359"/>
      <c r="AX442" s="359"/>
      <c r="AY442" s="359"/>
      <c r="AZ442" s="359"/>
      <c r="BA442" s="359"/>
      <c r="BB442" s="359"/>
      <c r="BC442" s="359"/>
      <c r="BD442" s="359"/>
      <c r="BE442" s="359"/>
      <c r="BF442" s="359"/>
      <c r="BG442" s="359"/>
      <c r="BH442" s="359"/>
      <c r="BI442" s="359"/>
      <c r="BJ442" s="359"/>
      <c r="BK442" s="359"/>
      <c r="BL442" s="359"/>
      <c r="BM442" s="359"/>
      <c r="BN442" s="359"/>
      <c r="BO442" s="359"/>
      <c r="BP442" s="103"/>
    </row>
    <row r="443" spans="1:68" x14ac:dyDescent="0.3">
      <c r="A443" s="354"/>
      <c r="B443" s="354"/>
      <c r="C443" s="354"/>
      <c r="D443" s="359"/>
      <c r="E443" s="359"/>
      <c r="F443" s="103"/>
      <c r="G443" s="103"/>
      <c r="H443" s="103"/>
      <c r="I443" s="103"/>
      <c r="J443" s="103"/>
      <c r="K443" s="103"/>
      <c r="L443" s="359"/>
      <c r="M443" s="359"/>
      <c r="N443" s="359"/>
      <c r="O443" s="359"/>
      <c r="P443" s="359"/>
      <c r="Q443" s="359"/>
      <c r="R443" s="359"/>
      <c r="S443" s="359"/>
      <c r="T443" s="359"/>
      <c r="U443" s="359"/>
      <c r="V443" s="359"/>
      <c r="W443" s="359"/>
      <c r="X443" s="359"/>
      <c r="Y443" s="359"/>
      <c r="Z443" s="359"/>
      <c r="AA443" s="359"/>
      <c r="AB443" s="359"/>
      <c r="AC443" s="359"/>
      <c r="AD443" s="359"/>
      <c r="AE443" s="359"/>
      <c r="AF443" s="359"/>
      <c r="AG443" s="359"/>
      <c r="AH443" s="359"/>
      <c r="AI443" s="359"/>
      <c r="AJ443" s="359"/>
      <c r="AK443" s="359"/>
      <c r="AL443" s="359"/>
      <c r="AM443" s="359"/>
      <c r="AN443" s="359"/>
      <c r="AO443" s="359"/>
      <c r="AP443" s="359"/>
      <c r="AQ443" s="359"/>
      <c r="AR443" s="359"/>
      <c r="AS443" s="359"/>
      <c r="AT443" s="359"/>
      <c r="AU443" s="359"/>
      <c r="AV443" s="359"/>
      <c r="AW443" s="359"/>
      <c r="AX443" s="359"/>
      <c r="AY443" s="359"/>
      <c r="AZ443" s="359"/>
      <c r="BA443" s="359"/>
      <c r="BB443" s="359"/>
      <c r="BC443" s="359"/>
      <c r="BD443" s="359"/>
      <c r="BE443" s="359"/>
      <c r="BF443" s="359"/>
      <c r="BG443" s="359"/>
      <c r="BH443" s="359"/>
      <c r="BI443" s="359"/>
      <c r="BJ443" s="359"/>
      <c r="BK443" s="359"/>
      <c r="BL443" s="359"/>
      <c r="BM443" s="359"/>
      <c r="BN443" s="359"/>
      <c r="BO443" s="359"/>
      <c r="BP443" s="103"/>
    </row>
    <row r="444" spans="1:68" x14ac:dyDescent="0.3">
      <c r="A444" s="354"/>
      <c r="B444" s="354"/>
      <c r="C444" s="354"/>
      <c r="D444" s="359"/>
      <c r="E444" s="359"/>
      <c r="F444" s="103"/>
      <c r="G444" s="103"/>
      <c r="H444" s="103"/>
      <c r="I444" s="103"/>
      <c r="J444" s="103"/>
      <c r="K444" s="103"/>
      <c r="L444" s="359"/>
      <c r="M444" s="359"/>
      <c r="N444" s="359"/>
      <c r="O444" s="359"/>
      <c r="P444" s="359"/>
      <c r="Q444" s="359"/>
      <c r="R444" s="359"/>
      <c r="S444" s="359"/>
      <c r="T444" s="359"/>
      <c r="U444" s="359"/>
      <c r="V444" s="359"/>
      <c r="W444" s="359"/>
      <c r="X444" s="359"/>
      <c r="Y444" s="359"/>
      <c r="Z444" s="359"/>
      <c r="AA444" s="359"/>
      <c r="AB444" s="359"/>
      <c r="AC444" s="359"/>
      <c r="AD444" s="359"/>
      <c r="AE444" s="359"/>
      <c r="AF444" s="359"/>
      <c r="AG444" s="359"/>
      <c r="AH444" s="359"/>
      <c r="AI444" s="359"/>
      <c r="AJ444" s="359"/>
      <c r="AK444" s="359"/>
      <c r="AL444" s="359"/>
      <c r="AM444" s="359"/>
      <c r="AN444" s="359"/>
      <c r="AO444" s="359"/>
      <c r="AP444" s="359"/>
      <c r="AQ444" s="359"/>
      <c r="AR444" s="359"/>
      <c r="AS444" s="359"/>
      <c r="AT444" s="359"/>
      <c r="AU444" s="359"/>
      <c r="AV444" s="359"/>
      <c r="AW444" s="359"/>
      <c r="AX444" s="359"/>
      <c r="AY444" s="359"/>
      <c r="AZ444" s="359"/>
      <c r="BA444" s="359"/>
      <c r="BB444" s="359"/>
      <c r="BC444" s="359"/>
      <c r="BD444" s="359"/>
      <c r="BE444" s="359"/>
      <c r="BF444" s="359"/>
      <c r="BG444" s="359"/>
      <c r="BH444" s="359"/>
      <c r="BI444" s="359"/>
      <c r="BJ444" s="359"/>
      <c r="BK444" s="359"/>
      <c r="BL444" s="359"/>
      <c r="BM444" s="359"/>
      <c r="BN444" s="359"/>
      <c r="BO444" s="359"/>
      <c r="BP444" s="103"/>
    </row>
    <row r="445" spans="1:68" x14ac:dyDescent="0.3">
      <c r="A445" s="354"/>
      <c r="B445" s="354"/>
      <c r="C445" s="354"/>
      <c r="D445" s="359"/>
      <c r="E445" s="359"/>
      <c r="F445" s="103"/>
      <c r="G445" s="103"/>
      <c r="H445" s="103"/>
      <c r="I445" s="103"/>
      <c r="J445" s="103"/>
      <c r="K445" s="103"/>
      <c r="L445" s="359"/>
      <c r="M445" s="359"/>
      <c r="N445" s="359"/>
      <c r="O445" s="359"/>
      <c r="P445" s="359"/>
      <c r="Q445" s="359"/>
      <c r="R445" s="359"/>
      <c r="S445" s="359"/>
      <c r="T445" s="359"/>
      <c r="U445" s="359"/>
      <c r="V445" s="359"/>
      <c r="W445" s="359"/>
      <c r="X445" s="359"/>
      <c r="Y445" s="359"/>
      <c r="Z445" s="359"/>
      <c r="AA445" s="359"/>
      <c r="AB445" s="359"/>
      <c r="AC445" s="359"/>
      <c r="AD445" s="359"/>
      <c r="AE445" s="359"/>
      <c r="AF445" s="359"/>
      <c r="AG445" s="359"/>
      <c r="AH445" s="359"/>
      <c r="AI445" s="359"/>
      <c r="AJ445" s="359"/>
      <c r="AK445" s="359"/>
      <c r="AL445" s="359"/>
      <c r="AM445" s="359"/>
      <c r="AN445" s="359"/>
      <c r="AO445" s="359"/>
      <c r="AP445" s="359"/>
      <c r="AQ445" s="359"/>
      <c r="AR445" s="359"/>
      <c r="AS445" s="359"/>
      <c r="AT445" s="359"/>
      <c r="AU445" s="359"/>
      <c r="AV445" s="359"/>
      <c r="AW445" s="359"/>
      <c r="AX445" s="359"/>
      <c r="AY445" s="359"/>
      <c r="AZ445" s="359"/>
      <c r="BA445" s="359"/>
      <c r="BB445" s="359"/>
      <c r="BC445" s="359"/>
      <c r="BD445" s="359"/>
      <c r="BE445" s="359"/>
      <c r="BF445" s="359"/>
      <c r="BG445" s="359"/>
      <c r="BH445" s="359"/>
      <c r="BI445" s="359"/>
      <c r="BJ445" s="359"/>
      <c r="BK445" s="359"/>
      <c r="BL445" s="359"/>
      <c r="BM445" s="359"/>
      <c r="BN445" s="359"/>
      <c r="BO445" s="359"/>
      <c r="BP445" s="103"/>
    </row>
    <row r="446" spans="1:68" x14ac:dyDescent="0.3">
      <c r="A446" s="354"/>
      <c r="B446" s="354"/>
      <c r="C446" s="354"/>
      <c r="D446" s="359"/>
      <c r="E446" s="359"/>
      <c r="F446" s="103"/>
      <c r="G446" s="103"/>
      <c r="H446" s="103"/>
      <c r="I446" s="103"/>
      <c r="J446" s="103"/>
      <c r="K446" s="103"/>
      <c r="L446" s="359"/>
      <c r="M446" s="359"/>
      <c r="N446" s="359"/>
      <c r="O446" s="359"/>
      <c r="P446" s="359"/>
      <c r="Q446" s="359"/>
      <c r="R446" s="359"/>
      <c r="S446" s="359"/>
      <c r="T446" s="359"/>
      <c r="U446" s="359"/>
      <c r="V446" s="359"/>
      <c r="W446" s="359"/>
      <c r="X446" s="359"/>
      <c r="Y446" s="359"/>
      <c r="Z446" s="359"/>
      <c r="AA446" s="359"/>
      <c r="AB446" s="359"/>
      <c r="AC446" s="359"/>
      <c r="AD446" s="359"/>
      <c r="AE446" s="359"/>
      <c r="AF446" s="359"/>
      <c r="AG446" s="359"/>
      <c r="AH446" s="359"/>
      <c r="AI446" s="359"/>
      <c r="AJ446" s="359"/>
      <c r="AK446" s="359"/>
      <c r="AL446" s="359"/>
      <c r="AM446" s="359"/>
      <c r="AN446" s="359"/>
      <c r="AO446" s="359"/>
      <c r="AP446" s="359"/>
      <c r="AQ446" s="359"/>
      <c r="AR446" s="359"/>
      <c r="AS446" s="359"/>
      <c r="AT446" s="359"/>
      <c r="AU446" s="359"/>
      <c r="AV446" s="359"/>
      <c r="AW446" s="359"/>
      <c r="AX446" s="359"/>
      <c r="AY446" s="359"/>
      <c r="AZ446" s="359"/>
      <c r="BA446" s="359"/>
      <c r="BB446" s="359"/>
      <c r="BC446" s="359"/>
      <c r="BD446" s="359"/>
      <c r="BE446" s="359"/>
      <c r="BF446" s="359"/>
      <c r="BG446" s="359"/>
      <c r="BH446" s="359"/>
      <c r="BI446" s="359"/>
      <c r="BJ446" s="359"/>
      <c r="BK446" s="359"/>
      <c r="BL446" s="359"/>
      <c r="BM446" s="359"/>
      <c r="BN446" s="359"/>
      <c r="BO446" s="359"/>
      <c r="BP446" s="103"/>
    </row>
    <row r="447" spans="1:68" x14ac:dyDescent="0.3">
      <c r="A447" s="354"/>
      <c r="B447" s="354"/>
      <c r="C447" s="354"/>
      <c r="D447" s="359"/>
      <c r="E447" s="359"/>
      <c r="F447" s="103"/>
      <c r="G447" s="103"/>
      <c r="H447" s="103"/>
      <c r="I447" s="103"/>
      <c r="J447" s="103"/>
      <c r="K447" s="103"/>
      <c r="L447" s="359"/>
      <c r="M447" s="359"/>
      <c r="N447" s="359"/>
      <c r="O447" s="359"/>
      <c r="P447" s="359"/>
      <c r="Q447" s="359"/>
      <c r="R447" s="359"/>
      <c r="S447" s="359"/>
      <c r="T447" s="359"/>
      <c r="U447" s="359"/>
      <c r="V447" s="359"/>
      <c r="W447" s="359"/>
      <c r="X447" s="359"/>
      <c r="Y447" s="359"/>
      <c r="Z447" s="359"/>
      <c r="AA447" s="359"/>
      <c r="AB447" s="359"/>
      <c r="AC447" s="359"/>
      <c r="AD447" s="359"/>
      <c r="AE447" s="359"/>
      <c r="AF447" s="359"/>
      <c r="AG447" s="359"/>
      <c r="AH447" s="359"/>
      <c r="AI447" s="359"/>
      <c r="AJ447" s="359"/>
      <c r="AK447" s="359"/>
      <c r="AL447" s="359"/>
      <c r="AM447" s="359"/>
      <c r="AN447" s="359"/>
      <c r="AO447" s="359"/>
      <c r="AP447" s="359"/>
      <c r="AQ447" s="359"/>
      <c r="AR447" s="359"/>
      <c r="AS447" s="359"/>
      <c r="AT447" s="359"/>
      <c r="AU447" s="359"/>
      <c r="AV447" s="359"/>
      <c r="AW447" s="359"/>
      <c r="AX447" s="359"/>
      <c r="AY447" s="359"/>
      <c r="AZ447" s="359"/>
      <c r="BA447" s="359"/>
      <c r="BB447" s="359"/>
      <c r="BC447" s="359"/>
      <c r="BD447" s="359"/>
      <c r="BE447" s="359"/>
      <c r="BF447" s="359"/>
      <c r="BG447" s="359"/>
      <c r="BH447" s="359"/>
      <c r="BI447" s="359"/>
      <c r="BJ447" s="359"/>
      <c r="BK447" s="359"/>
      <c r="BL447" s="359"/>
      <c r="BM447" s="359"/>
      <c r="BN447" s="359"/>
      <c r="BO447" s="359"/>
      <c r="BP447" s="103"/>
    </row>
    <row r="448" spans="1:68" x14ac:dyDescent="0.3">
      <c r="A448" s="354"/>
      <c r="B448" s="354"/>
      <c r="C448" s="354"/>
      <c r="D448" s="359"/>
      <c r="E448" s="359"/>
      <c r="F448" s="103"/>
      <c r="G448" s="103"/>
      <c r="H448" s="103"/>
      <c r="I448" s="103"/>
      <c r="J448" s="103"/>
      <c r="K448" s="103"/>
      <c r="L448" s="359"/>
      <c r="M448" s="359"/>
      <c r="N448" s="359"/>
      <c r="O448" s="359"/>
      <c r="P448" s="359"/>
      <c r="Q448" s="359"/>
      <c r="R448" s="359"/>
      <c r="S448" s="359"/>
      <c r="T448" s="359"/>
      <c r="U448" s="359"/>
      <c r="V448" s="359"/>
      <c r="W448" s="359"/>
      <c r="X448" s="359"/>
      <c r="Y448" s="359"/>
      <c r="Z448" s="359"/>
      <c r="AA448" s="359"/>
      <c r="AB448" s="359"/>
      <c r="AC448" s="359"/>
      <c r="AD448" s="359"/>
      <c r="AE448" s="359"/>
      <c r="AF448" s="359"/>
      <c r="AG448" s="359"/>
      <c r="AH448" s="359"/>
      <c r="AI448" s="359"/>
      <c r="AJ448" s="359"/>
      <c r="AK448" s="359"/>
      <c r="AL448" s="359"/>
      <c r="AM448" s="359"/>
      <c r="AN448" s="359"/>
      <c r="AO448" s="359"/>
      <c r="AP448" s="359"/>
      <c r="AQ448" s="359"/>
      <c r="AR448" s="359"/>
      <c r="AS448" s="359"/>
      <c r="AT448" s="359"/>
      <c r="AU448" s="359"/>
      <c r="AV448" s="359"/>
      <c r="AW448" s="359"/>
      <c r="AX448" s="359"/>
      <c r="AY448" s="359"/>
      <c r="AZ448" s="359"/>
      <c r="BA448" s="359"/>
      <c r="BB448" s="359"/>
      <c r="BC448" s="359"/>
      <c r="BD448" s="359"/>
      <c r="BE448" s="359"/>
      <c r="BF448" s="359"/>
      <c r="BG448" s="359"/>
      <c r="BH448" s="359"/>
      <c r="BI448" s="359"/>
      <c r="BJ448" s="359"/>
      <c r="BK448" s="359"/>
      <c r="BL448" s="359"/>
      <c r="BM448" s="359"/>
      <c r="BN448" s="359"/>
      <c r="BO448" s="359"/>
      <c r="BP448" s="103"/>
    </row>
    <row r="449" spans="1:68" x14ac:dyDescent="0.3">
      <c r="A449" s="354"/>
      <c r="B449" s="354"/>
      <c r="C449" s="354"/>
      <c r="D449" s="359"/>
      <c r="E449" s="359"/>
      <c r="F449" s="103"/>
      <c r="G449" s="103"/>
      <c r="H449" s="103"/>
      <c r="I449" s="103"/>
      <c r="J449" s="103"/>
      <c r="K449" s="103"/>
      <c r="L449" s="359"/>
      <c r="M449" s="359"/>
      <c r="N449" s="359"/>
      <c r="O449" s="359"/>
      <c r="P449" s="359"/>
      <c r="Q449" s="359"/>
      <c r="R449" s="359"/>
      <c r="S449" s="359"/>
      <c r="T449" s="359"/>
      <c r="U449" s="359"/>
      <c r="V449" s="359"/>
      <c r="W449" s="359"/>
      <c r="X449" s="359"/>
      <c r="Y449" s="359"/>
      <c r="Z449" s="359"/>
      <c r="AA449" s="359"/>
      <c r="AB449" s="359"/>
      <c r="AC449" s="359"/>
      <c r="AD449" s="359"/>
      <c r="AE449" s="359"/>
      <c r="AF449" s="359"/>
      <c r="AG449" s="359"/>
      <c r="AH449" s="359"/>
      <c r="AI449" s="359"/>
      <c r="AJ449" s="359"/>
      <c r="AK449" s="359"/>
      <c r="AL449" s="359"/>
      <c r="AM449" s="359"/>
      <c r="AN449" s="359"/>
      <c r="AO449" s="359"/>
      <c r="AP449" s="359"/>
      <c r="AQ449" s="359"/>
      <c r="AR449" s="359"/>
      <c r="AS449" s="359"/>
      <c r="AT449" s="359"/>
      <c r="AU449" s="359"/>
      <c r="AV449" s="359"/>
      <c r="AW449" s="359"/>
      <c r="AX449" s="359"/>
      <c r="AY449" s="359"/>
      <c r="AZ449" s="359"/>
      <c r="BA449" s="359"/>
      <c r="BB449" s="359"/>
      <c r="BC449" s="359"/>
      <c r="BD449" s="359"/>
      <c r="BE449" s="359"/>
      <c r="BF449" s="359"/>
      <c r="BG449" s="359"/>
      <c r="BH449" s="359"/>
      <c r="BI449" s="359"/>
      <c r="BJ449" s="359"/>
      <c r="BK449" s="359"/>
      <c r="BL449" s="359"/>
      <c r="BM449" s="359"/>
      <c r="BN449" s="359"/>
      <c r="BO449" s="359"/>
      <c r="BP449" s="103"/>
    </row>
    <row r="450" spans="1:68" x14ac:dyDescent="0.3">
      <c r="A450" s="354"/>
      <c r="B450" s="354"/>
      <c r="C450" s="354"/>
      <c r="D450" s="359"/>
      <c r="E450" s="359"/>
      <c r="F450" s="103"/>
      <c r="G450" s="103"/>
      <c r="H450" s="103"/>
      <c r="I450" s="103"/>
      <c r="J450" s="103"/>
      <c r="K450" s="103"/>
      <c r="L450" s="359"/>
      <c r="M450" s="359"/>
      <c r="N450" s="359"/>
      <c r="O450" s="359"/>
      <c r="P450" s="359"/>
      <c r="Q450" s="359"/>
      <c r="R450" s="359"/>
      <c r="S450" s="359"/>
      <c r="T450" s="359"/>
      <c r="U450" s="359"/>
      <c r="V450" s="359"/>
      <c r="W450" s="359"/>
      <c r="X450" s="359"/>
      <c r="Y450" s="359"/>
      <c r="Z450" s="359"/>
      <c r="AA450" s="359"/>
      <c r="AB450" s="359"/>
      <c r="AC450" s="359"/>
      <c r="AD450" s="359"/>
      <c r="AE450" s="359"/>
      <c r="AF450" s="359"/>
      <c r="AG450" s="359"/>
      <c r="AH450" s="359"/>
      <c r="AI450" s="359"/>
      <c r="AJ450" s="359"/>
      <c r="AK450" s="359"/>
      <c r="AL450" s="359"/>
      <c r="AM450" s="359"/>
      <c r="AN450" s="359"/>
      <c r="AO450" s="359"/>
      <c r="AP450" s="359"/>
      <c r="AQ450" s="359"/>
      <c r="AR450" s="359"/>
      <c r="AS450" s="359"/>
      <c r="AT450" s="359"/>
      <c r="AU450" s="359"/>
      <c r="AV450" s="359"/>
      <c r="AW450" s="359"/>
      <c r="AX450" s="359"/>
      <c r="AY450" s="359"/>
      <c r="AZ450" s="359"/>
      <c r="BA450" s="359"/>
      <c r="BB450" s="359"/>
      <c r="BC450" s="359"/>
      <c r="BD450" s="359"/>
      <c r="BE450" s="359"/>
      <c r="BF450" s="359"/>
      <c r="BG450" s="359"/>
      <c r="BH450" s="359"/>
      <c r="BI450" s="359"/>
      <c r="BJ450" s="359"/>
      <c r="BK450" s="359"/>
      <c r="BL450" s="359"/>
      <c r="BM450" s="359"/>
      <c r="BN450" s="359"/>
      <c r="BO450" s="359"/>
      <c r="BP450" s="103"/>
    </row>
    <row r="451" spans="1:68" x14ac:dyDescent="0.3">
      <c r="A451" s="354"/>
      <c r="B451" s="354"/>
      <c r="C451" s="354"/>
      <c r="D451" s="359"/>
      <c r="E451" s="359"/>
      <c r="F451" s="103"/>
      <c r="G451" s="103"/>
      <c r="H451" s="103"/>
      <c r="I451" s="103"/>
      <c r="J451" s="103"/>
      <c r="K451" s="103"/>
      <c r="L451" s="359"/>
      <c r="M451" s="359"/>
      <c r="N451" s="359"/>
      <c r="O451" s="359"/>
      <c r="P451" s="359"/>
      <c r="Q451" s="359"/>
      <c r="R451" s="359"/>
      <c r="S451" s="359"/>
      <c r="T451" s="359"/>
      <c r="U451" s="359"/>
      <c r="V451" s="359"/>
      <c r="W451" s="359"/>
      <c r="X451" s="359"/>
      <c r="Y451" s="359"/>
      <c r="Z451" s="359"/>
      <c r="AA451" s="359"/>
      <c r="AB451" s="359"/>
      <c r="AC451" s="359"/>
      <c r="AD451" s="359"/>
      <c r="AE451" s="359"/>
      <c r="AF451" s="359"/>
      <c r="AG451" s="359"/>
      <c r="AH451" s="359"/>
      <c r="AI451" s="359"/>
      <c r="AJ451" s="359"/>
      <c r="AK451" s="359"/>
      <c r="AL451" s="359"/>
      <c r="AM451" s="359"/>
      <c r="AN451" s="359"/>
      <c r="AO451" s="359"/>
      <c r="AP451" s="359"/>
      <c r="AQ451" s="359"/>
      <c r="AR451" s="359"/>
      <c r="AS451" s="359"/>
      <c r="AT451" s="359"/>
      <c r="AU451" s="359"/>
      <c r="AV451" s="359"/>
      <c r="AW451" s="359"/>
      <c r="AX451" s="359"/>
      <c r="AY451" s="359"/>
      <c r="AZ451" s="359"/>
      <c r="BA451" s="359"/>
      <c r="BB451" s="359"/>
      <c r="BC451" s="359"/>
      <c r="BD451" s="359"/>
      <c r="BE451" s="359"/>
      <c r="BF451" s="359"/>
      <c r="BG451" s="359"/>
      <c r="BH451" s="359"/>
      <c r="BI451" s="359"/>
      <c r="BJ451" s="359"/>
      <c r="BK451" s="359"/>
      <c r="BL451" s="359"/>
      <c r="BM451" s="359"/>
      <c r="BN451" s="359"/>
      <c r="BO451" s="359"/>
      <c r="BP451" s="103"/>
    </row>
    <row r="452" spans="1:68" x14ac:dyDescent="0.3">
      <c r="A452" s="354"/>
      <c r="B452" s="354"/>
      <c r="C452" s="354"/>
      <c r="D452" s="359"/>
      <c r="E452" s="359"/>
      <c r="F452" s="103"/>
      <c r="G452" s="103"/>
      <c r="H452" s="103"/>
      <c r="I452" s="103"/>
      <c r="J452" s="103"/>
      <c r="K452" s="103"/>
      <c r="L452" s="359"/>
      <c r="M452" s="359"/>
      <c r="N452" s="359"/>
      <c r="O452" s="359"/>
      <c r="P452" s="359"/>
      <c r="Q452" s="359"/>
      <c r="R452" s="359"/>
      <c r="S452" s="359"/>
      <c r="T452" s="359"/>
      <c r="U452" s="359"/>
      <c r="V452" s="359"/>
      <c r="W452" s="359"/>
      <c r="X452" s="359"/>
      <c r="Y452" s="359"/>
      <c r="Z452" s="359"/>
      <c r="AA452" s="359"/>
      <c r="AB452" s="359"/>
      <c r="AC452" s="359"/>
      <c r="AD452" s="359"/>
      <c r="AE452" s="359"/>
      <c r="AF452" s="359"/>
      <c r="AG452" s="359"/>
      <c r="AH452" s="359"/>
      <c r="AI452" s="359"/>
      <c r="AJ452" s="359"/>
      <c r="AK452" s="359"/>
      <c r="AL452" s="359"/>
      <c r="AM452" s="359"/>
      <c r="AN452" s="359"/>
      <c r="AO452" s="359"/>
      <c r="AP452" s="359"/>
      <c r="AQ452" s="359"/>
      <c r="AR452" s="359"/>
      <c r="AS452" s="359"/>
      <c r="AT452" s="359"/>
      <c r="AU452" s="359"/>
      <c r="AV452" s="359"/>
      <c r="AW452" s="359"/>
      <c r="AX452" s="359"/>
      <c r="AY452" s="359"/>
      <c r="AZ452" s="359"/>
      <c r="BA452" s="359"/>
      <c r="BB452" s="359"/>
      <c r="BC452" s="359"/>
      <c r="BD452" s="359"/>
      <c r="BE452" s="359"/>
      <c r="BF452" s="359"/>
      <c r="BG452" s="359"/>
      <c r="BH452" s="359"/>
      <c r="BI452" s="359"/>
      <c r="BJ452" s="359"/>
      <c r="BK452" s="359"/>
      <c r="BL452" s="359"/>
      <c r="BM452" s="359"/>
      <c r="BN452" s="359"/>
      <c r="BO452" s="359"/>
      <c r="BP452" s="103"/>
    </row>
    <row r="453" spans="1:68" x14ac:dyDescent="0.3">
      <c r="A453" s="354"/>
      <c r="B453" s="354"/>
      <c r="C453" s="354"/>
      <c r="D453" s="359"/>
      <c r="E453" s="359"/>
      <c r="F453" s="103"/>
      <c r="G453" s="103"/>
      <c r="H453" s="103"/>
      <c r="I453" s="103"/>
      <c r="J453" s="103"/>
      <c r="K453" s="103"/>
      <c r="L453" s="359"/>
      <c r="M453" s="359"/>
      <c r="N453" s="359"/>
      <c r="O453" s="359"/>
      <c r="P453" s="359"/>
      <c r="Q453" s="359"/>
      <c r="R453" s="359"/>
      <c r="S453" s="359"/>
      <c r="T453" s="359"/>
      <c r="U453" s="359"/>
      <c r="V453" s="359"/>
      <c r="W453" s="359"/>
      <c r="X453" s="359"/>
      <c r="Y453" s="359"/>
      <c r="Z453" s="359"/>
      <c r="AA453" s="359"/>
      <c r="AB453" s="359"/>
      <c r="AC453" s="359"/>
      <c r="AD453" s="359"/>
      <c r="AE453" s="359"/>
      <c r="AF453" s="359"/>
      <c r="AG453" s="359"/>
      <c r="AH453" s="359"/>
      <c r="AI453" s="359"/>
      <c r="AJ453" s="359"/>
      <c r="AK453" s="359"/>
      <c r="AL453" s="359"/>
      <c r="AM453" s="359"/>
      <c r="AN453" s="359"/>
      <c r="AO453" s="359"/>
      <c r="AP453" s="359"/>
      <c r="AQ453" s="359"/>
      <c r="AR453" s="359"/>
      <c r="AS453" s="359"/>
      <c r="AT453" s="359"/>
      <c r="AU453" s="359"/>
      <c r="AV453" s="359"/>
      <c r="AW453" s="359"/>
      <c r="AX453" s="359"/>
      <c r="AY453" s="359"/>
      <c r="AZ453" s="359"/>
      <c r="BA453" s="359"/>
      <c r="BB453" s="359"/>
      <c r="BC453" s="359"/>
      <c r="BD453" s="359"/>
      <c r="BE453" s="359"/>
      <c r="BF453" s="359"/>
      <c r="BG453" s="359"/>
      <c r="BH453" s="359"/>
      <c r="BI453" s="359"/>
      <c r="BJ453" s="359"/>
      <c r="BK453" s="359"/>
      <c r="BL453" s="359"/>
      <c r="BM453" s="359"/>
      <c r="BN453" s="359"/>
      <c r="BO453" s="359"/>
      <c r="BP453" s="103"/>
    </row>
    <row r="454" spans="1:68" x14ac:dyDescent="0.3">
      <c r="A454" s="354"/>
      <c r="B454" s="354"/>
      <c r="C454" s="354"/>
      <c r="D454" s="359"/>
      <c r="E454" s="359"/>
      <c r="F454" s="103"/>
      <c r="G454" s="103"/>
      <c r="H454" s="103"/>
      <c r="I454" s="103"/>
      <c r="J454" s="103"/>
      <c r="K454" s="103"/>
      <c r="L454" s="359"/>
      <c r="M454" s="359"/>
      <c r="N454" s="359"/>
      <c r="O454" s="359"/>
      <c r="P454" s="359"/>
      <c r="Q454" s="359"/>
      <c r="R454" s="359"/>
      <c r="S454" s="359"/>
      <c r="T454" s="359"/>
      <c r="U454" s="359"/>
      <c r="V454" s="359"/>
      <c r="W454" s="359"/>
      <c r="X454" s="359"/>
      <c r="Y454" s="359"/>
      <c r="Z454" s="359"/>
      <c r="AA454" s="359"/>
      <c r="AB454" s="359"/>
      <c r="AC454" s="359"/>
      <c r="AD454" s="359"/>
      <c r="AE454" s="359"/>
      <c r="AF454" s="359"/>
      <c r="AG454" s="359"/>
      <c r="AH454" s="359"/>
      <c r="AI454" s="359"/>
      <c r="AJ454" s="359"/>
      <c r="AK454" s="359"/>
      <c r="AL454" s="359"/>
      <c r="AM454" s="359"/>
      <c r="AN454" s="359"/>
      <c r="AO454" s="359"/>
      <c r="AP454" s="359"/>
      <c r="AQ454" s="359"/>
      <c r="AR454" s="359"/>
      <c r="AS454" s="359"/>
      <c r="AT454" s="359"/>
      <c r="AU454" s="359"/>
      <c r="AV454" s="359"/>
      <c r="AW454" s="359"/>
      <c r="AX454" s="359"/>
      <c r="AY454" s="359"/>
      <c r="AZ454" s="359"/>
      <c r="BA454" s="359"/>
      <c r="BB454" s="359"/>
      <c r="BC454" s="359"/>
      <c r="BD454" s="359"/>
      <c r="BE454" s="359"/>
      <c r="BF454" s="359"/>
      <c r="BG454" s="359"/>
      <c r="BH454" s="359"/>
      <c r="BI454" s="359"/>
      <c r="BJ454" s="359"/>
      <c r="BK454" s="359"/>
      <c r="BL454" s="359"/>
      <c r="BM454" s="359"/>
      <c r="BN454" s="359"/>
      <c r="BO454" s="359"/>
      <c r="BP454" s="103"/>
    </row>
    <row r="455" spans="1:68" x14ac:dyDescent="0.3">
      <c r="A455" s="354"/>
      <c r="B455" s="354"/>
      <c r="C455" s="354"/>
      <c r="D455" s="359"/>
      <c r="E455" s="359"/>
      <c r="F455" s="103"/>
      <c r="G455" s="103"/>
      <c r="H455" s="103"/>
      <c r="I455" s="103"/>
      <c r="J455" s="103"/>
      <c r="K455" s="103"/>
      <c r="L455" s="359"/>
      <c r="M455" s="359"/>
      <c r="N455" s="359"/>
      <c r="O455" s="359"/>
      <c r="P455" s="359"/>
      <c r="Q455" s="359"/>
      <c r="R455" s="359"/>
      <c r="S455" s="359"/>
      <c r="T455" s="359"/>
      <c r="U455" s="359"/>
      <c r="V455" s="359"/>
      <c r="W455" s="359"/>
      <c r="X455" s="359"/>
      <c r="Y455" s="359"/>
      <c r="Z455" s="359"/>
      <c r="AA455" s="359"/>
      <c r="AB455" s="359"/>
      <c r="AC455" s="359"/>
      <c r="AD455" s="359"/>
      <c r="AE455" s="359"/>
      <c r="AF455" s="359"/>
      <c r="AG455" s="359"/>
      <c r="AH455" s="359"/>
      <c r="AI455" s="359"/>
      <c r="AJ455" s="359"/>
      <c r="AK455" s="359"/>
      <c r="AL455" s="359"/>
      <c r="AM455" s="359"/>
      <c r="AN455" s="359"/>
      <c r="AO455" s="359"/>
      <c r="AP455" s="359"/>
      <c r="AQ455" s="359"/>
      <c r="AR455" s="359"/>
      <c r="AS455" s="359"/>
      <c r="AT455" s="359"/>
      <c r="AU455" s="359"/>
      <c r="AV455" s="359"/>
      <c r="AW455" s="359"/>
      <c r="AX455" s="359"/>
      <c r="AY455" s="359"/>
      <c r="AZ455" s="359"/>
      <c r="BA455" s="359"/>
      <c r="BB455" s="359"/>
      <c r="BC455" s="359"/>
      <c r="BD455" s="359"/>
      <c r="BE455" s="359"/>
      <c r="BF455" s="359"/>
      <c r="BG455" s="359"/>
      <c r="BH455" s="359"/>
      <c r="BI455" s="359"/>
      <c r="BJ455" s="359"/>
      <c r="BK455" s="359"/>
      <c r="BL455" s="359"/>
      <c r="BM455" s="359"/>
      <c r="BN455" s="359"/>
      <c r="BO455" s="359"/>
      <c r="BP455" s="103"/>
    </row>
    <row r="456" spans="1:68" x14ac:dyDescent="0.3">
      <c r="A456" s="354"/>
      <c r="B456" s="354"/>
      <c r="C456" s="354"/>
      <c r="D456" s="359"/>
      <c r="E456" s="359"/>
      <c r="F456" s="103"/>
      <c r="G456" s="103"/>
      <c r="H456" s="103"/>
      <c r="I456" s="103"/>
      <c r="J456" s="103"/>
      <c r="K456" s="103"/>
      <c r="L456" s="359"/>
      <c r="M456" s="359"/>
      <c r="N456" s="359"/>
      <c r="O456" s="359"/>
      <c r="P456" s="359"/>
      <c r="Q456" s="359"/>
      <c r="R456" s="359"/>
      <c r="S456" s="359"/>
      <c r="T456" s="359"/>
      <c r="U456" s="359"/>
      <c r="V456" s="359"/>
      <c r="W456" s="359"/>
      <c r="X456" s="359"/>
      <c r="Y456" s="359"/>
      <c r="Z456" s="359"/>
      <c r="AA456" s="359"/>
      <c r="AB456" s="359"/>
      <c r="AC456" s="359"/>
      <c r="AD456" s="359"/>
      <c r="AE456" s="359"/>
      <c r="AF456" s="359"/>
      <c r="AG456" s="359"/>
      <c r="AH456" s="359"/>
      <c r="AI456" s="359"/>
      <c r="AJ456" s="359"/>
      <c r="AK456" s="359"/>
      <c r="AL456" s="359"/>
      <c r="AM456" s="359"/>
      <c r="AN456" s="359"/>
      <c r="AO456" s="359"/>
      <c r="AP456" s="359"/>
      <c r="AQ456" s="359"/>
      <c r="AR456" s="359"/>
      <c r="AS456" s="359"/>
      <c r="AT456" s="359"/>
      <c r="AU456" s="359"/>
      <c r="AV456" s="359"/>
      <c r="AW456" s="359"/>
      <c r="AX456" s="359"/>
      <c r="AY456" s="359"/>
      <c r="AZ456" s="359"/>
      <c r="BA456" s="359"/>
      <c r="BB456" s="359"/>
      <c r="BC456" s="359"/>
      <c r="BD456" s="359"/>
      <c r="BE456" s="359"/>
      <c r="BF456" s="359"/>
      <c r="BG456" s="359"/>
      <c r="BH456" s="359"/>
      <c r="BI456" s="359"/>
      <c r="BJ456" s="359"/>
      <c r="BK456" s="359"/>
      <c r="BL456" s="359"/>
      <c r="BM456" s="359"/>
      <c r="BN456" s="359"/>
      <c r="BO456" s="359"/>
      <c r="BP456" s="103"/>
    </row>
    <row r="457" spans="1:68" x14ac:dyDescent="0.3">
      <c r="A457" s="354"/>
      <c r="B457" s="354"/>
      <c r="C457" s="354"/>
      <c r="D457" s="359"/>
      <c r="E457" s="359"/>
      <c r="F457" s="103"/>
      <c r="G457" s="103"/>
      <c r="H457" s="103"/>
      <c r="I457" s="103"/>
      <c r="J457" s="103"/>
      <c r="K457" s="103"/>
      <c r="L457" s="359"/>
      <c r="M457" s="359"/>
      <c r="N457" s="359"/>
      <c r="O457" s="359"/>
      <c r="P457" s="359"/>
      <c r="Q457" s="359"/>
      <c r="R457" s="359"/>
      <c r="S457" s="359"/>
      <c r="T457" s="359"/>
      <c r="U457" s="359"/>
      <c r="V457" s="359"/>
      <c r="W457" s="359"/>
      <c r="X457" s="359"/>
      <c r="Y457" s="359"/>
      <c r="Z457" s="359"/>
      <c r="AA457" s="359"/>
      <c r="AB457" s="359"/>
      <c r="AC457" s="359"/>
      <c r="AD457" s="359"/>
      <c r="AE457" s="359"/>
      <c r="AF457" s="359"/>
      <c r="AG457" s="359"/>
      <c r="AH457" s="359"/>
      <c r="AI457" s="359"/>
      <c r="AJ457" s="359"/>
      <c r="AK457" s="359"/>
      <c r="AL457" s="359"/>
      <c r="AM457" s="359"/>
      <c r="AN457" s="359"/>
      <c r="AO457" s="359"/>
      <c r="AP457" s="359"/>
      <c r="AQ457" s="359"/>
      <c r="AR457" s="359"/>
      <c r="AS457" s="359"/>
      <c r="AT457" s="359"/>
      <c r="AU457" s="359"/>
      <c r="AV457" s="359"/>
      <c r="AW457" s="359"/>
      <c r="AX457" s="359"/>
      <c r="AY457" s="359"/>
      <c r="AZ457" s="359"/>
      <c r="BA457" s="359"/>
      <c r="BB457" s="359"/>
      <c r="BC457" s="359"/>
      <c r="BD457" s="359"/>
      <c r="BE457" s="359"/>
      <c r="BF457" s="359"/>
      <c r="BG457" s="359"/>
      <c r="BH457" s="359"/>
      <c r="BI457" s="359"/>
      <c r="BJ457" s="359"/>
      <c r="BK457" s="359"/>
      <c r="BL457" s="359"/>
      <c r="BM457" s="359"/>
      <c r="BN457" s="359"/>
      <c r="BO457" s="359"/>
      <c r="BP457" s="103"/>
    </row>
    <row r="458" spans="1:68" x14ac:dyDescent="0.3">
      <c r="A458" s="354"/>
      <c r="B458" s="354"/>
      <c r="C458" s="354"/>
      <c r="D458" s="359"/>
      <c r="E458" s="359"/>
      <c r="F458" s="103"/>
      <c r="G458" s="103"/>
      <c r="H458" s="103"/>
      <c r="I458" s="103"/>
      <c r="J458" s="103"/>
      <c r="K458" s="103"/>
      <c r="L458" s="359"/>
      <c r="M458" s="359"/>
      <c r="N458" s="359"/>
      <c r="O458" s="359"/>
      <c r="P458" s="359"/>
      <c r="Q458" s="359"/>
      <c r="R458" s="359"/>
      <c r="S458" s="359"/>
      <c r="T458" s="359"/>
      <c r="U458" s="359"/>
      <c r="V458" s="359"/>
      <c r="W458" s="359"/>
      <c r="X458" s="359"/>
      <c r="Y458" s="359"/>
      <c r="Z458" s="359"/>
      <c r="AA458" s="359"/>
      <c r="AB458" s="359"/>
      <c r="AC458" s="359"/>
      <c r="AD458" s="359"/>
      <c r="AE458" s="359"/>
      <c r="AF458" s="359"/>
      <c r="AG458" s="359"/>
      <c r="AH458" s="359"/>
      <c r="AI458" s="359"/>
      <c r="AJ458" s="359"/>
      <c r="AK458" s="359"/>
      <c r="AL458" s="359"/>
      <c r="AM458" s="359"/>
      <c r="AN458" s="359"/>
      <c r="AO458" s="359"/>
      <c r="AP458" s="359"/>
      <c r="AQ458" s="359"/>
      <c r="AR458" s="359"/>
      <c r="AS458" s="359"/>
      <c r="AT458" s="359"/>
      <c r="AU458" s="359"/>
      <c r="AV458" s="359"/>
      <c r="AW458" s="359"/>
      <c r="AX458" s="359"/>
      <c r="AY458" s="359"/>
      <c r="AZ458" s="359"/>
      <c r="BA458" s="359"/>
      <c r="BB458" s="359"/>
      <c r="BC458" s="359"/>
      <c r="BD458" s="359"/>
      <c r="BE458" s="359"/>
      <c r="BF458" s="359"/>
      <c r="BG458" s="359"/>
      <c r="BH458" s="359"/>
      <c r="BI458" s="359"/>
      <c r="BJ458" s="359"/>
      <c r="BK458" s="359"/>
      <c r="BL458" s="359"/>
      <c r="BM458" s="359"/>
      <c r="BN458" s="359"/>
      <c r="BO458" s="359"/>
      <c r="BP458" s="103"/>
    </row>
    <row r="459" spans="1:68" x14ac:dyDescent="0.3">
      <c r="A459" s="354"/>
      <c r="B459" s="354"/>
      <c r="C459" s="354"/>
      <c r="D459" s="359"/>
      <c r="E459" s="359"/>
      <c r="F459" s="103"/>
      <c r="G459" s="103"/>
      <c r="H459" s="103"/>
      <c r="I459" s="103"/>
      <c r="J459" s="103"/>
      <c r="K459" s="103"/>
      <c r="L459" s="359"/>
      <c r="M459" s="359"/>
      <c r="N459" s="359"/>
      <c r="O459" s="359"/>
      <c r="P459" s="359"/>
      <c r="Q459" s="359"/>
      <c r="R459" s="359"/>
      <c r="S459" s="359"/>
      <c r="T459" s="359"/>
      <c r="U459" s="359"/>
      <c r="V459" s="359"/>
      <c r="W459" s="359"/>
      <c r="X459" s="359"/>
      <c r="Y459" s="359"/>
      <c r="Z459" s="359"/>
      <c r="AA459" s="359"/>
      <c r="AB459" s="359"/>
      <c r="AC459" s="359"/>
      <c r="AD459" s="359"/>
      <c r="AE459" s="359"/>
      <c r="AF459" s="359"/>
      <c r="AG459" s="359"/>
      <c r="AH459" s="359"/>
      <c r="AI459" s="359"/>
      <c r="AJ459" s="359"/>
      <c r="AK459" s="359"/>
      <c r="AL459" s="359"/>
      <c r="AM459" s="359"/>
      <c r="AN459" s="359"/>
      <c r="AO459" s="359"/>
      <c r="AP459" s="359"/>
      <c r="AQ459" s="359"/>
      <c r="AR459" s="359"/>
      <c r="AS459" s="359"/>
      <c r="AT459" s="359"/>
      <c r="AU459" s="359"/>
      <c r="AV459" s="359"/>
      <c r="AW459" s="359"/>
      <c r="AX459" s="359"/>
      <c r="AY459" s="359"/>
      <c r="AZ459" s="359"/>
      <c r="BA459" s="359"/>
      <c r="BB459" s="359"/>
      <c r="BC459" s="359"/>
      <c r="BD459" s="359"/>
      <c r="BE459" s="359"/>
      <c r="BF459" s="359"/>
      <c r="BG459" s="359"/>
      <c r="BH459" s="359"/>
      <c r="BI459" s="359"/>
      <c r="BJ459" s="359"/>
      <c r="BK459" s="359"/>
      <c r="BL459" s="359"/>
      <c r="BM459" s="359"/>
      <c r="BN459" s="359"/>
      <c r="BO459" s="359"/>
      <c r="BP459" s="103"/>
    </row>
    <row r="460" spans="1:68" x14ac:dyDescent="0.3">
      <c r="A460" s="354"/>
      <c r="B460" s="354"/>
      <c r="C460" s="354"/>
      <c r="D460" s="359"/>
      <c r="E460" s="359"/>
      <c r="F460" s="103"/>
      <c r="G460" s="103"/>
      <c r="H460" s="103"/>
      <c r="I460" s="103"/>
      <c r="J460" s="103"/>
      <c r="K460" s="103"/>
      <c r="L460" s="359"/>
      <c r="M460" s="359"/>
      <c r="N460" s="359"/>
      <c r="O460" s="359"/>
      <c r="P460" s="359"/>
      <c r="Q460" s="359"/>
      <c r="R460" s="359"/>
      <c r="S460" s="359"/>
      <c r="T460" s="359"/>
      <c r="U460" s="359"/>
      <c r="V460" s="359"/>
      <c r="W460" s="359"/>
      <c r="X460" s="359"/>
      <c r="Y460" s="359"/>
      <c r="Z460" s="359"/>
      <c r="AA460" s="359"/>
      <c r="AB460" s="359"/>
      <c r="AC460" s="359"/>
      <c r="AD460" s="359"/>
      <c r="AE460" s="359"/>
      <c r="AF460" s="359"/>
      <c r="AG460" s="359"/>
      <c r="AH460" s="359"/>
      <c r="AI460" s="359"/>
      <c r="AJ460" s="359"/>
      <c r="AK460" s="359"/>
      <c r="AL460" s="359"/>
      <c r="AM460" s="359"/>
      <c r="AN460" s="359"/>
      <c r="AO460" s="359"/>
      <c r="AP460" s="359"/>
      <c r="AQ460" s="359"/>
      <c r="AR460" s="359"/>
      <c r="AS460" s="359"/>
      <c r="AT460" s="359"/>
      <c r="AU460" s="359"/>
      <c r="AV460" s="359"/>
      <c r="AW460" s="359"/>
      <c r="AX460" s="359"/>
      <c r="AY460" s="359"/>
      <c r="AZ460" s="359"/>
      <c r="BA460" s="359"/>
      <c r="BB460" s="359"/>
      <c r="BC460" s="359"/>
      <c r="BD460" s="359"/>
      <c r="BE460" s="359"/>
      <c r="BF460" s="359"/>
      <c r="BG460" s="359"/>
      <c r="BH460" s="359"/>
      <c r="BI460" s="359"/>
      <c r="BJ460" s="359"/>
      <c r="BK460" s="359"/>
      <c r="BL460" s="359"/>
      <c r="BM460" s="359"/>
      <c r="BN460" s="359"/>
      <c r="BO460" s="359"/>
      <c r="BP460" s="103"/>
    </row>
    <row r="461" spans="1:68" x14ac:dyDescent="0.3">
      <c r="A461" s="354"/>
      <c r="B461" s="354"/>
      <c r="C461" s="354"/>
      <c r="D461" s="359"/>
      <c r="E461" s="359"/>
      <c r="F461" s="103"/>
      <c r="G461" s="103"/>
      <c r="H461" s="103"/>
      <c r="I461" s="103"/>
      <c r="J461" s="103"/>
      <c r="K461" s="103"/>
      <c r="L461" s="359"/>
      <c r="M461" s="359"/>
      <c r="N461" s="359"/>
      <c r="O461" s="359"/>
      <c r="P461" s="359"/>
      <c r="Q461" s="359"/>
      <c r="R461" s="359"/>
      <c r="S461" s="359"/>
      <c r="T461" s="359"/>
      <c r="U461" s="359"/>
      <c r="V461" s="359"/>
      <c r="W461" s="359"/>
      <c r="X461" s="359"/>
      <c r="Y461" s="359"/>
      <c r="Z461" s="359"/>
      <c r="AA461" s="359"/>
      <c r="AB461" s="359"/>
      <c r="AC461" s="359"/>
      <c r="AD461" s="359"/>
      <c r="AE461" s="359"/>
      <c r="AF461" s="359"/>
      <c r="AG461" s="359"/>
      <c r="AH461" s="359"/>
      <c r="AI461" s="359"/>
      <c r="AJ461" s="359"/>
      <c r="AK461" s="359"/>
      <c r="AL461" s="359"/>
      <c r="AM461" s="359"/>
      <c r="AN461" s="359"/>
      <c r="AO461" s="359"/>
      <c r="AP461" s="359"/>
      <c r="AQ461" s="359"/>
      <c r="AR461" s="359"/>
      <c r="AS461" s="359"/>
      <c r="AT461" s="359"/>
      <c r="AU461" s="359"/>
      <c r="AV461" s="359"/>
      <c r="AW461" s="359"/>
      <c r="AX461" s="359"/>
      <c r="AY461" s="359"/>
      <c r="AZ461" s="359"/>
      <c r="BA461" s="359"/>
      <c r="BB461" s="359"/>
      <c r="BC461" s="359"/>
      <c r="BD461" s="359"/>
      <c r="BE461" s="359"/>
      <c r="BF461" s="359"/>
      <c r="BG461" s="359"/>
      <c r="BH461" s="359"/>
      <c r="BI461" s="359"/>
      <c r="BJ461" s="359"/>
      <c r="BK461" s="359"/>
      <c r="BL461" s="359"/>
      <c r="BM461" s="359"/>
      <c r="BN461" s="359"/>
      <c r="BO461" s="359"/>
      <c r="BP461" s="103"/>
    </row>
    <row r="462" spans="1:68" x14ac:dyDescent="0.3">
      <c r="A462" s="354"/>
      <c r="B462" s="354"/>
      <c r="C462" s="354"/>
      <c r="D462" s="359"/>
      <c r="E462" s="359"/>
      <c r="F462" s="103"/>
      <c r="G462" s="103"/>
      <c r="H462" s="103"/>
      <c r="I462" s="103"/>
      <c r="J462" s="103"/>
      <c r="K462" s="103"/>
      <c r="L462" s="359"/>
      <c r="M462" s="359"/>
      <c r="N462" s="359"/>
      <c r="O462" s="359"/>
      <c r="P462" s="359"/>
      <c r="Q462" s="359"/>
      <c r="R462" s="359"/>
      <c r="S462" s="359"/>
      <c r="T462" s="359"/>
      <c r="U462" s="359"/>
      <c r="V462" s="359"/>
      <c r="W462" s="359"/>
      <c r="X462" s="359"/>
      <c r="Y462" s="359"/>
      <c r="Z462" s="359"/>
      <c r="AA462" s="359"/>
      <c r="AB462" s="359"/>
      <c r="AC462" s="359"/>
      <c r="AD462" s="359"/>
      <c r="AE462" s="359"/>
      <c r="AF462" s="359"/>
      <c r="AG462" s="359"/>
      <c r="AH462" s="359"/>
      <c r="AI462" s="359"/>
      <c r="AJ462" s="359"/>
      <c r="AK462" s="359"/>
      <c r="AL462" s="359"/>
      <c r="AM462" s="359"/>
      <c r="AN462" s="359"/>
      <c r="AO462" s="359"/>
      <c r="AP462" s="359"/>
      <c r="AQ462" s="359"/>
      <c r="AR462" s="359"/>
      <c r="AS462" s="359"/>
      <c r="AT462" s="359"/>
      <c r="AU462" s="359"/>
      <c r="AV462" s="359"/>
      <c r="AW462" s="359"/>
      <c r="AX462" s="359"/>
      <c r="AY462" s="359"/>
      <c r="AZ462" s="359"/>
      <c r="BA462" s="359"/>
      <c r="BB462" s="359"/>
      <c r="BC462" s="359"/>
      <c r="BD462" s="359"/>
      <c r="BE462" s="359"/>
      <c r="BF462" s="359"/>
      <c r="BG462" s="359"/>
      <c r="BH462" s="359"/>
      <c r="BI462" s="359"/>
      <c r="BJ462" s="359"/>
      <c r="BK462" s="359"/>
      <c r="BL462" s="359"/>
      <c r="BM462" s="359"/>
      <c r="BN462" s="359"/>
      <c r="BO462" s="359"/>
      <c r="BP462" s="103"/>
    </row>
    <row r="463" spans="1:68" x14ac:dyDescent="0.3">
      <c r="A463" s="354"/>
      <c r="B463" s="354"/>
      <c r="C463" s="354"/>
      <c r="D463" s="359"/>
      <c r="E463" s="359"/>
      <c r="F463" s="103"/>
      <c r="G463" s="103"/>
      <c r="H463" s="103"/>
      <c r="I463" s="103"/>
      <c r="J463" s="103"/>
      <c r="K463" s="103"/>
      <c r="L463" s="359"/>
      <c r="M463" s="359"/>
      <c r="N463" s="359"/>
      <c r="O463" s="359"/>
      <c r="P463" s="359"/>
      <c r="Q463" s="359"/>
      <c r="R463" s="359"/>
      <c r="S463" s="359"/>
      <c r="T463" s="359"/>
      <c r="U463" s="359"/>
      <c r="V463" s="359"/>
      <c r="W463" s="359"/>
      <c r="X463" s="359"/>
      <c r="Y463" s="359"/>
      <c r="Z463" s="359"/>
      <c r="AA463" s="359"/>
      <c r="AB463" s="359"/>
      <c r="AC463" s="359"/>
      <c r="AD463" s="359"/>
      <c r="AE463" s="359"/>
      <c r="AF463" s="359"/>
      <c r="AG463" s="359"/>
      <c r="AH463" s="359"/>
      <c r="AI463" s="359"/>
      <c r="AJ463" s="359"/>
      <c r="AK463" s="359"/>
      <c r="AL463" s="359"/>
      <c r="AM463" s="359"/>
      <c r="AN463" s="359"/>
      <c r="AO463" s="359"/>
      <c r="AP463" s="359"/>
      <c r="AQ463" s="359"/>
      <c r="AR463" s="359"/>
      <c r="AS463" s="359"/>
      <c r="AT463" s="359"/>
      <c r="AU463" s="359"/>
      <c r="AV463" s="359"/>
      <c r="AW463" s="359"/>
      <c r="AX463" s="359"/>
      <c r="AY463" s="359"/>
      <c r="AZ463" s="359"/>
      <c r="BA463" s="359"/>
      <c r="BB463" s="359"/>
      <c r="BC463" s="359"/>
      <c r="BD463" s="359"/>
      <c r="BE463" s="359"/>
      <c r="BF463" s="359"/>
      <c r="BG463" s="359"/>
      <c r="BH463" s="359"/>
      <c r="BI463" s="359"/>
      <c r="BJ463" s="359"/>
      <c r="BK463" s="359"/>
      <c r="BL463" s="359"/>
      <c r="BM463" s="359"/>
      <c r="BN463" s="359"/>
      <c r="BO463" s="359"/>
      <c r="BP463" s="103"/>
    </row>
    <row r="464" spans="1:68" x14ac:dyDescent="0.3">
      <c r="A464" s="354"/>
      <c r="B464" s="354"/>
      <c r="C464" s="354"/>
      <c r="D464" s="359"/>
      <c r="E464" s="359"/>
      <c r="F464" s="103"/>
      <c r="G464" s="103"/>
      <c r="H464" s="103"/>
      <c r="I464" s="103"/>
      <c r="J464" s="103"/>
      <c r="K464" s="103"/>
      <c r="L464" s="359"/>
      <c r="M464" s="359"/>
      <c r="N464" s="359"/>
      <c r="O464" s="359"/>
      <c r="P464" s="359"/>
      <c r="Q464" s="359"/>
      <c r="R464" s="359"/>
      <c r="S464" s="359"/>
      <c r="T464" s="359"/>
      <c r="U464" s="359"/>
      <c r="V464" s="359"/>
      <c r="W464" s="359"/>
      <c r="X464" s="359"/>
      <c r="Y464" s="359"/>
      <c r="Z464" s="359"/>
      <c r="AA464" s="359"/>
      <c r="AB464" s="359"/>
      <c r="AC464" s="359"/>
      <c r="AD464" s="359"/>
      <c r="AE464" s="359"/>
      <c r="AF464" s="359"/>
      <c r="AG464" s="359"/>
      <c r="AH464" s="359"/>
      <c r="AI464" s="359"/>
      <c r="AJ464" s="359"/>
      <c r="AK464" s="359"/>
      <c r="AL464" s="359"/>
      <c r="AM464" s="359"/>
      <c r="AN464" s="359"/>
      <c r="AO464" s="359"/>
      <c r="AP464" s="359"/>
      <c r="AQ464" s="359"/>
      <c r="AR464" s="359"/>
      <c r="AS464" s="359"/>
      <c r="AT464" s="359"/>
      <c r="AU464" s="359"/>
      <c r="AV464" s="359"/>
      <c r="AW464" s="359"/>
      <c r="AX464" s="359"/>
      <c r="AY464" s="359"/>
      <c r="AZ464" s="359"/>
      <c r="BA464" s="359"/>
      <c r="BB464" s="359"/>
      <c r="BC464" s="359"/>
      <c r="BD464" s="359"/>
      <c r="BE464" s="359"/>
      <c r="BF464" s="359"/>
      <c r="BG464" s="359"/>
      <c r="BH464" s="359"/>
      <c r="BI464" s="359"/>
      <c r="BJ464" s="359"/>
      <c r="BK464" s="359"/>
      <c r="BL464" s="359"/>
      <c r="BM464" s="359"/>
      <c r="BN464" s="359"/>
      <c r="BO464" s="359"/>
      <c r="BP464" s="103"/>
    </row>
    <row r="465" spans="1:68" x14ac:dyDescent="0.3">
      <c r="A465" s="354"/>
      <c r="B465" s="354"/>
      <c r="C465" s="354"/>
      <c r="D465" s="359"/>
      <c r="E465" s="359"/>
      <c r="F465" s="103"/>
      <c r="G465" s="103"/>
      <c r="H465" s="103"/>
      <c r="I465" s="103"/>
      <c r="J465" s="103"/>
      <c r="K465" s="103"/>
      <c r="L465" s="359"/>
      <c r="M465" s="359"/>
      <c r="N465" s="359"/>
      <c r="O465" s="359"/>
      <c r="P465" s="359"/>
      <c r="Q465" s="359"/>
      <c r="R465" s="359"/>
      <c r="S465" s="359"/>
      <c r="T465" s="359"/>
      <c r="U465" s="359"/>
      <c r="V465" s="359"/>
      <c r="W465" s="359"/>
      <c r="X465" s="359"/>
      <c r="Y465" s="359"/>
      <c r="Z465" s="359"/>
      <c r="AA465" s="359"/>
      <c r="AB465" s="359"/>
      <c r="AC465" s="359"/>
      <c r="AD465" s="359"/>
      <c r="AE465" s="359"/>
      <c r="AF465" s="359"/>
      <c r="AG465" s="359"/>
      <c r="AH465" s="359"/>
      <c r="AI465" s="359"/>
      <c r="AJ465" s="359"/>
      <c r="AK465" s="359"/>
      <c r="AL465" s="359"/>
      <c r="AM465" s="359"/>
      <c r="AN465" s="359"/>
      <c r="AO465" s="359"/>
      <c r="AP465" s="359"/>
      <c r="AQ465" s="359"/>
      <c r="AR465" s="359"/>
      <c r="AS465" s="359"/>
      <c r="AT465" s="359"/>
      <c r="AU465" s="359"/>
      <c r="AV465" s="359"/>
      <c r="AW465" s="359"/>
      <c r="AX465" s="359"/>
      <c r="AY465" s="359"/>
      <c r="AZ465" s="359"/>
      <c r="BA465" s="359"/>
      <c r="BB465" s="359"/>
      <c r="BC465" s="359"/>
      <c r="BD465" s="359"/>
      <c r="BE465" s="359"/>
      <c r="BF465" s="359"/>
      <c r="BG465" s="359"/>
      <c r="BH465" s="359"/>
      <c r="BI465" s="359"/>
      <c r="BJ465" s="359"/>
      <c r="BK465" s="359"/>
      <c r="BL465" s="359"/>
      <c r="BM465" s="359"/>
      <c r="BN465" s="359"/>
      <c r="BO465" s="359"/>
      <c r="BP465" s="103"/>
    </row>
    <row r="466" spans="1:68" x14ac:dyDescent="0.3">
      <c r="A466" s="354"/>
      <c r="B466" s="354"/>
      <c r="C466" s="354"/>
      <c r="D466" s="359"/>
      <c r="E466" s="359"/>
      <c r="F466" s="103"/>
      <c r="G466" s="103"/>
      <c r="H466" s="103"/>
      <c r="I466" s="103"/>
      <c r="J466" s="103"/>
      <c r="K466" s="103"/>
      <c r="L466" s="359"/>
      <c r="M466" s="359"/>
      <c r="N466" s="359"/>
      <c r="O466" s="359"/>
      <c r="P466" s="359"/>
      <c r="Q466" s="359"/>
      <c r="R466" s="359"/>
      <c r="S466" s="359"/>
      <c r="T466" s="359"/>
      <c r="U466" s="359"/>
      <c r="V466" s="359"/>
      <c r="W466" s="359"/>
      <c r="X466" s="359"/>
      <c r="Y466" s="359"/>
      <c r="Z466" s="359"/>
      <c r="AA466" s="359"/>
      <c r="AB466" s="359"/>
      <c r="AC466" s="359"/>
      <c r="AD466" s="359"/>
      <c r="AE466" s="359"/>
      <c r="AF466" s="359"/>
      <c r="AG466" s="359"/>
      <c r="AH466" s="359"/>
      <c r="AI466" s="359"/>
      <c r="AJ466" s="359"/>
      <c r="AK466" s="359"/>
      <c r="AL466" s="359"/>
      <c r="AM466" s="359"/>
      <c r="AN466" s="359"/>
      <c r="AO466" s="359"/>
      <c r="AP466" s="359"/>
      <c r="AQ466" s="359"/>
      <c r="AR466" s="359"/>
      <c r="AS466" s="359"/>
      <c r="AT466" s="359"/>
      <c r="AU466" s="359"/>
      <c r="AV466" s="359"/>
      <c r="AW466" s="359"/>
      <c r="AX466" s="359"/>
      <c r="AY466" s="359"/>
      <c r="AZ466" s="359"/>
      <c r="BA466" s="359"/>
      <c r="BB466" s="359"/>
      <c r="BC466" s="359"/>
      <c r="BD466" s="359"/>
      <c r="BE466" s="359"/>
      <c r="BF466" s="359"/>
      <c r="BG466" s="359"/>
      <c r="BH466" s="359"/>
      <c r="BI466" s="359"/>
      <c r="BJ466" s="359"/>
      <c r="BK466" s="359"/>
      <c r="BL466" s="359"/>
      <c r="BM466" s="359"/>
      <c r="BN466" s="359"/>
      <c r="BO466" s="359"/>
      <c r="BP466" s="103"/>
    </row>
    <row r="467" spans="1:68" x14ac:dyDescent="0.3">
      <c r="A467" s="354"/>
      <c r="B467" s="354"/>
      <c r="C467" s="354"/>
      <c r="D467" s="359"/>
      <c r="E467" s="359"/>
      <c r="F467" s="103"/>
      <c r="G467" s="103"/>
      <c r="H467" s="103"/>
      <c r="I467" s="103"/>
      <c r="J467" s="103"/>
      <c r="K467" s="103"/>
      <c r="L467" s="359"/>
      <c r="M467" s="359"/>
      <c r="N467" s="359"/>
      <c r="O467" s="359"/>
      <c r="P467" s="359"/>
      <c r="Q467" s="359"/>
      <c r="R467" s="359"/>
      <c r="S467" s="359"/>
      <c r="T467" s="359"/>
      <c r="U467" s="359"/>
      <c r="V467" s="359"/>
      <c r="W467" s="359"/>
      <c r="X467" s="359"/>
      <c r="Y467" s="359"/>
      <c r="Z467" s="359"/>
      <c r="AA467" s="359"/>
      <c r="AB467" s="359"/>
      <c r="AC467" s="359"/>
      <c r="AD467" s="359"/>
      <c r="AE467" s="359"/>
      <c r="AF467" s="359"/>
      <c r="AG467" s="359"/>
      <c r="AH467" s="359"/>
      <c r="AI467" s="359"/>
      <c r="AJ467" s="359"/>
      <c r="AK467" s="359"/>
      <c r="AL467" s="359"/>
      <c r="AM467" s="359"/>
      <c r="AN467" s="359"/>
      <c r="AO467" s="359"/>
      <c r="AP467" s="359"/>
      <c r="AQ467" s="359"/>
      <c r="AR467" s="359"/>
      <c r="AS467" s="359"/>
      <c r="AT467" s="359"/>
      <c r="AU467" s="359"/>
      <c r="AV467" s="359"/>
      <c r="AW467" s="359"/>
      <c r="AX467" s="359"/>
      <c r="AY467" s="359"/>
      <c r="AZ467" s="359"/>
      <c r="BA467" s="359"/>
      <c r="BB467" s="359"/>
      <c r="BC467" s="359"/>
      <c r="BD467" s="359"/>
      <c r="BE467" s="359"/>
      <c r="BF467" s="359"/>
      <c r="BG467" s="359"/>
      <c r="BH467" s="359"/>
      <c r="BI467" s="359"/>
      <c r="BJ467" s="359"/>
      <c r="BK467" s="359"/>
      <c r="BL467" s="359"/>
      <c r="BM467" s="359"/>
      <c r="BN467" s="359"/>
      <c r="BO467" s="359"/>
      <c r="BP467" s="103"/>
    </row>
    <row r="468" spans="1:68" x14ac:dyDescent="0.3">
      <c r="A468" s="354"/>
      <c r="B468" s="354"/>
      <c r="C468" s="354"/>
      <c r="D468" s="359"/>
      <c r="E468" s="359"/>
      <c r="F468" s="103"/>
      <c r="G468" s="103"/>
      <c r="H468" s="103"/>
      <c r="I468" s="103"/>
      <c r="J468" s="103"/>
      <c r="K468" s="103"/>
      <c r="L468" s="359"/>
      <c r="M468" s="359"/>
      <c r="N468" s="359"/>
      <c r="O468" s="359"/>
      <c r="P468" s="359"/>
      <c r="Q468" s="359"/>
      <c r="R468" s="359"/>
      <c r="S468" s="359"/>
      <c r="T468" s="359"/>
      <c r="U468" s="359"/>
      <c r="V468" s="359"/>
      <c r="W468" s="359"/>
      <c r="X468" s="359"/>
      <c r="Y468" s="359"/>
      <c r="Z468" s="359"/>
      <c r="AA468" s="359"/>
      <c r="AB468" s="359"/>
      <c r="AC468" s="359"/>
      <c r="AD468" s="359"/>
      <c r="AE468" s="359"/>
      <c r="AF468" s="359"/>
      <c r="AG468" s="359"/>
      <c r="AH468" s="359"/>
      <c r="AI468" s="359"/>
      <c r="AJ468" s="359"/>
      <c r="AK468" s="359"/>
      <c r="AL468" s="359"/>
      <c r="AM468" s="359"/>
      <c r="AN468" s="359"/>
      <c r="AO468" s="359"/>
      <c r="AP468" s="359"/>
      <c r="AQ468" s="359"/>
      <c r="AR468" s="359"/>
      <c r="AS468" s="359"/>
      <c r="AT468" s="359"/>
      <c r="AU468" s="359"/>
      <c r="AV468" s="359"/>
      <c r="AW468" s="359"/>
      <c r="AX468" s="359"/>
      <c r="AY468" s="359"/>
      <c r="AZ468" s="359"/>
      <c r="BA468" s="359"/>
      <c r="BB468" s="359"/>
      <c r="BC468" s="359"/>
      <c r="BD468" s="359"/>
      <c r="BE468" s="359"/>
      <c r="BF468" s="359"/>
      <c r="BG468" s="359"/>
      <c r="BH468" s="359"/>
      <c r="BI468" s="359"/>
      <c r="BJ468" s="359"/>
      <c r="BK468" s="359"/>
      <c r="BL468" s="359"/>
      <c r="BM468" s="359"/>
      <c r="BN468" s="359"/>
      <c r="BO468" s="359"/>
      <c r="BP468" s="103"/>
    </row>
    <row r="469" spans="1:68" x14ac:dyDescent="0.3">
      <c r="A469" s="354"/>
      <c r="B469" s="354"/>
      <c r="C469" s="354"/>
      <c r="D469" s="359"/>
      <c r="E469" s="359"/>
      <c r="F469" s="103"/>
      <c r="G469" s="103"/>
      <c r="H469" s="103"/>
      <c r="I469" s="103"/>
      <c r="J469" s="103"/>
      <c r="K469" s="103"/>
      <c r="L469" s="359"/>
      <c r="M469" s="359"/>
      <c r="N469" s="359"/>
      <c r="O469" s="359"/>
      <c r="P469" s="359"/>
      <c r="Q469" s="359"/>
      <c r="R469" s="359"/>
      <c r="S469" s="359"/>
      <c r="T469" s="359"/>
      <c r="U469" s="359"/>
      <c r="V469" s="359"/>
      <c r="W469" s="359"/>
      <c r="X469" s="359"/>
      <c r="Y469" s="359"/>
      <c r="Z469" s="359"/>
      <c r="AA469" s="359"/>
      <c r="AB469" s="359"/>
      <c r="AC469" s="359"/>
      <c r="AD469" s="359"/>
      <c r="AE469" s="359"/>
      <c r="AF469" s="359"/>
      <c r="AG469" s="359"/>
      <c r="AH469" s="359"/>
      <c r="AI469" s="359"/>
      <c r="AJ469" s="359"/>
      <c r="AK469" s="359"/>
      <c r="AL469" s="359"/>
      <c r="AM469" s="359"/>
      <c r="AN469" s="359"/>
      <c r="AO469" s="359"/>
      <c r="AP469" s="359"/>
      <c r="AQ469" s="359"/>
      <c r="AR469" s="359"/>
      <c r="AS469" s="359"/>
      <c r="AT469" s="359"/>
      <c r="AU469" s="359"/>
      <c r="AV469" s="359"/>
      <c r="AW469" s="359"/>
      <c r="AX469" s="359"/>
      <c r="AY469" s="359"/>
      <c r="AZ469" s="359"/>
      <c r="BA469" s="359"/>
      <c r="BB469" s="359"/>
      <c r="BC469" s="359"/>
      <c r="BD469" s="359"/>
      <c r="BE469" s="359"/>
      <c r="BF469" s="359"/>
      <c r="BG469" s="359"/>
      <c r="BH469" s="359"/>
      <c r="BI469" s="359"/>
      <c r="BJ469" s="359"/>
      <c r="BK469" s="359"/>
      <c r="BL469" s="359"/>
      <c r="BM469" s="359"/>
      <c r="BN469" s="359"/>
      <c r="BO469" s="359"/>
      <c r="BP469" s="103"/>
    </row>
    <row r="470" spans="1:68" x14ac:dyDescent="0.3">
      <c r="A470" s="354"/>
      <c r="B470" s="354"/>
      <c r="C470" s="354"/>
      <c r="D470" s="359"/>
      <c r="E470" s="359"/>
      <c r="F470" s="103"/>
      <c r="G470" s="103"/>
      <c r="H470" s="103"/>
      <c r="I470" s="103"/>
      <c r="J470" s="103"/>
      <c r="K470" s="103"/>
      <c r="L470" s="359"/>
      <c r="M470" s="359"/>
      <c r="N470" s="359"/>
      <c r="O470" s="359"/>
      <c r="P470" s="359"/>
      <c r="Q470" s="359"/>
      <c r="R470" s="359"/>
      <c r="S470" s="359"/>
      <c r="T470" s="359"/>
      <c r="U470" s="359"/>
      <c r="V470" s="359"/>
      <c r="W470" s="359"/>
      <c r="X470" s="359"/>
      <c r="Y470" s="359"/>
      <c r="Z470" s="359"/>
      <c r="AA470" s="359"/>
      <c r="AB470" s="359"/>
      <c r="AC470" s="359"/>
      <c r="AD470" s="359"/>
      <c r="AE470" s="359"/>
      <c r="AF470" s="359"/>
      <c r="AG470" s="359"/>
      <c r="AH470" s="359"/>
      <c r="AI470" s="359"/>
      <c r="AJ470" s="359"/>
      <c r="AK470" s="359"/>
      <c r="AL470" s="359"/>
      <c r="AM470" s="359"/>
      <c r="AN470" s="359"/>
      <c r="AO470" s="359"/>
      <c r="AP470" s="359"/>
      <c r="AQ470" s="359"/>
      <c r="AR470" s="359"/>
      <c r="AS470" s="359"/>
      <c r="AT470" s="359"/>
      <c r="AU470" s="359"/>
      <c r="AV470" s="359"/>
      <c r="AW470" s="359"/>
      <c r="AX470" s="359"/>
      <c r="AY470" s="359"/>
      <c r="AZ470" s="359"/>
      <c r="BA470" s="359"/>
      <c r="BB470" s="359"/>
      <c r="BC470" s="359"/>
      <c r="BD470" s="359"/>
      <c r="BE470" s="359"/>
      <c r="BF470" s="359"/>
      <c r="BG470" s="359"/>
      <c r="BH470" s="359"/>
      <c r="BI470" s="359"/>
      <c r="BJ470" s="359"/>
      <c r="BK470" s="359"/>
      <c r="BL470" s="359"/>
      <c r="BM470" s="359"/>
      <c r="BN470" s="359"/>
      <c r="BO470" s="359"/>
      <c r="BP470" s="103"/>
    </row>
    <row r="471" spans="1:68" x14ac:dyDescent="0.3">
      <c r="A471" s="354"/>
      <c r="B471" s="354"/>
      <c r="C471" s="354"/>
      <c r="D471" s="359"/>
      <c r="E471" s="359"/>
      <c r="F471" s="103"/>
      <c r="G471" s="103"/>
      <c r="H471" s="103"/>
      <c r="I471" s="103"/>
      <c r="J471" s="103"/>
      <c r="K471" s="103"/>
      <c r="L471" s="359"/>
      <c r="M471" s="359"/>
      <c r="N471" s="359"/>
      <c r="O471" s="359"/>
      <c r="P471" s="359"/>
      <c r="Q471" s="359"/>
      <c r="R471" s="359"/>
      <c r="S471" s="359"/>
      <c r="T471" s="359"/>
      <c r="U471" s="359"/>
      <c r="V471" s="359"/>
      <c r="W471" s="359"/>
      <c r="X471" s="359"/>
      <c r="Y471" s="359"/>
      <c r="Z471" s="359"/>
      <c r="AA471" s="359"/>
      <c r="AB471" s="359"/>
      <c r="AC471" s="359"/>
      <c r="AD471" s="359"/>
      <c r="AE471" s="359"/>
      <c r="AF471" s="359"/>
      <c r="AG471" s="359"/>
      <c r="AH471" s="359"/>
      <c r="AI471" s="359"/>
      <c r="AJ471" s="359"/>
      <c r="AK471" s="359"/>
      <c r="AL471" s="359"/>
      <c r="AM471" s="359"/>
      <c r="AN471" s="359"/>
      <c r="AO471" s="359"/>
      <c r="AP471" s="359"/>
      <c r="AQ471" s="359"/>
      <c r="AR471" s="359"/>
      <c r="AS471" s="359"/>
      <c r="AT471" s="359"/>
      <c r="AU471" s="359"/>
      <c r="AV471" s="359"/>
      <c r="AW471" s="359"/>
      <c r="AX471" s="359"/>
      <c r="AY471" s="359"/>
      <c r="AZ471" s="359"/>
      <c r="BA471" s="359"/>
      <c r="BB471" s="359"/>
      <c r="BC471" s="359"/>
      <c r="BD471" s="359"/>
      <c r="BE471" s="359"/>
      <c r="BF471" s="359"/>
      <c r="BG471" s="359"/>
      <c r="BH471" s="359"/>
      <c r="BI471" s="359"/>
      <c r="BJ471" s="359"/>
      <c r="BK471" s="359"/>
      <c r="BL471" s="359"/>
      <c r="BM471" s="359"/>
      <c r="BN471" s="359"/>
      <c r="BO471" s="359"/>
      <c r="BP471" s="103"/>
    </row>
    <row r="472" spans="1:68" x14ac:dyDescent="0.3">
      <c r="A472" s="354"/>
      <c r="B472" s="354"/>
      <c r="C472" s="354"/>
      <c r="D472" s="359"/>
      <c r="E472" s="359"/>
      <c r="F472" s="103"/>
      <c r="G472" s="103"/>
      <c r="H472" s="103"/>
      <c r="I472" s="103"/>
      <c r="J472" s="103"/>
      <c r="K472" s="103"/>
      <c r="L472" s="359"/>
      <c r="M472" s="359"/>
      <c r="N472" s="359"/>
      <c r="O472" s="359"/>
      <c r="P472" s="359"/>
      <c r="Q472" s="359"/>
      <c r="R472" s="359"/>
      <c r="S472" s="359"/>
      <c r="T472" s="359"/>
      <c r="U472" s="359"/>
      <c r="V472" s="359"/>
      <c r="W472" s="359"/>
      <c r="X472" s="359"/>
      <c r="Y472" s="359"/>
      <c r="Z472" s="359"/>
      <c r="AA472" s="359"/>
      <c r="AB472" s="359"/>
      <c r="AC472" s="359"/>
      <c r="AD472" s="359"/>
      <c r="AE472" s="359"/>
      <c r="AF472" s="359"/>
      <c r="AG472" s="359"/>
      <c r="AH472" s="359"/>
      <c r="AI472" s="359"/>
      <c r="AJ472" s="359"/>
      <c r="AK472" s="359"/>
      <c r="AL472" s="359"/>
      <c r="AM472" s="359"/>
      <c r="AN472" s="359"/>
      <c r="AO472" s="359"/>
      <c r="AP472" s="359"/>
      <c r="AQ472" s="359"/>
      <c r="AR472" s="359"/>
      <c r="AS472" s="359"/>
      <c r="AT472" s="359"/>
      <c r="AU472" s="359"/>
      <c r="AV472" s="359"/>
      <c r="AW472" s="359"/>
      <c r="AX472" s="359"/>
      <c r="AY472" s="359"/>
      <c r="AZ472" s="359"/>
      <c r="BA472" s="359"/>
      <c r="BB472" s="359"/>
      <c r="BC472" s="359"/>
      <c r="BD472" s="359"/>
      <c r="BE472" s="359"/>
      <c r="BF472" s="359"/>
      <c r="BG472" s="359"/>
      <c r="BH472" s="359"/>
      <c r="BI472" s="359"/>
      <c r="BJ472" s="359"/>
      <c r="BK472" s="359"/>
      <c r="BL472" s="359"/>
      <c r="BM472" s="359"/>
      <c r="BN472" s="359"/>
      <c r="BO472" s="359"/>
      <c r="BP472" s="103"/>
    </row>
    <row r="473" spans="1:68" x14ac:dyDescent="0.3">
      <c r="A473" s="354"/>
      <c r="B473" s="354"/>
      <c r="C473" s="354"/>
      <c r="D473" s="359"/>
      <c r="E473" s="359"/>
      <c r="F473" s="103"/>
      <c r="G473" s="103"/>
      <c r="H473" s="103"/>
      <c r="I473" s="103"/>
      <c r="J473" s="103"/>
      <c r="K473" s="103"/>
      <c r="L473" s="359"/>
      <c r="M473" s="359"/>
      <c r="N473" s="359"/>
      <c r="O473" s="359"/>
      <c r="P473" s="359"/>
      <c r="Q473" s="359"/>
      <c r="R473" s="359"/>
      <c r="S473" s="359"/>
      <c r="T473" s="359"/>
      <c r="U473" s="359"/>
      <c r="V473" s="359"/>
      <c r="W473" s="359"/>
      <c r="X473" s="359"/>
      <c r="Y473" s="359"/>
      <c r="Z473" s="359"/>
      <c r="AA473" s="359"/>
      <c r="AB473" s="359"/>
      <c r="AC473" s="359"/>
      <c r="AD473" s="359"/>
      <c r="AE473" s="359"/>
      <c r="AF473" s="359"/>
      <c r="AG473" s="359"/>
      <c r="AH473" s="359"/>
      <c r="AI473" s="359"/>
      <c r="AJ473" s="359"/>
      <c r="AK473" s="359"/>
      <c r="AL473" s="359"/>
      <c r="AM473" s="359"/>
      <c r="AN473" s="359"/>
      <c r="AO473" s="359"/>
      <c r="AP473" s="359"/>
      <c r="AQ473" s="359"/>
      <c r="AR473" s="359"/>
      <c r="AS473" s="359"/>
      <c r="AT473" s="359"/>
      <c r="AU473" s="359"/>
      <c r="AV473" s="359"/>
      <c r="AW473" s="359"/>
      <c r="AX473" s="359"/>
      <c r="AY473" s="359"/>
      <c r="AZ473" s="359"/>
      <c r="BA473" s="359"/>
      <c r="BB473" s="359"/>
      <c r="BC473" s="359"/>
      <c r="BD473" s="359"/>
      <c r="BE473" s="359"/>
      <c r="BF473" s="359"/>
      <c r="BG473" s="359"/>
      <c r="BH473" s="359"/>
      <c r="BI473" s="359"/>
      <c r="BJ473" s="359"/>
      <c r="BK473" s="359"/>
      <c r="BL473" s="359"/>
      <c r="BM473" s="359"/>
      <c r="BN473" s="359"/>
      <c r="BO473" s="359"/>
      <c r="BP473" s="103"/>
    </row>
    <row r="474" spans="1:68" x14ac:dyDescent="0.3">
      <c r="A474" s="354"/>
      <c r="B474" s="354"/>
      <c r="C474" s="354"/>
      <c r="D474" s="359"/>
      <c r="E474" s="359"/>
      <c r="F474" s="103"/>
      <c r="G474" s="103"/>
      <c r="H474" s="103"/>
      <c r="I474" s="103"/>
      <c r="J474" s="103"/>
      <c r="K474" s="103"/>
      <c r="L474" s="359"/>
      <c r="M474" s="359"/>
      <c r="N474" s="359"/>
      <c r="O474" s="359"/>
      <c r="P474" s="359"/>
      <c r="Q474" s="359"/>
      <c r="R474" s="359"/>
      <c r="S474" s="359"/>
      <c r="T474" s="359"/>
      <c r="U474" s="359"/>
      <c r="V474" s="359"/>
      <c r="W474" s="359"/>
      <c r="X474" s="359"/>
      <c r="Y474" s="359"/>
      <c r="Z474" s="359"/>
      <c r="AA474" s="359"/>
      <c r="AB474" s="359"/>
      <c r="AC474" s="359"/>
      <c r="AD474" s="359"/>
      <c r="AE474" s="359"/>
      <c r="AF474" s="359"/>
      <c r="AG474" s="359"/>
      <c r="AH474" s="359"/>
      <c r="AI474" s="359"/>
      <c r="AJ474" s="359"/>
      <c r="AK474" s="359"/>
      <c r="AL474" s="359"/>
      <c r="AM474" s="359"/>
      <c r="AN474" s="359"/>
      <c r="AO474" s="359"/>
      <c r="AP474" s="359"/>
      <c r="AQ474" s="359"/>
      <c r="AR474" s="359"/>
      <c r="AS474" s="359"/>
      <c r="AT474" s="359"/>
      <c r="AU474" s="359"/>
      <c r="AV474" s="359"/>
      <c r="AW474" s="359"/>
      <c r="AX474" s="359"/>
      <c r="AY474" s="359"/>
      <c r="AZ474" s="359"/>
      <c r="BA474" s="359"/>
      <c r="BB474" s="359"/>
      <c r="BC474" s="359"/>
      <c r="BD474" s="359"/>
      <c r="BE474" s="359"/>
      <c r="BF474" s="359"/>
      <c r="BG474" s="359"/>
      <c r="BH474" s="359"/>
      <c r="BI474" s="359"/>
      <c r="BJ474" s="359"/>
      <c r="BK474" s="359"/>
      <c r="BL474" s="359"/>
      <c r="BM474" s="359"/>
      <c r="BN474" s="359"/>
      <c r="BO474" s="359"/>
      <c r="BP474" s="103"/>
    </row>
    <row r="475" spans="1:68" x14ac:dyDescent="0.3">
      <c r="A475" s="354"/>
      <c r="B475" s="354"/>
      <c r="C475" s="354"/>
      <c r="D475" s="359"/>
      <c r="E475" s="359"/>
      <c r="F475" s="103"/>
      <c r="G475" s="103"/>
      <c r="H475" s="103"/>
      <c r="I475" s="103"/>
      <c r="J475" s="103"/>
      <c r="K475" s="103"/>
      <c r="L475" s="359"/>
      <c r="M475" s="359"/>
      <c r="N475" s="359"/>
      <c r="O475" s="359"/>
      <c r="P475" s="359"/>
      <c r="Q475" s="359"/>
      <c r="R475" s="359"/>
      <c r="S475" s="359"/>
      <c r="T475" s="359"/>
      <c r="U475" s="359"/>
      <c r="V475" s="359"/>
      <c r="W475" s="359"/>
      <c r="X475" s="359"/>
      <c r="Y475" s="359"/>
      <c r="Z475" s="359"/>
      <c r="AA475" s="359"/>
      <c r="AB475" s="359"/>
      <c r="AC475" s="359"/>
      <c r="AD475" s="359"/>
      <c r="AE475" s="359"/>
      <c r="AF475" s="359"/>
      <c r="AG475" s="359"/>
      <c r="AH475" s="359"/>
      <c r="AI475" s="359"/>
      <c r="AJ475" s="359"/>
      <c r="AK475" s="359"/>
      <c r="AL475" s="359"/>
      <c r="AM475" s="359"/>
      <c r="AN475" s="359"/>
      <c r="AO475" s="359"/>
      <c r="AP475" s="359"/>
      <c r="AQ475" s="359"/>
      <c r="AR475" s="359"/>
      <c r="AS475" s="359"/>
      <c r="AT475" s="359"/>
      <c r="AU475" s="359"/>
      <c r="AV475" s="359"/>
      <c r="AW475" s="359"/>
      <c r="AX475" s="359"/>
      <c r="AY475" s="359"/>
      <c r="AZ475" s="359"/>
      <c r="BA475" s="359"/>
      <c r="BB475" s="359"/>
      <c r="BC475" s="359"/>
      <c r="BD475" s="359"/>
      <c r="BE475" s="359"/>
      <c r="BF475" s="359"/>
      <c r="BG475" s="359"/>
      <c r="BH475" s="359"/>
      <c r="BI475" s="359"/>
      <c r="BJ475" s="359"/>
      <c r="BK475" s="359"/>
      <c r="BL475" s="359"/>
      <c r="BM475" s="359"/>
      <c r="BN475" s="359"/>
      <c r="BO475" s="359"/>
      <c r="BP475" s="103"/>
    </row>
    <row r="476" spans="1:68" x14ac:dyDescent="0.3">
      <c r="A476" s="354"/>
      <c r="B476" s="354"/>
      <c r="C476" s="354"/>
      <c r="D476" s="359"/>
      <c r="E476" s="359"/>
      <c r="F476" s="103"/>
      <c r="G476" s="103"/>
      <c r="H476" s="103"/>
      <c r="I476" s="103"/>
      <c r="J476" s="103"/>
      <c r="K476" s="103"/>
      <c r="L476" s="359"/>
      <c r="M476" s="359"/>
      <c r="N476" s="359"/>
      <c r="O476" s="359"/>
      <c r="P476" s="359"/>
      <c r="Q476" s="359"/>
      <c r="R476" s="359"/>
      <c r="S476" s="359"/>
      <c r="T476" s="359"/>
      <c r="U476" s="359"/>
      <c r="V476" s="359"/>
      <c r="W476" s="359"/>
      <c r="X476" s="359"/>
      <c r="Y476" s="359"/>
      <c r="Z476" s="359"/>
      <c r="AA476" s="359"/>
      <c r="AB476" s="359"/>
      <c r="AC476" s="359"/>
      <c r="AD476" s="359"/>
      <c r="AE476" s="359"/>
      <c r="AF476" s="359"/>
      <c r="AG476" s="359"/>
      <c r="AH476" s="359"/>
      <c r="AI476" s="359"/>
      <c r="AJ476" s="359"/>
      <c r="AK476" s="359"/>
      <c r="AL476" s="359"/>
      <c r="AM476" s="359"/>
      <c r="AN476" s="359"/>
      <c r="AO476" s="359"/>
      <c r="AP476" s="359"/>
      <c r="AQ476" s="359"/>
      <c r="AR476" s="359"/>
      <c r="AS476" s="359"/>
      <c r="AT476" s="359"/>
      <c r="AU476" s="359"/>
      <c r="AV476" s="359"/>
      <c r="AW476" s="359"/>
      <c r="AX476" s="359"/>
      <c r="AY476" s="359"/>
      <c r="AZ476" s="359"/>
      <c r="BA476" s="359"/>
      <c r="BB476" s="359"/>
      <c r="BC476" s="359"/>
      <c r="BD476" s="359"/>
      <c r="BE476" s="359"/>
      <c r="BF476" s="359"/>
      <c r="BG476" s="359"/>
      <c r="BH476" s="359"/>
      <c r="BI476" s="359"/>
      <c r="BJ476" s="359"/>
      <c r="BK476" s="359"/>
      <c r="BL476" s="359"/>
      <c r="BM476" s="359"/>
      <c r="BN476" s="359"/>
      <c r="BO476" s="359"/>
      <c r="BP476" s="103"/>
    </row>
    <row r="477" spans="1:68" x14ac:dyDescent="0.3">
      <c r="A477" s="354"/>
      <c r="B477" s="354"/>
      <c r="C477" s="354"/>
      <c r="D477" s="359"/>
      <c r="E477" s="359"/>
      <c r="F477" s="103"/>
      <c r="G477" s="103"/>
      <c r="H477" s="103"/>
      <c r="I477" s="103"/>
      <c r="J477" s="103"/>
      <c r="K477" s="103"/>
      <c r="L477" s="359"/>
      <c r="M477" s="359"/>
      <c r="N477" s="359"/>
      <c r="O477" s="359"/>
      <c r="P477" s="359"/>
      <c r="Q477" s="359"/>
      <c r="R477" s="359"/>
      <c r="S477" s="359"/>
      <c r="T477" s="359"/>
      <c r="U477" s="359"/>
      <c r="V477" s="359"/>
      <c r="W477" s="359"/>
      <c r="X477" s="359"/>
      <c r="Y477" s="359"/>
      <c r="Z477" s="359"/>
      <c r="AA477" s="359"/>
      <c r="AB477" s="359"/>
      <c r="AC477" s="359"/>
      <c r="AD477" s="359"/>
      <c r="AE477" s="359"/>
      <c r="AF477" s="359"/>
      <c r="AG477" s="359"/>
      <c r="AH477" s="359"/>
      <c r="AI477" s="359"/>
      <c r="AJ477" s="359"/>
      <c r="AK477" s="359"/>
      <c r="AL477" s="359"/>
      <c r="AM477" s="359"/>
      <c r="AN477" s="359"/>
      <c r="AO477" s="359"/>
      <c r="AP477" s="359"/>
      <c r="AQ477" s="359"/>
      <c r="AR477" s="359"/>
      <c r="AS477" s="359"/>
      <c r="AT477" s="359"/>
      <c r="AU477" s="359"/>
      <c r="AV477" s="359"/>
      <c r="AW477" s="359"/>
      <c r="AX477" s="359"/>
      <c r="AY477" s="359"/>
      <c r="AZ477" s="359"/>
      <c r="BA477" s="359"/>
      <c r="BB477" s="359"/>
      <c r="BC477" s="359"/>
      <c r="BD477" s="359"/>
      <c r="BE477" s="359"/>
      <c r="BF477" s="359"/>
      <c r="BG477" s="359"/>
      <c r="BH477" s="359"/>
      <c r="BI477" s="359"/>
      <c r="BJ477" s="359"/>
      <c r="BK477" s="359"/>
      <c r="BL477" s="359"/>
      <c r="BM477" s="359"/>
      <c r="BN477" s="359"/>
      <c r="BO477" s="359"/>
      <c r="BP477" s="103"/>
    </row>
    <row r="478" spans="1:68" x14ac:dyDescent="0.3">
      <c r="A478" s="354"/>
      <c r="B478" s="354"/>
      <c r="C478" s="354"/>
      <c r="D478" s="359"/>
      <c r="E478" s="359"/>
      <c r="F478" s="103"/>
      <c r="G478" s="103"/>
      <c r="H478" s="103"/>
      <c r="I478" s="103"/>
      <c r="J478" s="103"/>
      <c r="K478" s="103"/>
      <c r="L478" s="359"/>
      <c r="M478" s="359"/>
      <c r="N478" s="359"/>
      <c r="O478" s="359"/>
      <c r="P478" s="359"/>
      <c r="Q478" s="359"/>
      <c r="R478" s="359"/>
      <c r="S478" s="359"/>
      <c r="T478" s="359"/>
      <c r="U478" s="359"/>
      <c r="V478" s="359"/>
      <c r="W478" s="359"/>
      <c r="X478" s="359"/>
      <c r="Y478" s="359"/>
      <c r="Z478" s="359"/>
      <c r="AA478" s="359"/>
      <c r="AB478" s="359"/>
      <c r="AC478" s="359"/>
      <c r="AD478" s="359"/>
      <c r="AE478" s="359"/>
      <c r="AF478" s="359"/>
      <c r="AG478" s="359"/>
      <c r="AH478" s="359"/>
      <c r="AI478" s="359"/>
      <c r="AJ478" s="359"/>
      <c r="AK478" s="359"/>
      <c r="AL478" s="359"/>
      <c r="AM478" s="359"/>
      <c r="AN478" s="359"/>
      <c r="AO478" s="359"/>
      <c r="AP478" s="359"/>
      <c r="AQ478" s="359"/>
      <c r="AR478" s="359"/>
      <c r="AS478" s="359"/>
      <c r="AT478" s="359"/>
      <c r="AU478" s="359"/>
      <c r="AV478" s="359"/>
      <c r="AW478" s="359"/>
      <c r="AX478" s="359"/>
      <c r="AY478" s="359"/>
      <c r="AZ478" s="359"/>
      <c r="BA478" s="359"/>
      <c r="BB478" s="359"/>
      <c r="BC478" s="359"/>
      <c r="BD478" s="359"/>
      <c r="BE478" s="359"/>
      <c r="BF478" s="359"/>
      <c r="BG478" s="359"/>
      <c r="BH478" s="359"/>
      <c r="BI478" s="359"/>
      <c r="BJ478" s="359"/>
      <c r="BK478" s="359"/>
      <c r="BL478" s="359"/>
      <c r="BM478" s="359"/>
      <c r="BN478" s="359"/>
      <c r="BO478" s="359"/>
      <c r="BP478" s="103"/>
    </row>
    <row r="479" spans="1:68" x14ac:dyDescent="0.3">
      <c r="A479" s="354"/>
      <c r="B479" s="354"/>
      <c r="C479" s="354"/>
      <c r="D479" s="359"/>
      <c r="E479" s="359"/>
      <c r="F479" s="103"/>
      <c r="G479" s="103"/>
      <c r="H479" s="103"/>
      <c r="I479" s="103"/>
      <c r="J479" s="103"/>
      <c r="K479" s="103"/>
      <c r="L479" s="359"/>
      <c r="M479" s="359"/>
      <c r="N479" s="359"/>
      <c r="O479" s="359"/>
      <c r="P479" s="359"/>
      <c r="Q479" s="359"/>
      <c r="R479" s="359"/>
      <c r="S479" s="359"/>
      <c r="T479" s="359"/>
      <c r="U479" s="359"/>
      <c r="V479" s="359"/>
      <c r="W479" s="359"/>
      <c r="X479" s="359"/>
      <c r="Y479" s="359"/>
      <c r="Z479" s="359"/>
      <c r="AA479" s="359"/>
      <c r="AB479" s="359"/>
      <c r="AC479" s="359"/>
      <c r="AD479" s="359"/>
      <c r="AE479" s="359"/>
      <c r="AF479" s="359"/>
      <c r="AG479" s="359"/>
      <c r="AH479" s="359"/>
      <c r="AI479" s="359"/>
      <c r="AJ479" s="359"/>
      <c r="AK479" s="359"/>
      <c r="AL479" s="359"/>
      <c r="AM479" s="359"/>
      <c r="AN479" s="359"/>
      <c r="AO479" s="359"/>
      <c r="AP479" s="359"/>
      <c r="AQ479" s="359"/>
      <c r="AR479" s="359"/>
      <c r="AS479" s="359"/>
      <c r="AT479" s="359"/>
      <c r="AU479" s="359"/>
      <c r="AV479" s="359"/>
      <c r="AW479" s="359"/>
      <c r="AX479" s="359"/>
      <c r="AY479" s="359"/>
      <c r="AZ479" s="359"/>
      <c r="BA479" s="359"/>
      <c r="BB479" s="359"/>
      <c r="BC479" s="359"/>
      <c r="BD479" s="359"/>
      <c r="BE479" s="359"/>
      <c r="BF479" s="359"/>
      <c r="BG479" s="359"/>
      <c r="BH479" s="359"/>
      <c r="BI479" s="359"/>
      <c r="BJ479" s="359"/>
      <c r="BK479" s="359"/>
      <c r="BL479" s="359"/>
      <c r="BM479" s="359"/>
      <c r="BN479" s="359"/>
      <c r="BO479" s="359"/>
      <c r="BP479" s="103"/>
    </row>
    <row r="480" spans="1:68" x14ac:dyDescent="0.3">
      <c r="A480" s="354"/>
      <c r="B480" s="354"/>
      <c r="C480" s="354"/>
      <c r="D480" s="359"/>
      <c r="E480" s="359"/>
      <c r="F480" s="103"/>
      <c r="G480" s="103"/>
      <c r="H480" s="103"/>
      <c r="I480" s="103"/>
      <c r="J480" s="103"/>
      <c r="K480" s="103"/>
      <c r="L480" s="359"/>
      <c r="M480" s="359"/>
      <c r="N480" s="359"/>
      <c r="O480" s="359"/>
      <c r="P480" s="359"/>
      <c r="Q480" s="359"/>
      <c r="R480" s="359"/>
      <c r="S480" s="359"/>
      <c r="T480" s="359"/>
      <c r="U480" s="359"/>
      <c r="V480" s="359"/>
      <c r="W480" s="359"/>
      <c r="X480" s="359"/>
      <c r="Y480" s="359"/>
      <c r="Z480" s="359"/>
      <c r="AA480" s="359"/>
      <c r="AB480" s="359"/>
      <c r="AC480" s="359"/>
      <c r="AD480" s="359"/>
      <c r="AE480" s="359"/>
      <c r="AF480" s="359"/>
      <c r="AG480" s="359"/>
      <c r="AH480" s="359"/>
      <c r="AI480" s="359"/>
      <c r="AJ480" s="359"/>
      <c r="AK480" s="359"/>
      <c r="AL480" s="359"/>
      <c r="AM480" s="359"/>
      <c r="AN480" s="359"/>
      <c r="AO480" s="359"/>
      <c r="AP480" s="359"/>
      <c r="AQ480" s="359"/>
      <c r="AR480" s="359"/>
      <c r="AS480" s="359"/>
      <c r="AT480" s="359"/>
      <c r="AU480" s="359"/>
      <c r="AV480" s="359"/>
      <c r="AW480" s="359"/>
      <c r="AX480" s="359"/>
      <c r="AY480" s="359"/>
      <c r="AZ480" s="359"/>
      <c r="BA480" s="359"/>
      <c r="BB480" s="359"/>
      <c r="BC480" s="359"/>
      <c r="BD480" s="359"/>
      <c r="BE480" s="359"/>
      <c r="BF480" s="359"/>
      <c r="BG480" s="359"/>
      <c r="BH480" s="359"/>
      <c r="BI480" s="359"/>
      <c r="BJ480" s="359"/>
      <c r="BK480" s="359"/>
      <c r="BL480" s="359"/>
      <c r="BM480" s="359"/>
      <c r="BN480" s="359"/>
      <c r="BO480" s="359"/>
      <c r="BP480" s="103"/>
    </row>
    <row r="481" spans="1:68" x14ac:dyDescent="0.3">
      <c r="A481" s="354"/>
      <c r="B481" s="354"/>
      <c r="C481" s="354"/>
      <c r="D481" s="359"/>
      <c r="E481" s="359"/>
      <c r="F481" s="103"/>
      <c r="G481" s="103"/>
      <c r="H481" s="103"/>
      <c r="I481" s="103"/>
      <c r="J481" s="103"/>
      <c r="K481" s="103"/>
      <c r="L481" s="359"/>
      <c r="M481" s="359"/>
      <c r="N481" s="359"/>
      <c r="O481" s="359"/>
      <c r="P481" s="359"/>
      <c r="Q481" s="359"/>
      <c r="R481" s="359"/>
      <c r="S481" s="359"/>
      <c r="T481" s="359"/>
      <c r="U481" s="359"/>
      <c r="V481" s="359"/>
      <c r="W481" s="359"/>
      <c r="X481" s="359"/>
      <c r="Y481" s="359"/>
      <c r="Z481" s="359"/>
      <c r="AA481" s="359"/>
      <c r="AB481" s="359"/>
      <c r="AC481" s="359"/>
      <c r="AD481" s="359"/>
      <c r="AE481" s="359"/>
      <c r="AF481" s="359"/>
      <c r="AG481" s="359"/>
      <c r="AH481" s="359"/>
      <c r="AI481" s="359"/>
      <c r="AJ481" s="359"/>
      <c r="AK481" s="359"/>
      <c r="AL481" s="359"/>
      <c r="AM481" s="359"/>
      <c r="AN481" s="359"/>
      <c r="AO481" s="359"/>
      <c r="AP481" s="359"/>
      <c r="AQ481" s="359"/>
      <c r="AR481" s="359"/>
      <c r="AS481" s="359"/>
      <c r="AT481" s="359"/>
      <c r="AU481" s="359"/>
      <c r="AV481" s="359"/>
      <c r="AW481" s="359"/>
      <c r="AX481" s="359"/>
      <c r="AY481" s="359"/>
      <c r="AZ481" s="359"/>
      <c r="BA481" s="359"/>
      <c r="BB481" s="359"/>
      <c r="BC481" s="359"/>
      <c r="BD481" s="359"/>
      <c r="BE481" s="359"/>
      <c r="BF481" s="359"/>
      <c r="BG481" s="359"/>
      <c r="BH481" s="359"/>
      <c r="BI481" s="359"/>
      <c r="BJ481" s="359"/>
      <c r="BK481" s="359"/>
      <c r="BL481" s="359"/>
      <c r="BM481" s="359"/>
      <c r="BN481" s="359"/>
      <c r="BO481" s="359"/>
      <c r="BP481" s="103"/>
    </row>
    <row r="482" spans="1:68" x14ac:dyDescent="0.3">
      <c r="A482" s="354"/>
      <c r="B482" s="354"/>
      <c r="C482" s="354"/>
      <c r="D482" s="359"/>
      <c r="E482" s="359"/>
      <c r="F482" s="103"/>
      <c r="G482" s="103"/>
      <c r="H482" s="103"/>
      <c r="I482" s="103"/>
      <c r="J482" s="103"/>
      <c r="K482" s="103"/>
      <c r="L482" s="359"/>
      <c r="M482" s="359"/>
      <c r="N482" s="359"/>
      <c r="O482" s="359"/>
      <c r="P482" s="359"/>
      <c r="Q482" s="359"/>
      <c r="R482" s="359"/>
      <c r="S482" s="359"/>
      <c r="T482" s="359"/>
      <c r="U482" s="359"/>
      <c r="V482" s="359"/>
      <c r="W482" s="359"/>
      <c r="X482" s="359"/>
      <c r="Y482" s="359"/>
      <c r="Z482" s="359"/>
      <c r="AA482" s="359"/>
      <c r="AB482" s="359"/>
      <c r="AC482" s="359"/>
      <c r="AD482" s="359"/>
      <c r="AE482" s="359"/>
      <c r="AF482" s="359"/>
      <c r="AG482" s="359"/>
      <c r="AH482" s="359"/>
      <c r="AI482" s="359"/>
      <c r="AJ482" s="359"/>
      <c r="AK482" s="359"/>
      <c r="AL482" s="359"/>
      <c r="AM482" s="359"/>
      <c r="AN482" s="359"/>
      <c r="AO482" s="359"/>
      <c r="AP482" s="359"/>
      <c r="AQ482" s="359"/>
      <c r="AR482" s="359"/>
      <c r="AS482" s="359"/>
      <c r="AT482" s="359"/>
      <c r="AU482" s="359"/>
      <c r="AV482" s="359"/>
      <c r="AW482" s="359"/>
      <c r="AX482" s="359"/>
      <c r="AY482" s="359"/>
      <c r="AZ482" s="359"/>
      <c r="BA482" s="359"/>
      <c r="BB482" s="359"/>
      <c r="BC482" s="359"/>
      <c r="BD482" s="359"/>
      <c r="BE482" s="359"/>
      <c r="BF482" s="359"/>
      <c r="BG482" s="359"/>
      <c r="BH482" s="359"/>
      <c r="BI482" s="359"/>
      <c r="BJ482" s="359"/>
      <c r="BK482" s="359"/>
      <c r="BL482" s="359"/>
      <c r="BM482" s="359"/>
      <c r="BN482" s="359"/>
      <c r="BO482" s="359"/>
      <c r="BP482" s="103"/>
    </row>
    <row r="483" spans="1:68" x14ac:dyDescent="0.3">
      <c r="A483" s="354"/>
      <c r="B483" s="354"/>
      <c r="C483" s="354"/>
      <c r="D483" s="359"/>
      <c r="E483" s="359"/>
      <c r="F483" s="103"/>
      <c r="G483" s="103"/>
      <c r="H483" s="103"/>
      <c r="I483" s="103"/>
      <c r="J483" s="103"/>
      <c r="K483" s="103"/>
      <c r="L483" s="359"/>
      <c r="M483" s="359"/>
      <c r="N483" s="359"/>
      <c r="O483" s="359"/>
      <c r="P483" s="359"/>
      <c r="Q483" s="359"/>
      <c r="R483" s="359"/>
      <c r="S483" s="359"/>
      <c r="T483" s="359"/>
      <c r="U483" s="359"/>
      <c r="V483" s="359"/>
      <c r="W483" s="359"/>
      <c r="X483" s="359"/>
      <c r="Y483" s="359"/>
      <c r="Z483" s="359"/>
      <c r="AA483" s="359"/>
      <c r="AB483" s="359"/>
      <c r="AC483" s="359"/>
      <c r="AD483" s="359"/>
      <c r="AE483" s="359"/>
      <c r="AF483" s="359"/>
      <c r="AG483" s="359"/>
      <c r="AH483" s="359"/>
      <c r="AI483" s="359"/>
      <c r="AJ483" s="359"/>
      <c r="AK483" s="359"/>
      <c r="AL483" s="359"/>
      <c r="AM483" s="359"/>
      <c r="AN483" s="359"/>
      <c r="AO483" s="359"/>
      <c r="AP483" s="359"/>
      <c r="AQ483" s="359"/>
      <c r="AR483" s="359"/>
      <c r="AS483" s="359"/>
      <c r="AT483" s="359"/>
      <c r="AU483" s="359"/>
      <c r="AV483" s="359"/>
      <c r="AW483" s="359"/>
      <c r="AX483" s="359"/>
      <c r="AY483" s="359"/>
      <c r="AZ483" s="359"/>
      <c r="BA483" s="359"/>
      <c r="BB483" s="359"/>
      <c r="BC483" s="359"/>
      <c r="BD483" s="359"/>
      <c r="BE483" s="359"/>
      <c r="BF483" s="359"/>
      <c r="BG483" s="359"/>
      <c r="BH483" s="359"/>
      <c r="BI483" s="359"/>
      <c r="BJ483" s="359"/>
      <c r="BK483" s="359"/>
      <c r="BL483" s="359"/>
      <c r="BM483" s="359"/>
      <c r="BN483" s="359"/>
      <c r="BO483" s="359"/>
      <c r="BP483" s="103"/>
    </row>
    <row r="484" spans="1:68" x14ac:dyDescent="0.3">
      <c r="A484" s="354"/>
      <c r="B484" s="354"/>
      <c r="C484" s="354"/>
      <c r="D484" s="359"/>
      <c r="E484" s="359"/>
      <c r="F484" s="103"/>
      <c r="G484" s="103"/>
      <c r="H484" s="103"/>
      <c r="I484" s="103"/>
      <c r="J484" s="103"/>
      <c r="K484" s="103"/>
      <c r="L484" s="359"/>
      <c r="M484" s="359"/>
      <c r="N484" s="359"/>
      <c r="O484" s="359"/>
      <c r="P484" s="359"/>
      <c r="Q484" s="359"/>
      <c r="R484" s="359"/>
      <c r="S484" s="359"/>
      <c r="T484" s="359"/>
      <c r="U484" s="359"/>
      <c r="V484" s="359"/>
      <c r="W484" s="359"/>
      <c r="X484" s="359"/>
      <c r="Y484" s="359"/>
      <c r="Z484" s="359"/>
      <c r="AA484" s="359"/>
      <c r="AB484" s="359"/>
      <c r="AC484" s="359"/>
      <c r="AD484" s="359"/>
      <c r="AE484" s="359"/>
      <c r="AF484" s="359"/>
      <c r="AG484" s="359"/>
      <c r="AH484" s="359"/>
      <c r="AI484" s="359"/>
      <c r="AJ484" s="359"/>
      <c r="AK484" s="359"/>
      <c r="AL484" s="359"/>
      <c r="AM484" s="359"/>
      <c r="AN484" s="359"/>
      <c r="AO484" s="359"/>
      <c r="AP484" s="359"/>
      <c r="AQ484" s="359"/>
      <c r="AR484" s="359"/>
      <c r="AS484" s="359"/>
      <c r="AT484" s="359"/>
      <c r="AU484" s="359"/>
      <c r="AV484" s="359"/>
      <c r="AW484" s="359"/>
      <c r="AX484" s="359"/>
      <c r="AY484" s="359"/>
      <c r="AZ484" s="359"/>
      <c r="BA484" s="359"/>
      <c r="BB484" s="359"/>
      <c r="BC484" s="359"/>
      <c r="BD484" s="359"/>
      <c r="BE484" s="359"/>
      <c r="BF484" s="359"/>
      <c r="BG484" s="359"/>
      <c r="BH484" s="359"/>
      <c r="BI484" s="359"/>
      <c r="BJ484" s="359"/>
      <c r="BK484" s="359"/>
      <c r="BL484" s="359"/>
      <c r="BM484" s="359"/>
      <c r="BN484" s="359"/>
      <c r="BO484" s="359"/>
      <c r="BP484" s="103"/>
    </row>
    <row r="485" spans="1:68" x14ac:dyDescent="0.3">
      <c r="A485" s="354"/>
      <c r="B485" s="354"/>
      <c r="C485" s="354"/>
      <c r="D485" s="359"/>
      <c r="E485" s="359"/>
      <c r="F485" s="103"/>
      <c r="G485" s="103"/>
      <c r="H485" s="103"/>
      <c r="I485" s="103"/>
      <c r="J485" s="103"/>
      <c r="K485" s="103"/>
      <c r="L485" s="359"/>
      <c r="M485" s="359"/>
      <c r="N485" s="359"/>
      <c r="O485" s="359"/>
      <c r="P485" s="359"/>
      <c r="Q485" s="359"/>
      <c r="R485" s="359"/>
      <c r="S485" s="359"/>
      <c r="T485" s="359"/>
      <c r="U485" s="359"/>
      <c r="V485" s="359"/>
      <c r="W485" s="359"/>
      <c r="X485" s="359"/>
      <c r="Y485" s="359"/>
      <c r="Z485" s="359"/>
      <c r="AA485" s="359"/>
      <c r="AB485" s="359"/>
      <c r="AC485" s="359"/>
      <c r="AD485" s="359"/>
      <c r="AE485" s="359"/>
      <c r="AF485" s="359"/>
      <c r="AG485" s="359"/>
      <c r="AH485" s="359"/>
      <c r="AI485" s="359"/>
      <c r="AJ485" s="359"/>
      <c r="AK485" s="359"/>
      <c r="AL485" s="359"/>
      <c r="AM485" s="359"/>
      <c r="AN485" s="359"/>
      <c r="AO485" s="359"/>
      <c r="AP485" s="359"/>
      <c r="AQ485" s="359"/>
      <c r="AR485" s="359"/>
      <c r="AS485" s="359"/>
      <c r="AT485" s="359"/>
      <c r="AU485" s="359"/>
      <c r="AV485" s="359"/>
      <c r="AW485" s="359"/>
      <c r="AX485" s="359"/>
      <c r="AY485" s="359"/>
      <c r="AZ485" s="359"/>
      <c r="BA485" s="359"/>
      <c r="BB485" s="359"/>
      <c r="BC485" s="359"/>
      <c r="BD485" s="359"/>
      <c r="BE485" s="359"/>
      <c r="BF485" s="359"/>
      <c r="BG485" s="359"/>
      <c r="BH485" s="359"/>
      <c r="BI485" s="359"/>
      <c r="BJ485" s="359"/>
      <c r="BK485" s="359"/>
      <c r="BL485" s="359"/>
      <c r="BM485" s="359"/>
      <c r="BN485" s="359"/>
      <c r="BO485" s="359"/>
      <c r="BP485" s="103"/>
    </row>
    <row r="486" spans="1:68" x14ac:dyDescent="0.3">
      <c r="A486" s="354"/>
      <c r="B486" s="354"/>
      <c r="C486" s="354"/>
      <c r="D486" s="359"/>
      <c r="E486" s="359"/>
      <c r="F486" s="103"/>
      <c r="G486" s="103"/>
      <c r="H486" s="103"/>
      <c r="I486" s="103"/>
      <c r="J486" s="103"/>
      <c r="K486" s="103"/>
      <c r="L486" s="359"/>
      <c r="M486" s="359"/>
      <c r="N486" s="359"/>
      <c r="O486" s="359"/>
      <c r="P486" s="359"/>
      <c r="Q486" s="359"/>
      <c r="R486" s="359"/>
      <c r="S486" s="359"/>
      <c r="T486" s="359"/>
      <c r="U486" s="359"/>
      <c r="V486" s="359"/>
      <c r="W486" s="359"/>
      <c r="X486" s="359"/>
      <c r="Y486" s="359"/>
      <c r="Z486" s="359"/>
      <c r="AA486" s="359"/>
      <c r="AB486" s="359"/>
      <c r="AC486" s="359"/>
      <c r="AD486" s="359"/>
      <c r="AE486" s="359"/>
      <c r="AF486" s="359"/>
      <c r="AG486" s="359"/>
      <c r="AH486" s="359"/>
      <c r="AI486" s="359"/>
      <c r="AJ486" s="359"/>
      <c r="AK486" s="359"/>
      <c r="AL486" s="359"/>
      <c r="AM486" s="359"/>
      <c r="AN486" s="359"/>
      <c r="AO486" s="359"/>
      <c r="AP486" s="359"/>
      <c r="AQ486" s="359"/>
      <c r="AR486" s="359"/>
      <c r="AS486" s="359"/>
      <c r="AT486" s="359"/>
      <c r="AU486" s="359"/>
      <c r="AV486" s="359"/>
      <c r="AW486" s="359"/>
      <c r="AX486" s="359"/>
      <c r="AY486" s="359"/>
      <c r="AZ486" s="359"/>
      <c r="BA486" s="359"/>
      <c r="BB486" s="359"/>
      <c r="BC486" s="359"/>
      <c r="BD486" s="359"/>
      <c r="BE486" s="359"/>
      <c r="BF486" s="359"/>
      <c r="BG486" s="359"/>
      <c r="BH486" s="359"/>
      <c r="BI486" s="359"/>
      <c r="BJ486" s="359"/>
      <c r="BK486" s="359"/>
      <c r="BL486" s="359"/>
      <c r="BM486" s="359"/>
      <c r="BN486" s="359"/>
      <c r="BO486" s="359"/>
      <c r="BP486" s="103"/>
    </row>
    <row r="487" spans="1:68" x14ac:dyDescent="0.3">
      <c r="A487" s="354"/>
      <c r="B487" s="354"/>
      <c r="C487" s="354"/>
      <c r="D487" s="359"/>
      <c r="E487" s="359"/>
      <c r="F487" s="103"/>
      <c r="G487" s="103"/>
      <c r="H487" s="103"/>
      <c r="I487" s="103"/>
      <c r="J487" s="103"/>
      <c r="K487" s="103"/>
      <c r="L487" s="359"/>
      <c r="M487" s="359"/>
      <c r="N487" s="359"/>
      <c r="O487" s="359"/>
      <c r="P487" s="359"/>
      <c r="Q487" s="359"/>
      <c r="R487" s="359"/>
      <c r="S487" s="359"/>
      <c r="T487" s="359"/>
      <c r="U487" s="359"/>
      <c r="V487" s="359"/>
      <c r="W487" s="359"/>
      <c r="X487" s="359"/>
      <c r="Y487" s="359"/>
      <c r="Z487" s="359"/>
      <c r="AA487" s="359"/>
      <c r="AB487" s="359"/>
      <c r="AC487" s="359"/>
      <c r="AD487" s="359"/>
      <c r="AE487" s="359"/>
      <c r="AF487" s="359"/>
      <c r="AG487" s="359"/>
      <c r="AH487" s="359"/>
      <c r="AI487" s="359"/>
      <c r="AJ487" s="359"/>
      <c r="AK487" s="359"/>
      <c r="AL487" s="359"/>
      <c r="AM487" s="359"/>
      <c r="AN487" s="359"/>
      <c r="AO487" s="359"/>
      <c r="AP487" s="359"/>
      <c r="AQ487" s="359"/>
      <c r="AR487" s="359"/>
      <c r="AS487" s="359"/>
      <c r="AT487" s="359"/>
      <c r="AU487" s="359"/>
      <c r="AV487" s="359"/>
      <c r="AW487" s="359"/>
      <c r="AX487" s="359"/>
      <c r="AY487" s="359"/>
      <c r="AZ487" s="359"/>
      <c r="BA487" s="359"/>
      <c r="BB487" s="359"/>
      <c r="BC487" s="359"/>
      <c r="BD487" s="359"/>
      <c r="BE487" s="359"/>
      <c r="BF487" s="359"/>
      <c r="BG487" s="359"/>
      <c r="BH487" s="359"/>
      <c r="BI487" s="359"/>
      <c r="BJ487" s="359"/>
      <c r="BK487" s="359"/>
      <c r="BL487" s="359"/>
      <c r="BM487" s="359"/>
      <c r="BN487" s="359"/>
      <c r="BO487" s="359"/>
      <c r="BP487" s="103"/>
    </row>
    <row r="488" spans="1:68" x14ac:dyDescent="0.3">
      <c r="A488" s="354"/>
      <c r="B488" s="354"/>
      <c r="C488" s="354"/>
      <c r="D488" s="359"/>
      <c r="E488" s="359"/>
      <c r="F488" s="103"/>
      <c r="G488" s="103"/>
      <c r="H488" s="103"/>
      <c r="I488" s="103"/>
      <c r="J488" s="103"/>
      <c r="K488" s="103"/>
      <c r="L488" s="359"/>
      <c r="M488" s="359"/>
      <c r="N488" s="359"/>
      <c r="O488" s="359"/>
      <c r="P488" s="359"/>
      <c r="Q488" s="359"/>
      <c r="R488" s="359"/>
      <c r="S488" s="359"/>
      <c r="T488" s="359"/>
      <c r="U488" s="359"/>
      <c r="V488" s="359"/>
      <c r="W488" s="359"/>
      <c r="X488" s="359"/>
      <c r="Y488" s="359"/>
      <c r="Z488" s="359"/>
      <c r="AA488" s="359"/>
      <c r="AB488" s="359"/>
      <c r="AC488" s="359"/>
      <c r="AD488" s="359"/>
      <c r="AE488" s="359"/>
      <c r="AF488" s="359"/>
      <c r="AG488" s="359"/>
      <c r="AH488" s="359"/>
      <c r="AI488" s="359"/>
      <c r="AJ488" s="359"/>
      <c r="AK488" s="359"/>
      <c r="AL488" s="359"/>
      <c r="AM488" s="359"/>
      <c r="AN488" s="359"/>
      <c r="AO488" s="359"/>
      <c r="AP488" s="359"/>
      <c r="AQ488" s="359"/>
      <c r="AR488" s="359"/>
      <c r="AS488" s="359"/>
      <c r="AT488" s="359"/>
      <c r="AU488" s="359"/>
      <c r="AV488" s="359"/>
      <c r="AW488" s="359"/>
      <c r="AX488" s="359"/>
      <c r="AY488" s="359"/>
      <c r="AZ488" s="359"/>
      <c r="BA488" s="359"/>
      <c r="BB488" s="359"/>
      <c r="BC488" s="359"/>
      <c r="BD488" s="359"/>
      <c r="BE488" s="359"/>
      <c r="BF488" s="359"/>
      <c r="BG488" s="359"/>
      <c r="BH488" s="359"/>
      <c r="BI488" s="359"/>
      <c r="BJ488" s="359"/>
      <c r="BK488" s="359"/>
      <c r="BL488" s="359"/>
      <c r="BM488" s="359"/>
      <c r="BN488" s="359"/>
      <c r="BO488" s="359"/>
      <c r="BP488" s="103"/>
    </row>
    <row r="489" spans="1:68" x14ac:dyDescent="0.3">
      <c r="A489" s="354"/>
      <c r="B489" s="354"/>
      <c r="C489" s="354"/>
      <c r="D489" s="359"/>
      <c r="E489" s="359"/>
      <c r="F489" s="103"/>
      <c r="G489" s="103"/>
      <c r="H489" s="103"/>
      <c r="I489" s="103"/>
      <c r="J489" s="103"/>
      <c r="K489" s="103"/>
      <c r="L489" s="359"/>
      <c r="M489" s="359"/>
      <c r="N489" s="359"/>
      <c r="O489" s="359"/>
      <c r="P489" s="359"/>
      <c r="Q489" s="359"/>
      <c r="R489" s="359"/>
      <c r="S489" s="359"/>
      <c r="T489" s="359"/>
      <c r="U489" s="359"/>
      <c r="V489" s="359"/>
      <c r="W489" s="359"/>
      <c r="X489" s="359"/>
      <c r="Y489" s="359"/>
      <c r="Z489" s="359"/>
      <c r="AA489" s="359"/>
      <c r="AB489" s="359"/>
      <c r="AC489" s="359"/>
      <c r="AD489" s="359"/>
      <c r="AE489" s="359"/>
      <c r="AF489" s="359"/>
      <c r="AG489" s="359"/>
      <c r="AH489" s="359"/>
      <c r="AI489" s="359"/>
      <c r="AJ489" s="359"/>
      <c r="AK489" s="359"/>
      <c r="AL489" s="359"/>
      <c r="AM489" s="359"/>
      <c r="AN489" s="359"/>
      <c r="AO489" s="359"/>
      <c r="AP489" s="359"/>
      <c r="AQ489" s="359"/>
      <c r="AR489" s="359"/>
      <c r="AS489" s="359"/>
      <c r="AT489" s="359"/>
      <c r="AU489" s="359"/>
      <c r="AV489" s="359"/>
      <c r="AW489" s="359"/>
      <c r="AX489" s="359"/>
      <c r="AY489" s="359"/>
      <c r="AZ489" s="359"/>
      <c r="BA489" s="359"/>
      <c r="BB489" s="359"/>
      <c r="BC489" s="359"/>
      <c r="BD489" s="359"/>
      <c r="BE489" s="359"/>
      <c r="BF489" s="359"/>
      <c r="BG489" s="359"/>
      <c r="BH489" s="359"/>
      <c r="BI489" s="359"/>
      <c r="BJ489" s="359"/>
      <c r="BK489" s="359"/>
      <c r="BL489" s="359"/>
      <c r="BM489" s="359"/>
      <c r="BN489" s="359"/>
      <c r="BO489" s="359"/>
      <c r="BP489" s="103"/>
    </row>
    <row r="490" spans="1:68" x14ac:dyDescent="0.3">
      <c r="A490" s="354"/>
      <c r="B490" s="354"/>
      <c r="C490" s="354"/>
      <c r="D490" s="359"/>
      <c r="E490" s="359"/>
      <c r="F490" s="103"/>
      <c r="G490" s="103"/>
      <c r="H490" s="103"/>
      <c r="I490" s="103"/>
      <c r="J490" s="103"/>
      <c r="K490" s="103"/>
      <c r="L490" s="359"/>
      <c r="M490" s="359"/>
      <c r="N490" s="359"/>
      <c r="O490" s="359"/>
      <c r="P490" s="359"/>
      <c r="Q490" s="359"/>
      <c r="R490" s="359"/>
      <c r="S490" s="359"/>
      <c r="T490" s="359"/>
      <c r="U490" s="359"/>
      <c r="V490" s="359"/>
      <c r="W490" s="359"/>
      <c r="X490" s="359"/>
      <c r="Y490" s="359"/>
      <c r="Z490" s="359"/>
      <c r="AA490" s="359"/>
      <c r="AB490" s="359"/>
      <c r="AC490" s="359"/>
      <c r="AD490" s="359"/>
      <c r="AE490" s="359"/>
      <c r="AF490" s="359"/>
      <c r="AG490" s="359"/>
      <c r="AH490" s="359"/>
      <c r="AI490" s="359"/>
      <c r="AJ490" s="359"/>
      <c r="AK490" s="359"/>
      <c r="AL490" s="359"/>
      <c r="AM490" s="359"/>
      <c r="AN490" s="359"/>
      <c r="AO490" s="359"/>
      <c r="AP490" s="359"/>
      <c r="AQ490" s="359"/>
      <c r="AR490" s="359"/>
      <c r="AS490" s="359"/>
      <c r="AT490" s="359"/>
      <c r="AU490" s="359"/>
      <c r="AV490" s="359"/>
      <c r="AW490" s="359"/>
      <c r="AX490" s="359"/>
      <c r="AY490" s="359"/>
      <c r="AZ490" s="359"/>
      <c r="BA490" s="359"/>
      <c r="BB490" s="359"/>
      <c r="BC490" s="359"/>
      <c r="BD490" s="359"/>
      <c r="BE490" s="359"/>
      <c r="BF490" s="359"/>
      <c r="BG490" s="359"/>
      <c r="BH490" s="359"/>
      <c r="BI490" s="359"/>
      <c r="BJ490" s="359"/>
      <c r="BK490" s="359"/>
      <c r="BL490" s="359"/>
      <c r="BM490" s="359"/>
      <c r="BN490" s="359"/>
      <c r="BO490" s="359"/>
      <c r="BP490" s="103"/>
    </row>
    <row r="491" spans="1:68" x14ac:dyDescent="0.3">
      <c r="A491" s="354"/>
      <c r="B491" s="354"/>
      <c r="C491" s="354"/>
      <c r="D491" s="359"/>
      <c r="E491" s="359"/>
      <c r="F491" s="103"/>
      <c r="G491" s="103"/>
      <c r="H491" s="103"/>
      <c r="I491" s="103"/>
      <c r="J491" s="103"/>
      <c r="K491" s="103"/>
      <c r="L491" s="359"/>
      <c r="M491" s="359"/>
      <c r="N491" s="359"/>
      <c r="O491" s="359"/>
      <c r="P491" s="359"/>
      <c r="Q491" s="359"/>
      <c r="R491" s="359"/>
      <c r="S491" s="359"/>
      <c r="T491" s="359"/>
      <c r="U491" s="359"/>
      <c r="V491" s="359"/>
      <c r="W491" s="359"/>
      <c r="X491" s="359"/>
      <c r="Y491" s="359"/>
      <c r="Z491" s="359"/>
      <c r="AA491" s="359"/>
      <c r="AB491" s="359"/>
      <c r="AC491" s="359"/>
      <c r="AD491" s="359"/>
      <c r="AE491" s="359"/>
      <c r="AF491" s="359"/>
      <c r="AG491" s="359"/>
      <c r="AH491" s="359"/>
      <c r="AI491" s="359"/>
      <c r="AJ491" s="359"/>
      <c r="AK491" s="359"/>
      <c r="AL491" s="359"/>
      <c r="AM491" s="359"/>
      <c r="AN491" s="359"/>
      <c r="AO491" s="359"/>
      <c r="AP491" s="359"/>
      <c r="AQ491" s="359"/>
      <c r="AR491" s="359"/>
      <c r="AS491" s="359"/>
      <c r="AT491" s="359"/>
      <c r="AU491" s="359"/>
      <c r="AV491" s="359"/>
      <c r="AW491" s="359"/>
      <c r="AX491" s="359"/>
      <c r="AY491" s="359"/>
      <c r="AZ491" s="359"/>
      <c r="BA491" s="359"/>
      <c r="BB491" s="359"/>
      <c r="BC491" s="359"/>
      <c r="BD491" s="359"/>
      <c r="BE491" s="359"/>
      <c r="BF491" s="359"/>
      <c r="BG491" s="359"/>
      <c r="BH491" s="359"/>
      <c r="BI491" s="359"/>
      <c r="BJ491" s="359"/>
      <c r="BK491" s="359"/>
      <c r="BL491" s="359"/>
      <c r="BM491" s="359"/>
      <c r="BN491" s="359"/>
      <c r="BO491" s="359"/>
      <c r="BP491" s="103"/>
    </row>
    <row r="492" spans="1:68" x14ac:dyDescent="0.3">
      <c r="A492" s="354"/>
      <c r="B492" s="354"/>
      <c r="C492" s="354"/>
      <c r="D492" s="359"/>
      <c r="E492" s="359"/>
      <c r="F492" s="103"/>
      <c r="G492" s="103"/>
      <c r="H492" s="103"/>
      <c r="I492" s="103"/>
      <c r="J492" s="103"/>
      <c r="K492" s="103"/>
      <c r="L492" s="359"/>
      <c r="M492" s="359"/>
      <c r="N492" s="359"/>
      <c r="O492" s="359"/>
      <c r="P492" s="359"/>
      <c r="Q492" s="359"/>
      <c r="R492" s="359"/>
      <c r="S492" s="359"/>
      <c r="T492" s="359"/>
      <c r="U492" s="359"/>
      <c r="V492" s="359"/>
      <c r="W492" s="359"/>
      <c r="X492" s="359"/>
      <c r="Y492" s="359"/>
      <c r="Z492" s="359"/>
      <c r="AA492" s="359"/>
      <c r="AB492" s="359"/>
      <c r="AC492" s="359"/>
      <c r="AD492" s="359"/>
      <c r="AE492" s="359"/>
      <c r="AF492" s="359"/>
      <c r="AG492" s="359"/>
      <c r="AH492" s="359"/>
      <c r="AI492" s="359"/>
      <c r="AJ492" s="359"/>
      <c r="AK492" s="359"/>
      <c r="AL492" s="359"/>
      <c r="AM492" s="359"/>
      <c r="AN492" s="359"/>
      <c r="AO492" s="359"/>
      <c r="AP492" s="359"/>
      <c r="AQ492" s="359"/>
      <c r="AR492" s="359"/>
      <c r="AS492" s="359"/>
      <c r="AT492" s="359"/>
      <c r="AU492" s="359"/>
      <c r="AV492" s="359"/>
      <c r="AW492" s="359"/>
      <c r="AX492" s="359"/>
      <c r="AY492" s="359"/>
      <c r="AZ492" s="359"/>
      <c r="BA492" s="359"/>
      <c r="BB492" s="359"/>
      <c r="BC492" s="359"/>
      <c r="BD492" s="359"/>
      <c r="BE492" s="359"/>
      <c r="BF492" s="359"/>
      <c r="BG492" s="359"/>
      <c r="BH492" s="359"/>
      <c r="BI492" s="359"/>
      <c r="BJ492" s="359"/>
      <c r="BK492" s="359"/>
      <c r="BL492" s="359"/>
      <c r="BM492" s="359"/>
      <c r="BN492" s="359"/>
      <c r="BO492" s="359"/>
      <c r="BP492" s="103"/>
    </row>
    <row r="493" spans="1:68" x14ac:dyDescent="0.3">
      <c r="A493" s="354"/>
      <c r="B493" s="354"/>
      <c r="C493" s="354"/>
      <c r="D493" s="359"/>
      <c r="E493" s="359"/>
      <c r="F493" s="103"/>
      <c r="G493" s="103"/>
      <c r="H493" s="103"/>
      <c r="I493" s="103"/>
      <c r="J493" s="103"/>
      <c r="K493" s="103"/>
      <c r="L493" s="359"/>
      <c r="M493" s="359"/>
      <c r="N493" s="359"/>
      <c r="O493" s="359"/>
      <c r="P493" s="359"/>
      <c r="Q493" s="359"/>
      <c r="R493" s="359"/>
      <c r="S493" s="359"/>
      <c r="T493" s="359"/>
      <c r="U493" s="359"/>
      <c r="V493" s="359"/>
      <c r="W493" s="359"/>
      <c r="X493" s="359"/>
      <c r="Y493" s="359"/>
      <c r="Z493" s="359"/>
      <c r="AA493" s="359"/>
      <c r="AB493" s="359"/>
      <c r="AC493" s="359"/>
      <c r="AD493" s="359"/>
      <c r="AE493" s="359"/>
      <c r="AF493" s="359"/>
      <c r="AG493" s="359"/>
      <c r="AH493" s="359"/>
      <c r="AI493" s="359"/>
      <c r="AJ493" s="359"/>
      <c r="AK493" s="359"/>
      <c r="AL493" s="359"/>
      <c r="AM493" s="359"/>
      <c r="AN493" s="359"/>
      <c r="AO493" s="359"/>
      <c r="AP493" s="359"/>
      <c r="AQ493" s="359"/>
      <c r="AR493" s="359"/>
      <c r="AS493" s="359"/>
      <c r="AT493" s="359"/>
      <c r="AU493" s="359"/>
      <c r="AV493" s="359"/>
      <c r="AW493" s="359"/>
      <c r="AX493" s="359"/>
      <c r="AY493" s="359"/>
      <c r="AZ493" s="359"/>
      <c r="BA493" s="359"/>
      <c r="BB493" s="359"/>
      <c r="BC493" s="359"/>
      <c r="BD493" s="359"/>
      <c r="BE493" s="359"/>
      <c r="BF493" s="359"/>
      <c r="BG493" s="359"/>
      <c r="BH493" s="359"/>
      <c r="BI493" s="359"/>
      <c r="BJ493" s="359"/>
      <c r="BK493" s="359"/>
      <c r="BL493" s="359"/>
      <c r="BM493" s="359"/>
      <c r="BN493" s="359"/>
      <c r="BO493" s="359"/>
      <c r="BP493" s="103"/>
    </row>
    <row r="494" spans="1:68" x14ac:dyDescent="0.3">
      <c r="A494" s="354"/>
      <c r="B494" s="354"/>
      <c r="C494" s="354"/>
      <c r="D494" s="359"/>
      <c r="E494" s="359"/>
      <c r="F494" s="103"/>
      <c r="G494" s="103"/>
      <c r="H494" s="103"/>
      <c r="I494" s="103"/>
      <c r="J494" s="103"/>
      <c r="K494" s="103"/>
      <c r="L494" s="359"/>
      <c r="M494" s="359"/>
      <c r="N494" s="359"/>
      <c r="O494" s="359"/>
      <c r="P494" s="359"/>
      <c r="Q494" s="359"/>
      <c r="R494" s="359"/>
      <c r="S494" s="359"/>
      <c r="T494" s="359"/>
      <c r="U494" s="359"/>
      <c r="V494" s="359"/>
      <c r="W494" s="359"/>
      <c r="X494" s="359"/>
      <c r="Y494" s="359"/>
      <c r="Z494" s="359"/>
      <c r="AA494" s="359"/>
      <c r="AB494" s="359"/>
      <c r="AC494" s="359"/>
      <c r="AD494" s="359"/>
      <c r="AE494" s="359"/>
      <c r="AF494" s="359"/>
      <c r="AG494" s="359"/>
      <c r="AH494" s="359"/>
      <c r="AI494" s="359"/>
      <c r="AJ494" s="359"/>
      <c r="AK494" s="359"/>
      <c r="AL494" s="359"/>
      <c r="AM494" s="359"/>
      <c r="AN494" s="359"/>
      <c r="AO494" s="359"/>
      <c r="AP494" s="359"/>
      <c r="AQ494" s="359"/>
      <c r="AR494" s="359"/>
      <c r="AS494" s="359"/>
      <c r="AT494" s="359"/>
      <c r="AU494" s="359"/>
      <c r="AV494" s="359"/>
      <c r="AW494" s="359"/>
      <c r="AX494" s="359"/>
      <c r="AY494" s="359"/>
      <c r="AZ494" s="359"/>
      <c r="BA494" s="359"/>
      <c r="BB494" s="359"/>
      <c r="BC494" s="359"/>
      <c r="BD494" s="359"/>
      <c r="BE494" s="359"/>
      <c r="BF494" s="359"/>
      <c r="BG494" s="359"/>
      <c r="BH494" s="359"/>
      <c r="BI494" s="359"/>
      <c r="BJ494" s="359"/>
      <c r="BK494" s="359"/>
      <c r="BL494" s="359"/>
      <c r="BM494" s="359"/>
      <c r="BN494" s="359"/>
      <c r="BO494" s="359"/>
      <c r="BP494" s="103"/>
    </row>
    <row r="495" spans="1:68" x14ac:dyDescent="0.3">
      <c r="A495" s="354"/>
      <c r="B495" s="354"/>
      <c r="C495" s="354"/>
      <c r="D495" s="359"/>
      <c r="E495" s="359"/>
      <c r="F495" s="103"/>
      <c r="G495" s="103"/>
      <c r="H495" s="103"/>
      <c r="I495" s="103"/>
      <c r="J495" s="103"/>
      <c r="K495" s="103"/>
      <c r="L495" s="359"/>
      <c r="M495" s="359"/>
      <c r="N495" s="359"/>
      <c r="O495" s="359"/>
      <c r="P495" s="359"/>
      <c r="Q495" s="359"/>
      <c r="R495" s="359"/>
      <c r="S495" s="359"/>
      <c r="T495" s="359"/>
      <c r="U495" s="359"/>
      <c r="V495" s="359"/>
      <c r="W495" s="359"/>
      <c r="X495" s="359"/>
      <c r="Y495" s="359"/>
      <c r="Z495" s="359"/>
      <c r="AA495" s="359"/>
      <c r="AB495" s="359"/>
      <c r="AC495" s="359"/>
      <c r="AD495" s="359"/>
      <c r="AE495" s="359"/>
      <c r="AF495" s="359"/>
      <c r="AG495" s="359"/>
      <c r="AH495" s="359"/>
      <c r="AI495" s="359"/>
      <c r="AJ495" s="359"/>
      <c r="AK495" s="359"/>
      <c r="AL495" s="359"/>
      <c r="AM495" s="359"/>
      <c r="AN495" s="359"/>
      <c r="AO495" s="359"/>
      <c r="AP495" s="359"/>
      <c r="AQ495" s="359"/>
      <c r="AR495" s="359"/>
      <c r="AS495" s="359"/>
      <c r="AT495" s="359"/>
      <c r="AU495" s="359"/>
      <c r="AV495" s="359"/>
      <c r="AW495" s="359"/>
      <c r="AX495" s="359"/>
      <c r="AY495" s="359"/>
      <c r="AZ495" s="359"/>
      <c r="BA495" s="359"/>
      <c r="BB495" s="359"/>
      <c r="BC495" s="359"/>
      <c r="BD495" s="359"/>
      <c r="BE495" s="359"/>
      <c r="BF495" s="359"/>
      <c r="BG495" s="359"/>
      <c r="BH495" s="359"/>
      <c r="BI495" s="359"/>
      <c r="BJ495" s="359"/>
      <c r="BK495" s="359"/>
      <c r="BL495" s="359"/>
      <c r="BM495" s="359"/>
      <c r="BN495" s="359"/>
      <c r="BO495" s="359"/>
      <c r="BP495" s="103"/>
    </row>
    <row r="496" spans="1:68" x14ac:dyDescent="0.3">
      <c r="A496" s="354"/>
      <c r="B496" s="354"/>
      <c r="C496" s="354"/>
      <c r="D496" s="359"/>
      <c r="E496" s="359"/>
      <c r="F496" s="103"/>
      <c r="G496" s="103"/>
      <c r="H496" s="103"/>
      <c r="I496" s="103"/>
      <c r="J496" s="103"/>
      <c r="K496" s="103"/>
      <c r="L496" s="359"/>
      <c r="M496" s="359"/>
      <c r="N496" s="359"/>
      <c r="O496" s="359"/>
      <c r="P496" s="359"/>
      <c r="Q496" s="359"/>
      <c r="R496" s="359"/>
      <c r="S496" s="359"/>
      <c r="T496" s="359"/>
      <c r="U496" s="359"/>
      <c r="V496" s="359"/>
      <c r="W496" s="359"/>
      <c r="X496" s="359"/>
      <c r="Y496" s="359"/>
      <c r="Z496" s="359"/>
      <c r="AA496" s="359"/>
      <c r="AB496" s="359"/>
      <c r="AC496" s="359"/>
      <c r="AD496" s="359"/>
      <c r="AE496" s="359"/>
      <c r="AF496" s="359"/>
      <c r="AG496" s="359"/>
      <c r="AH496" s="359"/>
      <c r="AI496" s="359"/>
      <c r="AJ496" s="359"/>
      <c r="AK496" s="359"/>
      <c r="AL496" s="359"/>
      <c r="AM496" s="359"/>
      <c r="AN496" s="359"/>
      <c r="AO496" s="359"/>
      <c r="AP496" s="359"/>
      <c r="AQ496" s="359"/>
      <c r="AR496" s="359"/>
      <c r="AS496" s="359"/>
      <c r="AT496" s="359"/>
      <c r="AU496" s="359"/>
      <c r="AV496" s="359"/>
      <c r="AW496" s="359"/>
      <c r="AX496" s="359"/>
      <c r="AY496" s="359"/>
      <c r="AZ496" s="359"/>
      <c r="BA496" s="359"/>
      <c r="BB496" s="359"/>
      <c r="BC496" s="359"/>
      <c r="BD496" s="359"/>
      <c r="BE496" s="359"/>
      <c r="BF496" s="359"/>
      <c r="BG496" s="359"/>
      <c r="BH496" s="359"/>
      <c r="BI496" s="359"/>
      <c r="BJ496" s="359"/>
      <c r="BK496" s="359"/>
      <c r="BL496" s="359"/>
      <c r="BM496" s="359"/>
      <c r="BN496" s="359"/>
      <c r="BO496" s="359"/>
      <c r="BP496" s="103"/>
    </row>
    <row r="497" spans="1:68" x14ac:dyDescent="0.3">
      <c r="A497" s="354"/>
      <c r="B497" s="354"/>
      <c r="C497" s="354"/>
      <c r="D497" s="359"/>
      <c r="E497" s="359"/>
      <c r="F497" s="103"/>
      <c r="G497" s="103"/>
      <c r="H497" s="103"/>
      <c r="I497" s="103"/>
      <c r="J497" s="103"/>
      <c r="K497" s="103"/>
      <c r="L497" s="359"/>
      <c r="M497" s="359"/>
      <c r="N497" s="359"/>
      <c r="O497" s="359"/>
      <c r="P497" s="359"/>
      <c r="Q497" s="359"/>
      <c r="R497" s="359"/>
      <c r="S497" s="359"/>
      <c r="T497" s="359"/>
      <c r="U497" s="359"/>
      <c r="V497" s="359"/>
      <c r="W497" s="359"/>
      <c r="X497" s="359"/>
      <c r="Y497" s="359"/>
      <c r="Z497" s="359"/>
      <c r="AA497" s="359"/>
      <c r="AB497" s="359"/>
      <c r="AC497" s="359"/>
      <c r="AD497" s="359"/>
      <c r="AE497" s="359"/>
      <c r="AF497" s="359"/>
      <c r="AG497" s="359"/>
      <c r="AH497" s="359"/>
      <c r="AI497" s="359"/>
      <c r="AJ497" s="359"/>
      <c r="AK497" s="359"/>
      <c r="AL497" s="359"/>
      <c r="AM497" s="359"/>
      <c r="AN497" s="359"/>
      <c r="AO497" s="359"/>
      <c r="AP497" s="359"/>
      <c r="AQ497" s="359"/>
      <c r="AR497" s="359"/>
      <c r="AS497" s="359"/>
      <c r="AT497" s="359"/>
      <c r="AU497" s="359"/>
      <c r="AV497" s="359"/>
      <c r="AW497" s="359"/>
      <c r="AX497" s="359"/>
      <c r="AY497" s="359"/>
      <c r="AZ497" s="359"/>
      <c r="BA497" s="359"/>
      <c r="BB497" s="359"/>
      <c r="BC497" s="359"/>
      <c r="BD497" s="359"/>
      <c r="BE497" s="359"/>
      <c r="BF497" s="359"/>
      <c r="BG497" s="359"/>
      <c r="BH497" s="359"/>
      <c r="BI497" s="359"/>
      <c r="BJ497" s="359"/>
      <c r="BK497" s="359"/>
      <c r="BL497" s="359"/>
      <c r="BM497" s="359"/>
      <c r="BN497" s="359"/>
      <c r="BO497" s="359"/>
      <c r="BP497" s="103"/>
    </row>
    <row r="498" spans="1:68" x14ac:dyDescent="0.3">
      <c r="A498" s="354"/>
      <c r="B498" s="354"/>
      <c r="C498" s="354"/>
      <c r="D498" s="359"/>
      <c r="E498" s="359"/>
      <c r="F498" s="103"/>
      <c r="G498" s="103"/>
      <c r="H498" s="103"/>
      <c r="I498" s="103"/>
      <c r="J498" s="103"/>
      <c r="K498" s="103"/>
      <c r="L498" s="359"/>
      <c r="M498" s="359"/>
      <c r="N498" s="359"/>
      <c r="O498" s="359"/>
      <c r="P498" s="359"/>
      <c r="Q498" s="359"/>
      <c r="R498" s="359"/>
      <c r="S498" s="359"/>
      <c r="T498" s="359"/>
      <c r="U498" s="359"/>
      <c r="V498" s="359"/>
      <c r="W498" s="359"/>
      <c r="X498" s="359"/>
      <c r="Y498" s="359"/>
      <c r="Z498" s="359"/>
      <c r="AA498" s="359"/>
      <c r="AB498" s="359"/>
      <c r="AC498" s="359"/>
      <c r="AD498" s="359"/>
      <c r="AE498" s="359"/>
      <c r="AF498" s="359"/>
      <c r="AG498" s="359"/>
      <c r="AH498" s="359"/>
      <c r="AI498" s="359"/>
      <c r="AJ498" s="359"/>
      <c r="AK498" s="359"/>
      <c r="AL498" s="359"/>
      <c r="AM498" s="359"/>
      <c r="AN498" s="359"/>
      <c r="AO498" s="359"/>
      <c r="AP498" s="359"/>
      <c r="AQ498" s="359"/>
      <c r="AR498" s="359"/>
      <c r="AS498" s="359"/>
      <c r="AT498" s="359"/>
      <c r="AU498" s="359"/>
      <c r="AV498" s="359"/>
      <c r="AW498" s="359"/>
      <c r="AX498" s="359"/>
      <c r="AY498" s="359"/>
      <c r="AZ498" s="359"/>
      <c r="BA498" s="359"/>
      <c r="BB498" s="359"/>
      <c r="BC498" s="359"/>
      <c r="BD498" s="359"/>
      <c r="BE498" s="359"/>
      <c r="BF498" s="359"/>
      <c r="BG498" s="359"/>
      <c r="BH498" s="359"/>
      <c r="BI498" s="359"/>
      <c r="BJ498" s="359"/>
      <c r="BK498" s="359"/>
      <c r="BL498" s="359"/>
      <c r="BM498" s="359"/>
      <c r="BN498" s="359"/>
      <c r="BO498" s="359"/>
      <c r="BP498" s="103"/>
    </row>
    <row r="499" spans="1:68" x14ac:dyDescent="0.3">
      <c r="A499" s="354"/>
      <c r="B499" s="354"/>
      <c r="C499" s="354"/>
      <c r="D499" s="359"/>
      <c r="E499" s="359"/>
      <c r="F499" s="103"/>
      <c r="G499" s="103"/>
      <c r="H499" s="103"/>
      <c r="I499" s="103"/>
      <c r="J499" s="103"/>
      <c r="K499" s="103"/>
      <c r="L499" s="359"/>
      <c r="M499" s="359"/>
      <c r="N499" s="359"/>
      <c r="O499" s="359"/>
      <c r="P499" s="359"/>
      <c r="Q499" s="359"/>
      <c r="R499" s="359"/>
      <c r="S499" s="359"/>
      <c r="T499" s="359"/>
      <c r="U499" s="359"/>
      <c r="V499" s="359"/>
      <c r="W499" s="359"/>
      <c r="X499" s="359"/>
      <c r="Y499" s="359"/>
      <c r="Z499" s="359"/>
      <c r="AA499" s="359"/>
      <c r="AB499" s="359"/>
      <c r="AC499" s="359"/>
      <c r="AD499" s="359"/>
      <c r="AE499" s="359"/>
      <c r="AF499" s="359"/>
      <c r="AG499" s="359"/>
      <c r="AH499" s="359"/>
      <c r="AI499" s="359"/>
      <c r="AJ499" s="359"/>
      <c r="AK499" s="359"/>
      <c r="AL499" s="359"/>
      <c r="AM499" s="359"/>
      <c r="AN499" s="359"/>
      <c r="AO499" s="359"/>
      <c r="AP499" s="359"/>
      <c r="AQ499" s="359"/>
      <c r="AR499" s="359"/>
      <c r="AS499" s="359"/>
      <c r="AT499" s="359"/>
      <c r="AU499" s="359"/>
      <c r="AV499" s="359"/>
      <c r="AW499" s="359"/>
      <c r="AX499" s="359"/>
      <c r="AY499" s="359"/>
      <c r="AZ499" s="359"/>
      <c r="BA499" s="359"/>
      <c r="BB499" s="359"/>
      <c r="BC499" s="359"/>
      <c r="BD499" s="359"/>
      <c r="BE499" s="359"/>
      <c r="BF499" s="359"/>
      <c r="BG499" s="359"/>
      <c r="BH499" s="359"/>
      <c r="BI499" s="359"/>
      <c r="BJ499" s="359"/>
      <c r="BK499" s="359"/>
      <c r="BL499" s="359"/>
      <c r="BM499" s="359"/>
      <c r="BN499" s="359"/>
      <c r="BO499" s="359"/>
      <c r="BP499" s="103"/>
    </row>
    <row r="500" spans="1:68" x14ac:dyDescent="0.3">
      <c r="A500" s="354"/>
      <c r="B500" s="354"/>
      <c r="C500" s="354"/>
      <c r="D500" s="359"/>
      <c r="E500" s="359"/>
      <c r="F500" s="103"/>
      <c r="G500" s="103"/>
      <c r="H500" s="103"/>
      <c r="I500" s="103"/>
      <c r="J500" s="103"/>
      <c r="K500" s="103"/>
      <c r="L500" s="359"/>
      <c r="M500" s="359"/>
      <c r="N500" s="359"/>
      <c r="O500" s="359"/>
      <c r="P500" s="359"/>
      <c r="Q500" s="359"/>
      <c r="R500" s="359"/>
      <c r="S500" s="359"/>
      <c r="T500" s="359"/>
      <c r="U500" s="359"/>
      <c r="V500" s="359"/>
      <c r="W500" s="359"/>
      <c r="X500" s="359"/>
      <c r="Y500" s="359"/>
      <c r="Z500" s="359"/>
      <c r="AA500" s="359"/>
      <c r="AB500" s="359"/>
      <c r="AC500" s="359"/>
      <c r="AD500" s="359"/>
      <c r="AE500" s="359"/>
      <c r="AF500" s="359"/>
      <c r="AG500" s="359"/>
      <c r="AH500" s="359"/>
      <c r="AI500" s="359"/>
      <c r="AJ500" s="359"/>
      <c r="AK500" s="359"/>
      <c r="AL500" s="359"/>
      <c r="AM500" s="359"/>
      <c r="AN500" s="359"/>
      <c r="AO500" s="359"/>
      <c r="AP500" s="359"/>
      <c r="AQ500" s="359"/>
      <c r="AR500" s="359"/>
      <c r="AS500" s="359"/>
      <c r="AT500" s="359"/>
      <c r="AU500" s="359"/>
      <c r="AV500" s="359"/>
      <c r="AW500" s="359"/>
      <c r="AX500" s="359"/>
      <c r="AY500" s="359"/>
      <c r="AZ500" s="359"/>
      <c r="BA500" s="359"/>
      <c r="BB500" s="359"/>
      <c r="BC500" s="359"/>
      <c r="BD500" s="359"/>
      <c r="BE500" s="359"/>
      <c r="BF500" s="359"/>
      <c r="BG500" s="359"/>
      <c r="BH500" s="359"/>
      <c r="BI500" s="359"/>
      <c r="BJ500" s="359"/>
      <c r="BK500" s="359"/>
      <c r="BL500" s="359"/>
      <c r="BM500" s="359"/>
      <c r="BN500" s="359"/>
      <c r="BO500" s="359"/>
      <c r="BP500" s="103"/>
    </row>
    <row r="501" spans="1:68" x14ac:dyDescent="0.3">
      <c r="A501" s="354"/>
      <c r="B501" s="354"/>
      <c r="C501" s="354"/>
      <c r="D501" s="359"/>
      <c r="E501" s="359"/>
      <c r="F501" s="103"/>
      <c r="G501" s="103"/>
      <c r="H501" s="103"/>
      <c r="I501" s="103"/>
      <c r="J501" s="103"/>
      <c r="K501" s="103"/>
      <c r="L501" s="359"/>
      <c r="M501" s="359"/>
      <c r="N501" s="359"/>
      <c r="O501" s="359"/>
      <c r="P501" s="359"/>
      <c r="Q501" s="359"/>
      <c r="R501" s="359"/>
      <c r="S501" s="359"/>
      <c r="T501" s="359"/>
      <c r="U501" s="359"/>
      <c r="V501" s="359"/>
      <c r="W501" s="359"/>
      <c r="X501" s="359"/>
      <c r="Y501" s="359"/>
      <c r="Z501" s="359"/>
      <c r="AA501" s="359"/>
      <c r="AB501" s="359"/>
      <c r="AC501" s="359"/>
      <c r="AD501" s="359"/>
      <c r="AE501" s="359"/>
      <c r="AF501" s="359"/>
      <c r="AG501" s="359"/>
      <c r="AH501" s="359"/>
      <c r="AI501" s="359"/>
      <c r="AJ501" s="359"/>
      <c r="AK501" s="359"/>
      <c r="AL501" s="359"/>
      <c r="AM501" s="359"/>
      <c r="AN501" s="359"/>
      <c r="AO501" s="359"/>
      <c r="AP501" s="359"/>
      <c r="AQ501" s="359"/>
      <c r="AR501" s="359"/>
      <c r="AS501" s="359"/>
      <c r="AT501" s="359"/>
      <c r="AU501" s="359"/>
      <c r="AV501" s="359"/>
      <c r="AW501" s="359"/>
      <c r="AX501" s="359"/>
      <c r="AY501" s="359"/>
      <c r="AZ501" s="359"/>
      <c r="BA501" s="359"/>
      <c r="BB501" s="359"/>
      <c r="BC501" s="359"/>
      <c r="BD501" s="359"/>
      <c r="BE501" s="359"/>
      <c r="BF501" s="359"/>
      <c r="BG501" s="359"/>
      <c r="BH501" s="359"/>
      <c r="BI501" s="359"/>
      <c r="BJ501" s="359"/>
      <c r="BK501" s="359"/>
      <c r="BL501" s="359"/>
      <c r="BM501" s="359"/>
      <c r="BN501" s="359"/>
      <c r="BO501" s="359"/>
      <c r="BP501" s="103"/>
    </row>
    <row r="502" spans="1:68" x14ac:dyDescent="0.3">
      <c r="A502" s="354"/>
      <c r="B502" s="354"/>
      <c r="C502" s="354"/>
      <c r="D502" s="359"/>
      <c r="E502" s="359"/>
      <c r="F502" s="103"/>
      <c r="G502" s="103"/>
      <c r="H502" s="103"/>
      <c r="I502" s="103"/>
      <c r="J502" s="103"/>
      <c r="K502" s="103"/>
      <c r="L502" s="359"/>
      <c r="M502" s="359"/>
      <c r="N502" s="359"/>
      <c r="O502" s="359"/>
      <c r="P502" s="359"/>
      <c r="Q502" s="359"/>
      <c r="R502" s="359"/>
      <c r="S502" s="359"/>
      <c r="T502" s="359"/>
      <c r="U502" s="359"/>
      <c r="V502" s="359"/>
      <c r="W502" s="359"/>
      <c r="X502" s="359"/>
      <c r="Y502" s="359"/>
      <c r="Z502" s="359"/>
      <c r="AA502" s="359"/>
      <c r="AB502" s="359"/>
      <c r="AC502" s="359"/>
      <c r="AD502" s="359"/>
      <c r="AE502" s="359"/>
      <c r="AF502" s="359"/>
      <c r="AG502" s="359"/>
      <c r="AH502" s="359"/>
      <c r="AI502" s="359"/>
      <c r="AJ502" s="359"/>
      <c r="AK502" s="359"/>
      <c r="AL502" s="359"/>
      <c r="AM502" s="359"/>
      <c r="AN502" s="359"/>
      <c r="AO502" s="359"/>
      <c r="AP502" s="359"/>
      <c r="AQ502" s="359"/>
      <c r="AR502" s="359"/>
      <c r="AS502" s="359"/>
      <c r="AT502" s="359"/>
      <c r="AU502" s="359"/>
      <c r="AV502" s="359"/>
      <c r="AW502" s="359"/>
      <c r="AX502" s="359"/>
      <c r="AY502" s="359"/>
      <c r="AZ502" s="359"/>
      <c r="BA502" s="359"/>
      <c r="BB502" s="359"/>
      <c r="BC502" s="359"/>
      <c r="BD502" s="359"/>
      <c r="BE502" s="359"/>
      <c r="BF502" s="359"/>
      <c r="BG502" s="359"/>
      <c r="BH502" s="359"/>
      <c r="BI502" s="359"/>
      <c r="BJ502" s="359"/>
      <c r="BK502" s="359"/>
      <c r="BL502" s="359"/>
      <c r="BM502" s="359"/>
      <c r="BN502" s="359"/>
      <c r="BO502" s="359"/>
      <c r="BP502" s="103"/>
    </row>
    <row r="503" spans="1:68" x14ac:dyDescent="0.3">
      <c r="A503" s="354"/>
      <c r="B503" s="354"/>
      <c r="C503" s="354"/>
      <c r="D503" s="359"/>
      <c r="E503" s="359"/>
      <c r="F503" s="103"/>
      <c r="G503" s="103"/>
      <c r="H503" s="103"/>
      <c r="I503" s="103"/>
      <c r="J503" s="103"/>
      <c r="K503" s="103"/>
      <c r="L503" s="359"/>
      <c r="M503" s="359"/>
      <c r="N503" s="359"/>
      <c r="O503" s="359"/>
      <c r="P503" s="359"/>
      <c r="Q503" s="359"/>
      <c r="R503" s="359"/>
      <c r="S503" s="359"/>
      <c r="T503" s="359"/>
      <c r="U503" s="359"/>
      <c r="V503" s="359"/>
      <c r="W503" s="359"/>
      <c r="X503" s="359"/>
      <c r="Y503" s="359"/>
      <c r="Z503" s="359"/>
      <c r="AA503" s="359"/>
      <c r="AB503" s="359"/>
      <c r="AC503" s="359"/>
      <c r="AD503" s="359"/>
      <c r="AE503" s="359"/>
      <c r="AF503" s="359"/>
      <c r="AG503" s="359"/>
      <c r="AH503" s="359"/>
      <c r="AI503" s="359"/>
      <c r="AJ503" s="359"/>
      <c r="AK503" s="359"/>
      <c r="AL503" s="359"/>
      <c r="AM503" s="359"/>
      <c r="AN503" s="359"/>
      <c r="AO503" s="359"/>
      <c r="AP503" s="359"/>
      <c r="AQ503" s="359"/>
      <c r="AR503" s="359"/>
      <c r="AS503" s="359"/>
      <c r="AT503" s="359"/>
      <c r="AU503" s="359"/>
      <c r="AV503" s="359"/>
      <c r="AW503" s="359"/>
      <c r="AX503" s="359"/>
      <c r="AY503" s="359"/>
      <c r="AZ503" s="359"/>
      <c r="BA503" s="359"/>
      <c r="BB503" s="359"/>
      <c r="BC503" s="359"/>
      <c r="BD503" s="359"/>
      <c r="BE503" s="359"/>
      <c r="BF503" s="359"/>
      <c r="BG503" s="359"/>
      <c r="BH503" s="359"/>
      <c r="BI503" s="359"/>
      <c r="BJ503" s="359"/>
      <c r="BK503" s="359"/>
      <c r="BL503" s="359"/>
      <c r="BM503" s="359"/>
      <c r="BN503" s="359"/>
      <c r="BO503" s="359"/>
      <c r="BP503" s="103"/>
    </row>
    <row r="504" spans="1:68" x14ac:dyDescent="0.3">
      <c r="A504" s="354"/>
      <c r="B504" s="354"/>
      <c r="C504" s="354"/>
      <c r="D504" s="359"/>
      <c r="E504" s="359"/>
      <c r="F504" s="103"/>
      <c r="G504" s="103"/>
      <c r="H504" s="103"/>
      <c r="I504" s="103"/>
      <c r="J504" s="103"/>
      <c r="K504" s="103"/>
      <c r="L504" s="359"/>
      <c r="M504" s="359"/>
      <c r="N504" s="359"/>
      <c r="O504" s="359"/>
      <c r="P504" s="359"/>
      <c r="Q504" s="359"/>
      <c r="R504" s="359"/>
      <c r="S504" s="359"/>
      <c r="T504" s="359"/>
      <c r="U504" s="359"/>
      <c r="V504" s="359"/>
      <c r="W504" s="359"/>
      <c r="X504" s="359"/>
      <c r="Y504" s="359"/>
      <c r="Z504" s="359"/>
      <c r="AA504" s="359"/>
      <c r="AB504" s="359"/>
      <c r="AC504" s="359"/>
      <c r="AD504" s="359"/>
      <c r="AE504" s="359"/>
      <c r="AF504" s="359"/>
      <c r="AG504" s="359"/>
      <c r="AH504" s="359"/>
      <c r="AI504" s="359"/>
      <c r="AJ504" s="359"/>
      <c r="AK504" s="359"/>
      <c r="AL504" s="359"/>
      <c r="AM504" s="359"/>
      <c r="AN504" s="359"/>
      <c r="AO504" s="359"/>
      <c r="AP504" s="359"/>
      <c r="AQ504" s="359"/>
      <c r="AR504" s="359"/>
      <c r="AS504" s="359"/>
      <c r="AT504" s="359"/>
      <c r="AU504" s="359"/>
      <c r="AV504" s="359"/>
      <c r="AW504" s="359"/>
      <c r="AX504" s="359"/>
      <c r="AY504" s="359"/>
      <c r="AZ504" s="359"/>
      <c r="BA504" s="359"/>
      <c r="BB504" s="359"/>
      <c r="BC504" s="359"/>
      <c r="BD504" s="359"/>
      <c r="BE504" s="359"/>
      <c r="BF504" s="359"/>
      <c r="BG504" s="359"/>
      <c r="BH504" s="359"/>
      <c r="BI504" s="359"/>
      <c r="BJ504" s="359"/>
      <c r="BK504" s="359"/>
      <c r="BL504" s="359"/>
      <c r="BM504" s="359"/>
      <c r="BN504" s="359"/>
      <c r="BO504" s="359"/>
      <c r="BP504" s="103"/>
    </row>
    <row r="505" spans="1:68" x14ac:dyDescent="0.3">
      <c r="A505" s="354"/>
      <c r="B505" s="354"/>
      <c r="C505" s="354"/>
      <c r="D505" s="359"/>
      <c r="E505" s="359"/>
      <c r="F505" s="103"/>
      <c r="G505" s="103"/>
      <c r="H505" s="103"/>
      <c r="I505" s="103"/>
      <c r="J505" s="103"/>
      <c r="K505" s="103"/>
      <c r="L505" s="359"/>
      <c r="M505" s="359"/>
      <c r="N505" s="359"/>
      <c r="O505" s="359"/>
      <c r="P505" s="359"/>
      <c r="Q505" s="359"/>
      <c r="R505" s="359"/>
      <c r="S505" s="359"/>
      <c r="T505" s="359"/>
      <c r="U505" s="359"/>
      <c r="V505" s="359"/>
      <c r="W505" s="359"/>
      <c r="X505" s="359"/>
      <c r="Y505" s="359"/>
      <c r="Z505" s="359"/>
      <c r="AA505" s="359"/>
      <c r="AB505" s="359"/>
      <c r="AC505" s="359"/>
      <c r="AD505" s="359"/>
      <c r="AE505" s="359"/>
      <c r="AF505" s="359"/>
      <c r="AG505" s="359"/>
      <c r="AH505" s="359"/>
      <c r="AI505" s="359"/>
      <c r="AJ505" s="359"/>
      <c r="AK505" s="359"/>
      <c r="AL505" s="359"/>
      <c r="AM505" s="359"/>
      <c r="AN505" s="359"/>
      <c r="AO505" s="359"/>
      <c r="AP505" s="359"/>
      <c r="AQ505" s="359"/>
      <c r="AR505" s="359"/>
      <c r="AS505" s="359"/>
      <c r="AT505" s="359"/>
      <c r="AU505" s="359"/>
      <c r="AV505" s="359"/>
      <c r="AW505" s="359"/>
      <c r="AX505" s="359"/>
      <c r="AY505" s="359"/>
      <c r="AZ505" s="359"/>
      <c r="BA505" s="359"/>
      <c r="BB505" s="359"/>
      <c r="BC505" s="359"/>
      <c r="BD505" s="359"/>
      <c r="BE505" s="359"/>
      <c r="BF505" s="359"/>
      <c r="BG505" s="359"/>
      <c r="BH505" s="359"/>
      <c r="BI505" s="359"/>
      <c r="BJ505" s="359"/>
      <c r="BK505" s="359"/>
      <c r="BL505" s="359"/>
      <c r="BM505" s="359"/>
      <c r="BN505" s="359"/>
      <c r="BO505" s="359"/>
      <c r="BP505" s="103"/>
    </row>
    <row r="506" spans="1:68" x14ac:dyDescent="0.3">
      <c r="A506" s="354"/>
      <c r="B506" s="354"/>
      <c r="C506" s="354"/>
      <c r="D506" s="359"/>
      <c r="E506" s="359"/>
      <c r="F506" s="103"/>
      <c r="G506" s="103"/>
      <c r="H506" s="103"/>
      <c r="I506" s="103"/>
      <c r="J506" s="103"/>
      <c r="K506" s="103"/>
      <c r="L506" s="359"/>
      <c r="M506" s="359"/>
      <c r="N506" s="359"/>
      <c r="O506" s="359"/>
      <c r="P506" s="359"/>
      <c r="Q506" s="359"/>
      <c r="R506" s="359"/>
      <c r="S506" s="359"/>
      <c r="T506" s="359"/>
      <c r="U506" s="359"/>
      <c r="V506" s="359"/>
      <c r="W506" s="359"/>
      <c r="X506" s="359"/>
      <c r="Y506" s="359"/>
      <c r="Z506" s="359"/>
      <c r="AA506" s="359"/>
      <c r="AB506" s="359"/>
      <c r="AC506" s="359"/>
      <c r="AD506" s="359"/>
      <c r="AE506" s="359"/>
      <c r="AF506" s="359"/>
      <c r="AG506" s="359"/>
      <c r="AH506" s="359"/>
      <c r="AI506" s="359"/>
      <c r="AJ506" s="359"/>
      <c r="AK506" s="359"/>
      <c r="AL506" s="359"/>
      <c r="AM506" s="359"/>
      <c r="AN506" s="359"/>
      <c r="AO506" s="359"/>
      <c r="AP506" s="359"/>
      <c r="AQ506" s="359"/>
      <c r="AR506" s="359"/>
      <c r="AS506" s="359"/>
      <c r="AT506" s="359"/>
      <c r="AU506" s="359"/>
      <c r="AV506" s="359"/>
      <c r="AW506" s="359"/>
      <c r="AX506" s="359"/>
      <c r="AY506" s="359"/>
      <c r="AZ506" s="359"/>
      <c r="BA506" s="359"/>
      <c r="BB506" s="359"/>
      <c r="BC506" s="359"/>
      <c r="BD506" s="359"/>
      <c r="BE506" s="359"/>
      <c r="BF506" s="359"/>
      <c r="BG506" s="359"/>
      <c r="BH506" s="359"/>
      <c r="BI506" s="359"/>
      <c r="BJ506" s="359"/>
      <c r="BK506" s="359"/>
      <c r="BL506" s="359"/>
      <c r="BM506" s="359"/>
      <c r="BN506" s="359"/>
      <c r="BO506" s="359"/>
      <c r="BP506" s="103"/>
    </row>
    <row r="507" spans="1:68" x14ac:dyDescent="0.3">
      <c r="A507" s="354"/>
      <c r="B507" s="354"/>
      <c r="C507" s="354"/>
      <c r="D507" s="359"/>
      <c r="E507" s="359"/>
      <c r="F507" s="103"/>
      <c r="G507" s="103"/>
      <c r="H507" s="103"/>
      <c r="I507" s="103"/>
      <c r="J507" s="103"/>
      <c r="K507" s="103"/>
      <c r="L507" s="359"/>
      <c r="M507" s="359"/>
      <c r="N507" s="359"/>
      <c r="O507" s="359"/>
      <c r="P507" s="359"/>
      <c r="Q507" s="359"/>
      <c r="R507" s="359"/>
      <c r="S507" s="359"/>
      <c r="T507" s="359"/>
      <c r="U507" s="359"/>
      <c r="V507" s="359"/>
      <c r="W507" s="359"/>
      <c r="X507" s="359"/>
      <c r="Y507" s="359"/>
      <c r="Z507" s="359"/>
      <c r="AA507" s="359"/>
      <c r="AB507" s="359"/>
      <c r="AC507" s="359"/>
      <c r="AD507" s="359"/>
      <c r="AE507" s="359"/>
      <c r="AF507" s="359"/>
      <c r="AG507" s="359"/>
      <c r="AH507" s="359"/>
      <c r="AI507" s="359"/>
      <c r="AJ507" s="359"/>
      <c r="AK507" s="359"/>
      <c r="AL507" s="359"/>
      <c r="AM507" s="359"/>
      <c r="AN507" s="359"/>
      <c r="AO507" s="359"/>
      <c r="AP507" s="359"/>
      <c r="AQ507" s="359"/>
      <c r="AR507" s="359"/>
      <c r="AS507" s="359"/>
      <c r="AT507" s="359"/>
      <c r="AU507" s="359"/>
      <c r="AV507" s="359"/>
      <c r="AW507" s="359"/>
      <c r="AX507" s="359"/>
      <c r="AY507" s="359"/>
      <c r="AZ507" s="359"/>
      <c r="BA507" s="359"/>
      <c r="BB507" s="359"/>
      <c r="BC507" s="359"/>
      <c r="BD507" s="359"/>
      <c r="BE507" s="359"/>
      <c r="BF507" s="359"/>
      <c r="BG507" s="359"/>
      <c r="BH507" s="359"/>
      <c r="BI507" s="359"/>
      <c r="BJ507" s="359"/>
      <c r="BK507" s="359"/>
      <c r="BL507" s="359"/>
      <c r="BM507" s="359"/>
      <c r="BN507" s="359"/>
      <c r="BO507" s="359"/>
      <c r="BP507" s="103"/>
    </row>
    <row r="508" spans="1:68" x14ac:dyDescent="0.3">
      <c r="A508" s="354"/>
      <c r="B508" s="354"/>
      <c r="C508" s="354"/>
      <c r="D508" s="359"/>
      <c r="E508" s="359"/>
      <c r="F508" s="103"/>
      <c r="G508" s="103"/>
      <c r="H508" s="103"/>
      <c r="I508" s="103"/>
      <c r="J508" s="103"/>
      <c r="K508" s="103"/>
      <c r="L508" s="359"/>
      <c r="M508" s="359"/>
      <c r="N508" s="359"/>
      <c r="O508" s="359"/>
      <c r="P508" s="359"/>
      <c r="Q508" s="359"/>
      <c r="R508" s="359"/>
      <c r="S508" s="359"/>
      <c r="T508" s="359"/>
      <c r="U508" s="359"/>
      <c r="V508" s="359"/>
      <c r="W508" s="359"/>
      <c r="X508" s="359"/>
      <c r="Y508" s="359"/>
      <c r="Z508" s="359"/>
      <c r="AA508" s="359"/>
      <c r="AB508" s="359"/>
      <c r="AC508" s="359"/>
      <c r="AD508" s="359"/>
      <c r="AE508" s="359"/>
      <c r="AF508" s="359"/>
      <c r="AG508" s="359"/>
      <c r="AH508" s="359"/>
      <c r="AI508" s="359"/>
      <c r="AJ508" s="359"/>
      <c r="AK508" s="359"/>
      <c r="AL508" s="359"/>
      <c r="AM508" s="359"/>
      <c r="AN508" s="359"/>
      <c r="AO508" s="359"/>
      <c r="AP508" s="359"/>
      <c r="AQ508" s="359"/>
      <c r="AR508" s="359"/>
      <c r="AS508" s="359"/>
      <c r="AT508" s="359"/>
      <c r="AU508" s="359"/>
      <c r="AV508" s="359"/>
      <c r="AW508" s="359"/>
      <c r="AX508" s="359"/>
      <c r="AY508" s="359"/>
      <c r="AZ508" s="359"/>
      <c r="BA508" s="359"/>
      <c r="BB508" s="359"/>
      <c r="BC508" s="359"/>
      <c r="BD508" s="359"/>
      <c r="BE508" s="359"/>
      <c r="BF508" s="359"/>
      <c r="BG508" s="359"/>
      <c r="BH508" s="359"/>
      <c r="BI508" s="359"/>
      <c r="BJ508" s="359"/>
      <c r="BK508" s="359"/>
      <c r="BL508" s="359"/>
      <c r="BM508" s="359"/>
      <c r="BN508" s="359"/>
      <c r="BO508" s="359"/>
      <c r="BP508" s="103"/>
    </row>
    <row r="509" spans="1:68" x14ac:dyDescent="0.3">
      <c r="A509" s="354"/>
      <c r="B509" s="354"/>
      <c r="C509" s="354"/>
      <c r="D509" s="359"/>
      <c r="E509" s="359"/>
      <c r="F509" s="103"/>
      <c r="G509" s="103"/>
      <c r="H509" s="103"/>
      <c r="I509" s="103"/>
      <c r="J509" s="103"/>
      <c r="K509" s="103"/>
      <c r="L509" s="359"/>
      <c r="M509" s="359"/>
      <c r="N509" s="359"/>
      <c r="O509" s="359"/>
      <c r="P509" s="359"/>
      <c r="Q509" s="359"/>
      <c r="R509" s="359"/>
      <c r="S509" s="359"/>
      <c r="T509" s="359"/>
      <c r="U509" s="359"/>
      <c r="V509" s="359"/>
      <c r="W509" s="359"/>
      <c r="X509" s="359"/>
      <c r="Y509" s="359"/>
      <c r="Z509" s="359"/>
      <c r="AA509" s="359"/>
      <c r="AB509" s="359"/>
      <c r="AC509" s="359"/>
      <c r="AD509" s="359"/>
      <c r="AE509" s="359"/>
      <c r="AF509" s="359"/>
      <c r="AG509" s="359"/>
      <c r="AH509" s="359"/>
      <c r="AI509" s="359"/>
      <c r="AJ509" s="359"/>
      <c r="AK509" s="359"/>
      <c r="AL509" s="359"/>
      <c r="AM509" s="359"/>
      <c r="AN509" s="359"/>
      <c r="AO509" s="359"/>
      <c r="AP509" s="359"/>
      <c r="AQ509" s="359"/>
      <c r="AR509" s="359"/>
      <c r="AS509" s="359"/>
      <c r="AT509" s="359"/>
      <c r="AU509" s="359"/>
      <c r="AV509" s="359"/>
      <c r="AW509" s="359"/>
      <c r="AX509" s="359"/>
      <c r="AY509" s="359"/>
      <c r="AZ509" s="359"/>
      <c r="BA509" s="359"/>
      <c r="BB509" s="359"/>
      <c r="BC509" s="359"/>
      <c r="BD509" s="359"/>
      <c r="BE509" s="359"/>
      <c r="BF509" s="359"/>
      <c r="BG509" s="359"/>
      <c r="BH509" s="359"/>
      <c r="BI509" s="359"/>
      <c r="BJ509" s="359"/>
      <c r="BK509" s="359"/>
      <c r="BL509" s="359"/>
      <c r="BM509" s="359"/>
      <c r="BN509" s="359"/>
      <c r="BO509" s="359"/>
      <c r="BP509" s="103"/>
    </row>
    <row r="510" spans="1:68" x14ac:dyDescent="0.3">
      <c r="A510" s="354"/>
      <c r="B510" s="354"/>
      <c r="C510" s="354"/>
      <c r="D510" s="359"/>
      <c r="E510" s="359"/>
      <c r="F510" s="103"/>
      <c r="G510" s="103"/>
      <c r="H510" s="103"/>
      <c r="I510" s="103"/>
      <c r="J510" s="103"/>
      <c r="K510" s="103"/>
      <c r="L510" s="359"/>
      <c r="M510" s="359"/>
      <c r="N510" s="359"/>
      <c r="O510" s="359"/>
      <c r="P510" s="359"/>
      <c r="Q510" s="359"/>
      <c r="R510" s="359"/>
      <c r="S510" s="359"/>
      <c r="T510" s="359"/>
      <c r="U510" s="359"/>
      <c r="V510" s="359"/>
      <c r="W510" s="359"/>
      <c r="X510" s="359"/>
      <c r="Y510" s="359"/>
      <c r="Z510" s="359"/>
      <c r="AA510" s="359"/>
      <c r="AB510" s="359"/>
      <c r="AC510" s="359"/>
      <c r="AD510" s="359"/>
      <c r="AE510" s="359"/>
      <c r="AF510" s="359"/>
      <c r="AG510" s="359"/>
      <c r="AH510" s="359"/>
      <c r="AI510" s="359"/>
      <c r="AJ510" s="359"/>
      <c r="AK510" s="359"/>
      <c r="AL510" s="359"/>
      <c r="AM510" s="359"/>
      <c r="AN510" s="359"/>
      <c r="AO510" s="359"/>
      <c r="AP510" s="359"/>
      <c r="AQ510" s="359"/>
      <c r="AR510" s="359"/>
      <c r="AS510" s="359"/>
      <c r="AT510" s="359"/>
      <c r="AU510" s="359"/>
      <c r="AV510" s="359"/>
      <c r="AW510" s="359"/>
      <c r="AX510" s="359"/>
      <c r="AY510" s="359"/>
      <c r="AZ510" s="359"/>
      <c r="BA510" s="359"/>
      <c r="BB510" s="359"/>
      <c r="BC510" s="359"/>
      <c r="BD510" s="359"/>
      <c r="BE510" s="359"/>
      <c r="BF510" s="359"/>
      <c r="BG510" s="359"/>
      <c r="BH510" s="359"/>
      <c r="BI510" s="359"/>
      <c r="BJ510" s="359"/>
      <c r="BK510" s="359"/>
      <c r="BL510" s="359"/>
      <c r="BM510" s="359"/>
      <c r="BN510" s="359"/>
      <c r="BO510" s="359"/>
      <c r="BP510" s="103"/>
    </row>
    <row r="511" spans="1:68" x14ac:dyDescent="0.3">
      <c r="A511" s="354"/>
      <c r="B511" s="354"/>
      <c r="C511" s="354"/>
      <c r="D511" s="359"/>
      <c r="E511" s="359"/>
      <c r="F511" s="103"/>
      <c r="G511" s="103"/>
      <c r="H511" s="103"/>
      <c r="I511" s="103"/>
      <c r="J511" s="103"/>
      <c r="K511" s="103"/>
      <c r="L511" s="359"/>
      <c r="M511" s="359"/>
      <c r="N511" s="359"/>
      <c r="O511" s="359"/>
      <c r="P511" s="359"/>
      <c r="Q511" s="359"/>
      <c r="R511" s="359"/>
      <c r="S511" s="359"/>
      <c r="T511" s="359"/>
      <c r="U511" s="359"/>
      <c r="V511" s="359"/>
      <c r="W511" s="359"/>
      <c r="X511" s="359"/>
      <c r="Y511" s="359"/>
      <c r="Z511" s="359"/>
      <c r="AA511" s="359"/>
      <c r="AB511" s="359"/>
      <c r="AC511" s="359"/>
      <c r="AD511" s="359"/>
      <c r="AE511" s="359"/>
      <c r="AF511" s="359"/>
      <c r="AG511" s="359"/>
      <c r="AH511" s="359"/>
      <c r="AI511" s="359"/>
      <c r="AJ511" s="359"/>
      <c r="AK511" s="359"/>
      <c r="AL511" s="359"/>
      <c r="AM511" s="359"/>
      <c r="AN511" s="359"/>
      <c r="AO511" s="359"/>
      <c r="AP511" s="359"/>
      <c r="AQ511" s="359"/>
      <c r="AR511" s="359"/>
      <c r="AS511" s="359"/>
      <c r="AT511" s="359"/>
      <c r="AU511" s="359"/>
      <c r="AV511" s="359"/>
      <c r="AW511" s="359"/>
      <c r="AX511" s="359"/>
      <c r="AY511" s="359"/>
      <c r="AZ511" s="359"/>
      <c r="BA511" s="359"/>
      <c r="BB511" s="359"/>
      <c r="BC511" s="359"/>
      <c r="BD511" s="359"/>
      <c r="BE511" s="359"/>
      <c r="BF511" s="359"/>
      <c r="BG511" s="359"/>
      <c r="BH511" s="359"/>
      <c r="BI511" s="359"/>
      <c r="BJ511" s="359"/>
      <c r="BK511" s="359"/>
      <c r="BL511" s="359"/>
      <c r="BM511" s="359"/>
      <c r="BN511" s="359"/>
      <c r="BO511" s="359"/>
      <c r="BP511" s="103"/>
    </row>
    <row r="512" spans="1:68" x14ac:dyDescent="0.3">
      <c r="A512" s="354"/>
      <c r="B512" s="354"/>
      <c r="C512" s="354"/>
      <c r="D512" s="359"/>
      <c r="E512" s="359"/>
      <c r="F512" s="103"/>
      <c r="G512" s="103"/>
      <c r="H512" s="103"/>
      <c r="I512" s="103"/>
      <c r="J512" s="103"/>
      <c r="K512" s="103"/>
      <c r="L512" s="359"/>
      <c r="M512" s="359"/>
      <c r="N512" s="359"/>
      <c r="O512" s="359"/>
      <c r="P512" s="359"/>
      <c r="Q512" s="359"/>
      <c r="R512" s="359"/>
      <c r="S512" s="359"/>
      <c r="T512" s="359"/>
      <c r="U512" s="359"/>
      <c r="V512" s="359"/>
      <c r="W512" s="359"/>
      <c r="X512" s="359"/>
      <c r="Y512" s="359"/>
      <c r="Z512" s="359"/>
      <c r="AA512" s="359"/>
      <c r="AB512" s="359"/>
      <c r="AC512" s="359"/>
      <c r="AD512" s="359"/>
      <c r="AE512" s="359"/>
      <c r="AF512" s="359"/>
      <c r="AG512" s="359"/>
      <c r="AH512" s="359"/>
      <c r="AI512" s="359"/>
      <c r="AJ512" s="359"/>
      <c r="AK512" s="359"/>
      <c r="AL512" s="359"/>
      <c r="AM512" s="359"/>
      <c r="AN512" s="359"/>
      <c r="AO512" s="359"/>
      <c r="AP512" s="359"/>
      <c r="AQ512" s="359"/>
      <c r="AR512" s="359"/>
      <c r="AS512" s="359"/>
      <c r="AT512" s="359"/>
      <c r="AU512" s="359"/>
      <c r="AV512" s="359"/>
      <c r="AW512" s="359"/>
      <c r="AX512" s="359"/>
      <c r="AY512" s="359"/>
      <c r="AZ512" s="359"/>
      <c r="BA512" s="359"/>
      <c r="BB512" s="359"/>
      <c r="BC512" s="359"/>
      <c r="BD512" s="359"/>
      <c r="BE512" s="359"/>
      <c r="BF512" s="359"/>
      <c r="BG512" s="359"/>
      <c r="BH512" s="359"/>
      <c r="BI512" s="359"/>
      <c r="BJ512" s="359"/>
      <c r="BK512" s="359"/>
      <c r="BL512" s="359"/>
      <c r="BM512" s="359"/>
      <c r="BN512" s="359"/>
      <c r="BO512" s="359"/>
      <c r="BP512" s="103"/>
    </row>
    <row r="513" spans="1:68" x14ac:dyDescent="0.3">
      <c r="A513" s="354"/>
      <c r="B513" s="354"/>
      <c r="C513" s="354"/>
      <c r="D513" s="359"/>
      <c r="E513" s="359"/>
      <c r="F513" s="103"/>
      <c r="G513" s="103"/>
      <c r="H513" s="103"/>
      <c r="I513" s="103"/>
      <c r="J513" s="103"/>
      <c r="K513" s="103"/>
      <c r="L513" s="359"/>
      <c r="M513" s="359"/>
      <c r="N513" s="359"/>
      <c r="O513" s="359"/>
      <c r="P513" s="359"/>
      <c r="Q513" s="359"/>
      <c r="R513" s="359"/>
      <c r="S513" s="359"/>
      <c r="T513" s="359"/>
      <c r="U513" s="359"/>
      <c r="V513" s="359"/>
      <c r="W513" s="359"/>
      <c r="X513" s="359"/>
      <c r="Y513" s="359"/>
      <c r="Z513" s="359"/>
      <c r="AA513" s="359"/>
      <c r="AB513" s="359"/>
      <c r="AC513" s="359"/>
      <c r="AD513" s="359"/>
      <c r="AE513" s="359"/>
      <c r="AF513" s="359"/>
      <c r="AG513" s="359"/>
      <c r="AH513" s="359"/>
      <c r="AI513" s="359"/>
      <c r="AJ513" s="359"/>
      <c r="AK513" s="359"/>
      <c r="AL513" s="359"/>
      <c r="AM513" s="359"/>
      <c r="AN513" s="359"/>
      <c r="AO513" s="359"/>
      <c r="AP513" s="359"/>
      <c r="AQ513" s="359"/>
      <c r="AR513" s="359"/>
      <c r="AS513" s="359"/>
      <c r="AT513" s="359"/>
      <c r="AU513" s="359"/>
      <c r="AV513" s="359"/>
      <c r="AW513" s="359"/>
      <c r="AX513" s="359"/>
      <c r="AY513" s="359"/>
      <c r="AZ513" s="359"/>
      <c r="BA513" s="359"/>
      <c r="BB513" s="359"/>
      <c r="BC513" s="359"/>
      <c r="BD513" s="359"/>
      <c r="BE513" s="359"/>
      <c r="BF513" s="359"/>
      <c r="BG513" s="359"/>
      <c r="BH513" s="359"/>
      <c r="BI513" s="359"/>
      <c r="BJ513" s="359"/>
      <c r="BK513" s="359"/>
      <c r="BL513" s="359"/>
      <c r="BM513" s="359"/>
      <c r="BN513" s="359"/>
      <c r="BO513" s="359"/>
      <c r="BP513" s="103"/>
    </row>
    <row r="514" spans="1:68" x14ac:dyDescent="0.3">
      <c r="A514" s="354"/>
      <c r="B514" s="354"/>
      <c r="C514" s="354"/>
      <c r="D514" s="359"/>
      <c r="E514" s="359"/>
      <c r="F514" s="103"/>
      <c r="G514" s="103"/>
      <c r="H514" s="103"/>
      <c r="I514" s="103"/>
      <c r="J514" s="103"/>
      <c r="K514" s="103"/>
      <c r="L514" s="359"/>
      <c r="M514" s="359"/>
      <c r="N514" s="359"/>
      <c r="O514" s="359"/>
      <c r="P514" s="359"/>
      <c r="Q514" s="359"/>
      <c r="R514" s="359"/>
      <c r="S514" s="359"/>
      <c r="T514" s="359"/>
      <c r="U514" s="359"/>
      <c r="V514" s="359"/>
      <c r="W514" s="359"/>
      <c r="X514" s="359"/>
      <c r="Y514" s="359"/>
      <c r="Z514" s="359"/>
      <c r="AA514" s="359"/>
      <c r="AB514" s="359"/>
      <c r="AC514" s="359"/>
      <c r="AD514" s="359"/>
      <c r="AE514" s="359"/>
      <c r="AF514" s="359"/>
      <c r="AG514" s="359"/>
      <c r="AH514" s="359"/>
      <c r="AI514" s="359"/>
      <c r="AJ514" s="359"/>
      <c r="AK514" s="359"/>
      <c r="AL514" s="359"/>
      <c r="AM514" s="359"/>
      <c r="AN514" s="359"/>
      <c r="AO514" s="359"/>
      <c r="AP514" s="359"/>
      <c r="AQ514" s="359"/>
      <c r="AR514" s="359"/>
      <c r="AS514" s="359"/>
      <c r="AT514" s="359"/>
      <c r="AU514" s="359"/>
      <c r="AV514" s="359"/>
      <c r="AW514" s="359"/>
      <c r="AX514" s="359"/>
      <c r="AY514" s="359"/>
      <c r="AZ514" s="359"/>
      <c r="BA514" s="359"/>
      <c r="BB514" s="359"/>
      <c r="BC514" s="359"/>
      <c r="BD514" s="359"/>
      <c r="BE514" s="359"/>
      <c r="BF514" s="359"/>
      <c r="BG514" s="359"/>
      <c r="BH514" s="359"/>
      <c r="BI514" s="359"/>
      <c r="BJ514" s="359"/>
      <c r="BK514" s="359"/>
      <c r="BL514" s="359"/>
      <c r="BM514" s="359"/>
      <c r="BN514" s="359"/>
      <c r="BO514" s="359"/>
      <c r="BP514" s="103"/>
    </row>
    <row r="515" spans="1:68" x14ac:dyDescent="0.3">
      <c r="A515" s="354"/>
      <c r="B515" s="354"/>
      <c r="C515" s="354"/>
      <c r="D515" s="359"/>
      <c r="E515" s="359"/>
      <c r="F515" s="103"/>
      <c r="G515" s="103"/>
      <c r="H515" s="103"/>
      <c r="I515" s="103"/>
      <c r="J515" s="103"/>
      <c r="K515" s="103"/>
      <c r="L515" s="359"/>
      <c r="M515" s="359"/>
      <c r="N515" s="359"/>
      <c r="O515" s="359"/>
      <c r="P515" s="359"/>
      <c r="Q515" s="359"/>
      <c r="R515" s="359"/>
      <c r="S515" s="359"/>
      <c r="T515" s="359"/>
      <c r="U515" s="359"/>
      <c r="V515" s="359"/>
      <c r="W515" s="359"/>
      <c r="X515" s="359"/>
      <c r="Y515" s="359"/>
      <c r="Z515" s="359"/>
      <c r="AA515" s="359"/>
      <c r="AB515" s="359"/>
      <c r="AC515" s="359"/>
      <c r="AD515" s="359"/>
      <c r="AE515" s="359"/>
      <c r="AF515" s="359"/>
      <c r="AG515" s="359"/>
      <c r="AH515" s="359"/>
      <c r="AI515" s="359"/>
      <c r="AJ515" s="359"/>
      <c r="AK515" s="359"/>
      <c r="AL515" s="359"/>
      <c r="AM515" s="359"/>
      <c r="AN515" s="359"/>
      <c r="AO515" s="359"/>
      <c r="AP515" s="359"/>
      <c r="AQ515" s="359"/>
      <c r="AR515" s="359"/>
      <c r="AS515" s="359"/>
      <c r="AT515" s="359"/>
      <c r="AU515" s="359"/>
      <c r="AV515" s="359"/>
      <c r="AW515" s="359"/>
      <c r="AX515" s="359"/>
      <c r="AY515" s="359"/>
      <c r="AZ515" s="359"/>
      <c r="BA515" s="359"/>
      <c r="BB515" s="359"/>
      <c r="BC515" s="359"/>
      <c r="BD515" s="359"/>
      <c r="BE515" s="359"/>
      <c r="BF515" s="359"/>
      <c r="BG515" s="359"/>
      <c r="BH515" s="359"/>
      <c r="BI515" s="359"/>
      <c r="BJ515" s="359"/>
      <c r="BK515" s="359"/>
      <c r="BL515" s="359"/>
      <c r="BM515" s="359"/>
      <c r="BN515" s="359"/>
      <c r="BO515" s="359"/>
      <c r="BP515" s="103"/>
    </row>
    <row r="516" spans="1:68" x14ac:dyDescent="0.3">
      <c r="A516" s="354"/>
      <c r="B516" s="354"/>
      <c r="C516" s="354"/>
      <c r="D516" s="359"/>
      <c r="E516" s="359"/>
      <c r="F516" s="103"/>
      <c r="G516" s="103"/>
      <c r="H516" s="103"/>
      <c r="I516" s="103"/>
      <c r="J516" s="103"/>
      <c r="K516" s="103"/>
      <c r="L516" s="359"/>
      <c r="M516" s="359"/>
      <c r="N516" s="359"/>
      <c r="O516" s="359"/>
      <c r="P516" s="359"/>
      <c r="Q516" s="359"/>
      <c r="R516" s="359"/>
      <c r="S516" s="359"/>
      <c r="T516" s="359"/>
      <c r="U516" s="359"/>
      <c r="V516" s="359"/>
      <c r="W516" s="359"/>
      <c r="X516" s="359"/>
      <c r="Y516" s="359"/>
      <c r="Z516" s="359"/>
      <c r="AA516" s="359"/>
      <c r="AB516" s="359"/>
      <c r="AC516" s="359"/>
      <c r="AD516" s="359"/>
      <c r="AE516" s="359"/>
      <c r="AF516" s="359"/>
      <c r="AG516" s="359"/>
      <c r="AH516" s="359"/>
      <c r="AI516" s="359"/>
      <c r="AJ516" s="359"/>
      <c r="AK516" s="359"/>
      <c r="AL516" s="359"/>
      <c r="AM516" s="359"/>
      <c r="AN516" s="359"/>
      <c r="AO516" s="359"/>
      <c r="AP516" s="359"/>
      <c r="AQ516" s="359"/>
      <c r="AR516" s="359"/>
      <c r="AS516" s="359"/>
      <c r="AT516" s="359"/>
      <c r="AU516" s="359"/>
      <c r="AV516" s="359"/>
      <c r="AW516" s="359"/>
      <c r="AX516" s="359"/>
      <c r="AY516" s="359"/>
      <c r="AZ516" s="359"/>
      <c r="BA516" s="359"/>
      <c r="BB516" s="359"/>
      <c r="BC516" s="359"/>
      <c r="BD516" s="359"/>
      <c r="BE516" s="359"/>
      <c r="BF516" s="359"/>
      <c r="BG516" s="359"/>
      <c r="BH516" s="359"/>
      <c r="BI516" s="359"/>
      <c r="BJ516" s="359"/>
      <c r="BK516" s="359"/>
      <c r="BL516" s="359"/>
      <c r="BM516" s="359"/>
      <c r="BN516" s="359"/>
      <c r="BO516" s="359"/>
      <c r="BP516" s="103"/>
    </row>
    <row r="517" spans="1:68" x14ac:dyDescent="0.3">
      <c r="A517" s="354"/>
      <c r="B517" s="354"/>
      <c r="C517" s="354"/>
      <c r="D517" s="359"/>
      <c r="E517" s="359"/>
      <c r="F517" s="103"/>
      <c r="G517" s="103"/>
      <c r="H517" s="103"/>
      <c r="I517" s="103"/>
      <c r="J517" s="103"/>
      <c r="K517" s="103"/>
      <c r="L517" s="359"/>
      <c r="M517" s="359"/>
      <c r="N517" s="359"/>
      <c r="O517" s="359"/>
      <c r="P517" s="359"/>
      <c r="Q517" s="359"/>
      <c r="R517" s="359"/>
      <c r="S517" s="359"/>
      <c r="T517" s="359"/>
      <c r="U517" s="359"/>
      <c r="V517" s="359"/>
      <c r="W517" s="359"/>
      <c r="X517" s="359"/>
      <c r="Y517" s="359"/>
      <c r="Z517" s="359"/>
      <c r="AA517" s="359"/>
      <c r="AB517" s="359"/>
      <c r="AC517" s="359"/>
      <c r="AD517" s="359"/>
      <c r="AE517" s="359"/>
      <c r="AF517" s="359"/>
      <c r="AG517" s="359"/>
      <c r="AH517" s="359"/>
      <c r="AI517" s="359"/>
      <c r="AJ517" s="359"/>
      <c r="AK517" s="359"/>
      <c r="AL517" s="359"/>
      <c r="AM517" s="359"/>
      <c r="AN517" s="359"/>
      <c r="AO517" s="359"/>
      <c r="AP517" s="359"/>
      <c r="AQ517" s="359"/>
      <c r="AR517" s="359"/>
      <c r="AS517" s="359"/>
      <c r="AT517" s="359"/>
      <c r="AU517" s="359"/>
      <c r="AV517" s="359"/>
      <c r="AW517" s="359"/>
      <c r="AX517" s="359"/>
      <c r="AY517" s="359"/>
      <c r="AZ517" s="359"/>
      <c r="BA517" s="359"/>
      <c r="BB517" s="359"/>
      <c r="BC517" s="359"/>
      <c r="BD517" s="359"/>
      <c r="BE517" s="359"/>
      <c r="BF517" s="359"/>
      <c r="BG517" s="359"/>
      <c r="BH517" s="359"/>
      <c r="BI517" s="359"/>
      <c r="BJ517" s="359"/>
      <c r="BK517" s="359"/>
      <c r="BL517" s="359"/>
      <c r="BM517" s="359"/>
      <c r="BN517" s="359"/>
      <c r="BO517" s="359"/>
      <c r="BP517" s="103"/>
    </row>
    <row r="518" spans="1:68" x14ac:dyDescent="0.3">
      <c r="A518" s="354"/>
      <c r="B518" s="354"/>
      <c r="C518" s="354"/>
      <c r="D518" s="359"/>
      <c r="E518" s="359"/>
      <c r="F518" s="103"/>
      <c r="G518" s="103"/>
      <c r="H518" s="103"/>
      <c r="I518" s="103"/>
      <c r="J518" s="103"/>
      <c r="K518" s="103"/>
      <c r="L518" s="359"/>
      <c r="M518" s="359"/>
      <c r="N518" s="359"/>
      <c r="O518" s="359"/>
      <c r="P518" s="359"/>
      <c r="Q518" s="359"/>
      <c r="R518" s="359"/>
      <c r="S518" s="359"/>
      <c r="T518" s="359"/>
      <c r="U518" s="359"/>
      <c r="V518" s="359"/>
      <c r="W518" s="359"/>
      <c r="X518" s="359"/>
      <c r="Y518" s="359"/>
      <c r="Z518" s="359"/>
      <c r="AA518" s="359"/>
      <c r="AB518" s="359"/>
      <c r="AC518" s="359"/>
      <c r="AD518" s="359"/>
      <c r="AE518" s="359"/>
      <c r="AF518" s="359"/>
      <c r="AG518" s="359"/>
      <c r="AH518" s="359"/>
      <c r="AI518" s="359"/>
      <c r="AJ518" s="359"/>
      <c r="AK518" s="359"/>
      <c r="AL518" s="359"/>
      <c r="AM518" s="359"/>
      <c r="AN518" s="359"/>
      <c r="AO518" s="359"/>
      <c r="AP518" s="359"/>
      <c r="AQ518" s="359"/>
      <c r="AR518" s="359"/>
      <c r="AS518" s="359"/>
      <c r="AT518" s="359"/>
      <c r="AU518" s="359"/>
      <c r="AV518" s="359"/>
      <c r="AW518" s="359"/>
      <c r="AX518" s="359"/>
      <c r="AY518" s="359"/>
      <c r="AZ518" s="359"/>
      <c r="BA518" s="359"/>
      <c r="BB518" s="359"/>
      <c r="BC518" s="359"/>
      <c r="BD518" s="359"/>
      <c r="BE518" s="359"/>
      <c r="BF518" s="359"/>
      <c r="BG518" s="359"/>
      <c r="BH518" s="359"/>
      <c r="BI518" s="359"/>
      <c r="BJ518" s="359"/>
      <c r="BK518" s="359"/>
      <c r="BL518" s="359"/>
      <c r="BM518" s="359"/>
      <c r="BN518" s="359"/>
      <c r="BO518" s="359"/>
      <c r="BP518" s="103"/>
    </row>
    <row r="519" spans="1:68" x14ac:dyDescent="0.3">
      <c r="A519" s="354"/>
      <c r="B519" s="354"/>
      <c r="C519" s="354"/>
      <c r="D519" s="359"/>
      <c r="E519" s="359"/>
      <c r="F519" s="103"/>
      <c r="G519" s="103"/>
      <c r="H519" s="103"/>
      <c r="I519" s="103"/>
      <c r="J519" s="103"/>
      <c r="K519" s="103"/>
      <c r="L519" s="359"/>
      <c r="M519" s="359"/>
      <c r="N519" s="359"/>
      <c r="O519" s="359"/>
      <c r="P519" s="359"/>
      <c r="Q519" s="359"/>
      <c r="R519" s="359"/>
      <c r="S519" s="359"/>
      <c r="T519" s="359"/>
      <c r="U519" s="359"/>
      <c r="V519" s="359"/>
      <c r="W519" s="359"/>
      <c r="X519" s="359"/>
      <c r="Y519" s="359"/>
      <c r="Z519" s="359"/>
      <c r="AA519" s="359"/>
      <c r="AB519" s="359"/>
      <c r="AC519" s="359"/>
      <c r="AD519" s="359"/>
      <c r="AE519" s="359"/>
      <c r="AF519" s="359"/>
      <c r="AG519" s="359"/>
      <c r="AH519" s="359"/>
      <c r="AI519" s="359"/>
      <c r="AJ519" s="359"/>
      <c r="AK519" s="359"/>
      <c r="AL519" s="359"/>
      <c r="AM519" s="359"/>
      <c r="AN519" s="359"/>
      <c r="AO519" s="359"/>
      <c r="AP519" s="359"/>
      <c r="AQ519" s="359"/>
      <c r="AR519" s="359"/>
      <c r="AS519" s="359"/>
      <c r="AT519" s="359"/>
      <c r="AU519" s="359"/>
      <c r="AV519" s="359"/>
      <c r="AW519" s="359"/>
      <c r="AX519" s="359"/>
      <c r="AY519" s="359"/>
      <c r="AZ519" s="359"/>
      <c r="BA519" s="359"/>
      <c r="BB519" s="359"/>
      <c r="BC519" s="359"/>
      <c r="BD519" s="359"/>
      <c r="BE519" s="359"/>
      <c r="BF519" s="359"/>
      <c r="BG519" s="359"/>
      <c r="BH519" s="359"/>
      <c r="BI519" s="359"/>
      <c r="BJ519" s="359"/>
      <c r="BK519" s="359"/>
      <c r="BL519" s="359"/>
      <c r="BM519" s="359"/>
      <c r="BN519" s="359"/>
      <c r="BO519" s="359"/>
      <c r="BP519" s="103"/>
    </row>
    <row r="520" spans="1:68" x14ac:dyDescent="0.3">
      <c r="A520" s="354"/>
      <c r="B520" s="354"/>
      <c r="C520" s="354"/>
      <c r="D520" s="359"/>
      <c r="E520" s="359"/>
      <c r="F520" s="103"/>
      <c r="G520" s="103"/>
      <c r="H520" s="103"/>
      <c r="I520" s="103"/>
      <c r="J520" s="103"/>
      <c r="K520" s="103"/>
      <c r="L520" s="359"/>
      <c r="M520" s="359"/>
      <c r="N520" s="359"/>
      <c r="O520" s="359"/>
      <c r="P520" s="359"/>
      <c r="Q520" s="359"/>
      <c r="R520" s="359"/>
      <c r="S520" s="359"/>
      <c r="T520" s="359"/>
      <c r="U520" s="359"/>
      <c r="V520" s="359"/>
      <c r="W520" s="359"/>
      <c r="X520" s="359"/>
      <c r="Y520" s="359"/>
      <c r="Z520" s="359"/>
      <c r="AA520" s="359"/>
      <c r="AB520" s="359"/>
      <c r="AC520" s="359"/>
      <c r="AD520" s="359"/>
      <c r="AE520" s="359"/>
      <c r="AF520" s="359"/>
      <c r="AG520" s="359"/>
      <c r="AH520" s="359"/>
      <c r="AI520" s="359"/>
      <c r="AJ520" s="359"/>
      <c r="AK520" s="359"/>
      <c r="AL520" s="359"/>
      <c r="AM520" s="359"/>
      <c r="AN520" s="359"/>
      <c r="AO520" s="359"/>
      <c r="AP520" s="359"/>
      <c r="AQ520" s="359"/>
      <c r="AR520" s="359"/>
      <c r="AS520" s="359"/>
      <c r="AT520" s="359"/>
      <c r="AU520" s="359"/>
      <c r="AV520" s="359"/>
      <c r="AW520" s="359"/>
      <c r="AX520" s="359"/>
      <c r="AY520" s="359"/>
      <c r="AZ520" s="359"/>
      <c r="BA520" s="359"/>
      <c r="BB520" s="359"/>
      <c r="BC520" s="359"/>
      <c r="BD520" s="359"/>
      <c r="BE520" s="359"/>
      <c r="BF520" s="359"/>
      <c r="BG520" s="359"/>
      <c r="BH520" s="359"/>
      <c r="BI520" s="359"/>
      <c r="BJ520" s="359"/>
      <c r="BK520" s="359"/>
      <c r="BL520" s="359"/>
      <c r="BM520" s="359"/>
      <c r="BN520" s="359"/>
      <c r="BO520" s="359"/>
      <c r="BP520" s="103"/>
    </row>
    <row r="521" spans="1:68" x14ac:dyDescent="0.3">
      <c r="A521" s="354"/>
      <c r="B521" s="354"/>
      <c r="C521" s="354"/>
      <c r="D521" s="359"/>
      <c r="E521" s="359"/>
      <c r="F521" s="103"/>
      <c r="G521" s="103"/>
      <c r="H521" s="103"/>
      <c r="I521" s="103"/>
      <c r="J521" s="103"/>
      <c r="K521" s="103"/>
      <c r="L521" s="359"/>
      <c r="M521" s="359"/>
      <c r="N521" s="359"/>
      <c r="O521" s="359"/>
      <c r="P521" s="359"/>
      <c r="Q521" s="359"/>
      <c r="R521" s="359"/>
      <c r="S521" s="359"/>
      <c r="T521" s="359"/>
      <c r="U521" s="359"/>
      <c r="V521" s="359"/>
      <c r="W521" s="359"/>
      <c r="X521" s="359"/>
      <c r="Y521" s="359"/>
      <c r="Z521" s="359"/>
      <c r="AA521" s="359"/>
      <c r="AB521" s="359"/>
      <c r="AC521" s="359"/>
      <c r="AD521" s="359"/>
      <c r="AE521" s="359"/>
      <c r="AF521" s="359"/>
      <c r="AG521" s="359"/>
      <c r="AH521" s="359"/>
      <c r="AI521" s="359"/>
      <c r="AJ521" s="359"/>
      <c r="AK521" s="359"/>
      <c r="AL521" s="359"/>
      <c r="AM521" s="359"/>
      <c r="AN521" s="359"/>
      <c r="AO521" s="359"/>
      <c r="AP521" s="359"/>
      <c r="AQ521" s="359"/>
      <c r="AR521" s="359"/>
      <c r="AS521" s="359"/>
      <c r="AT521" s="359"/>
      <c r="AU521" s="359"/>
      <c r="AV521" s="359"/>
      <c r="AW521" s="359"/>
      <c r="AX521" s="359"/>
      <c r="AY521" s="359"/>
      <c r="AZ521" s="359"/>
      <c r="BA521" s="359"/>
      <c r="BB521" s="359"/>
      <c r="BC521" s="359"/>
      <c r="BD521" s="359"/>
      <c r="BE521" s="359"/>
      <c r="BF521" s="359"/>
      <c r="BG521" s="359"/>
      <c r="BH521" s="359"/>
      <c r="BI521" s="359"/>
      <c r="BJ521" s="359"/>
      <c r="BK521" s="359"/>
      <c r="BL521" s="359"/>
      <c r="BM521" s="359"/>
      <c r="BN521" s="359"/>
      <c r="BO521" s="359"/>
      <c r="BP521" s="103"/>
    </row>
    <row r="522" spans="1:68" x14ac:dyDescent="0.3">
      <c r="A522" s="354"/>
      <c r="B522" s="354"/>
      <c r="C522" s="354"/>
      <c r="D522" s="359"/>
      <c r="E522" s="359"/>
      <c r="F522" s="103"/>
      <c r="G522" s="103"/>
      <c r="H522" s="103"/>
      <c r="I522" s="103"/>
      <c r="J522" s="103"/>
      <c r="K522" s="103"/>
      <c r="L522" s="359"/>
      <c r="M522" s="359"/>
      <c r="N522" s="359"/>
      <c r="O522" s="359"/>
      <c r="P522" s="359"/>
      <c r="Q522" s="359"/>
      <c r="R522" s="359"/>
      <c r="S522" s="359"/>
      <c r="T522" s="359"/>
      <c r="U522" s="359"/>
      <c r="V522" s="359"/>
      <c r="W522" s="359"/>
      <c r="X522" s="359"/>
      <c r="Y522" s="359"/>
      <c r="Z522" s="359"/>
      <c r="AA522" s="359"/>
      <c r="AB522" s="359"/>
      <c r="AC522" s="359"/>
      <c r="AD522" s="359"/>
      <c r="AE522" s="359"/>
      <c r="AF522" s="359"/>
      <c r="AG522" s="359"/>
      <c r="AH522" s="359"/>
      <c r="AI522" s="359"/>
      <c r="AJ522" s="359"/>
      <c r="AK522" s="359"/>
      <c r="AL522" s="359"/>
      <c r="AM522" s="359"/>
      <c r="AN522" s="359"/>
      <c r="AO522" s="359"/>
      <c r="AP522" s="359"/>
      <c r="AQ522" s="359"/>
      <c r="AR522" s="359"/>
      <c r="AS522" s="359"/>
      <c r="AT522" s="359"/>
      <c r="AU522" s="359"/>
      <c r="AV522" s="359"/>
      <c r="AW522" s="359"/>
      <c r="AX522" s="359"/>
      <c r="AY522" s="359"/>
      <c r="AZ522" s="359"/>
      <c r="BA522" s="359"/>
      <c r="BB522" s="359"/>
      <c r="BC522" s="359"/>
      <c r="BD522" s="359"/>
      <c r="BE522" s="359"/>
      <c r="BF522" s="359"/>
      <c r="BG522" s="359"/>
      <c r="BH522" s="359"/>
      <c r="BI522" s="359"/>
      <c r="BJ522" s="359"/>
      <c r="BK522" s="359"/>
      <c r="BL522" s="359"/>
      <c r="BM522" s="359"/>
      <c r="BN522" s="359"/>
      <c r="BO522" s="359"/>
      <c r="BP522" s="103"/>
    </row>
    <row r="523" spans="1:68" x14ac:dyDescent="0.3">
      <c r="A523" s="354"/>
      <c r="B523" s="354"/>
      <c r="C523" s="354"/>
      <c r="D523" s="359"/>
      <c r="E523" s="359"/>
      <c r="F523" s="103"/>
      <c r="G523" s="103"/>
      <c r="H523" s="103"/>
      <c r="I523" s="103"/>
      <c r="J523" s="103"/>
      <c r="K523" s="103"/>
      <c r="L523" s="359"/>
      <c r="M523" s="359"/>
      <c r="N523" s="359"/>
      <c r="O523" s="359"/>
      <c r="P523" s="359"/>
      <c r="Q523" s="359"/>
      <c r="R523" s="359"/>
      <c r="S523" s="359"/>
      <c r="T523" s="359"/>
      <c r="U523" s="359"/>
      <c r="V523" s="359"/>
      <c r="W523" s="359"/>
      <c r="X523" s="359"/>
      <c r="Y523" s="359"/>
      <c r="Z523" s="359"/>
      <c r="AA523" s="359"/>
      <c r="AB523" s="359"/>
      <c r="AC523" s="359"/>
      <c r="AD523" s="359"/>
      <c r="AE523" s="359"/>
      <c r="AF523" s="359"/>
      <c r="AG523" s="359"/>
      <c r="AH523" s="359"/>
      <c r="AI523" s="359"/>
      <c r="AJ523" s="359"/>
      <c r="AK523" s="359"/>
      <c r="AL523" s="359"/>
      <c r="AM523" s="359"/>
      <c r="AN523" s="359"/>
      <c r="AO523" s="359"/>
      <c r="AP523" s="359"/>
      <c r="AQ523" s="359"/>
      <c r="AR523" s="359"/>
      <c r="AS523" s="359"/>
      <c r="AT523" s="359"/>
      <c r="AU523" s="359"/>
      <c r="AV523" s="359"/>
      <c r="AW523" s="359"/>
      <c r="AX523" s="359"/>
      <c r="AY523" s="359"/>
      <c r="AZ523" s="359"/>
      <c r="BA523" s="359"/>
      <c r="BB523" s="359"/>
      <c r="BC523" s="359"/>
      <c r="BD523" s="359"/>
      <c r="BE523" s="359"/>
      <c r="BF523" s="359"/>
      <c r="BG523" s="359"/>
      <c r="BH523" s="359"/>
      <c r="BI523" s="359"/>
      <c r="BJ523" s="359"/>
      <c r="BK523" s="359"/>
      <c r="BL523" s="359"/>
      <c r="BM523" s="359"/>
      <c r="BN523" s="359"/>
      <c r="BO523" s="359"/>
      <c r="BP523" s="103"/>
    </row>
    <row r="524" spans="1:68" x14ac:dyDescent="0.3">
      <c r="A524" s="354"/>
      <c r="B524" s="354"/>
      <c r="C524" s="354"/>
      <c r="D524" s="359"/>
      <c r="E524" s="359"/>
      <c r="F524" s="103"/>
      <c r="G524" s="103"/>
      <c r="H524" s="103"/>
      <c r="I524" s="103"/>
      <c r="J524" s="103"/>
      <c r="K524" s="103"/>
      <c r="L524" s="359"/>
      <c r="M524" s="359"/>
      <c r="N524" s="359"/>
      <c r="O524" s="359"/>
      <c r="P524" s="359"/>
      <c r="Q524" s="359"/>
      <c r="R524" s="359"/>
      <c r="S524" s="359"/>
      <c r="T524" s="359"/>
      <c r="U524" s="359"/>
      <c r="V524" s="359"/>
      <c r="W524" s="359"/>
      <c r="X524" s="359"/>
      <c r="Y524" s="359"/>
      <c r="Z524" s="359"/>
      <c r="AA524" s="359"/>
      <c r="AB524" s="359"/>
      <c r="AC524" s="359"/>
      <c r="AD524" s="359"/>
      <c r="AE524" s="359"/>
      <c r="AF524" s="359"/>
      <c r="AG524" s="359"/>
      <c r="AH524" s="359"/>
      <c r="AI524" s="359"/>
      <c r="AJ524" s="359"/>
      <c r="AK524" s="359"/>
      <c r="AL524" s="359"/>
      <c r="AM524" s="359"/>
      <c r="AN524" s="359"/>
      <c r="AO524" s="359"/>
      <c r="AP524" s="359"/>
      <c r="AQ524" s="359"/>
      <c r="AR524" s="359"/>
      <c r="AS524" s="359"/>
      <c r="AT524" s="359"/>
      <c r="AU524" s="359"/>
      <c r="AV524" s="359"/>
      <c r="AW524" s="359"/>
      <c r="AX524" s="359"/>
      <c r="AY524" s="359"/>
      <c r="AZ524" s="359"/>
      <c r="BA524" s="359"/>
      <c r="BB524" s="359"/>
      <c r="BC524" s="359"/>
      <c r="BD524" s="359"/>
      <c r="BE524" s="359"/>
      <c r="BF524" s="359"/>
      <c r="BG524" s="359"/>
      <c r="BH524" s="359"/>
      <c r="BI524" s="359"/>
      <c r="BJ524" s="359"/>
      <c r="BK524" s="359"/>
      <c r="BL524" s="359"/>
      <c r="BM524" s="359"/>
      <c r="BN524" s="359"/>
      <c r="BO524" s="359"/>
      <c r="BP524" s="103"/>
    </row>
    <row r="525" spans="1:68" x14ac:dyDescent="0.3">
      <c r="A525" s="354"/>
      <c r="B525" s="354"/>
      <c r="C525" s="354"/>
      <c r="D525" s="359"/>
      <c r="E525" s="359"/>
      <c r="F525" s="103"/>
      <c r="G525" s="103"/>
      <c r="H525" s="103"/>
      <c r="I525" s="103"/>
      <c r="J525" s="103"/>
      <c r="K525" s="103"/>
      <c r="L525" s="359"/>
      <c r="M525" s="359"/>
      <c r="N525" s="359"/>
      <c r="O525" s="359"/>
      <c r="P525" s="359"/>
      <c r="Q525" s="359"/>
      <c r="R525" s="359"/>
      <c r="S525" s="359"/>
      <c r="T525" s="359"/>
      <c r="U525" s="359"/>
      <c r="V525" s="359"/>
      <c r="W525" s="359"/>
      <c r="X525" s="359"/>
      <c r="Y525" s="359"/>
      <c r="Z525" s="359"/>
      <c r="AA525" s="359"/>
      <c r="AB525" s="359"/>
      <c r="AC525" s="359"/>
      <c r="AD525" s="359"/>
      <c r="AE525" s="359"/>
      <c r="AF525" s="359"/>
      <c r="AG525" s="359"/>
      <c r="AH525" s="359"/>
      <c r="AI525" s="359"/>
      <c r="AJ525" s="359"/>
      <c r="AK525" s="359"/>
      <c r="AL525" s="359"/>
      <c r="AM525" s="359"/>
      <c r="AN525" s="359"/>
      <c r="AO525" s="359"/>
      <c r="AP525" s="359"/>
      <c r="AQ525" s="359"/>
      <c r="AR525" s="359"/>
      <c r="AS525" s="359"/>
      <c r="AT525" s="359"/>
      <c r="AU525" s="359"/>
      <c r="AV525" s="359"/>
      <c r="AW525" s="359"/>
      <c r="AX525" s="359"/>
      <c r="AY525" s="359"/>
      <c r="AZ525" s="359"/>
      <c r="BA525" s="359"/>
      <c r="BB525" s="359"/>
      <c r="BC525" s="359"/>
      <c r="BD525" s="359"/>
      <c r="BE525" s="359"/>
      <c r="BF525" s="359"/>
      <c r="BG525" s="359"/>
      <c r="BH525" s="359"/>
      <c r="BI525" s="359"/>
      <c r="BJ525" s="359"/>
      <c r="BK525" s="359"/>
      <c r="BL525" s="359"/>
      <c r="BM525" s="359"/>
      <c r="BN525" s="359"/>
      <c r="BO525" s="359"/>
      <c r="BP525" s="103"/>
    </row>
    <row r="526" spans="1:68" x14ac:dyDescent="0.3">
      <c r="A526" s="354"/>
      <c r="B526" s="354"/>
      <c r="C526" s="354"/>
      <c r="D526" s="359"/>
      <c r="E526" s="359"/>
      <c r="F526" s="103"/>
      <c r="G526" s="103"/>
      <c r="H526" s="103"/>
      <c r="I526" s="103"/>
      <c r="J526" s="103"/>
      <c r="K526" s="103"/>
      <c r="L526" s="359"/>
      <c r="M526" s="359"/>
      <c r="N526" s="359"/>
      <c r="O526" s="359"/>
      <c r="P526" s="359"/>
      <c r="Q526" s="359"/>
      <c r="R526" s="359"/>
      <c r="S526" s="359"/>
      <c r="T526" s="359"/>
      <c r="U526" s="359"/>
      <c r="V526" s="359"/>
      <c r="W526" s="359"/>
      <c r="X526" s="359"/>
      <c r="Y526" s="359"/>
      <c r="Z526" s="359"/>
      <c r="AA526" s="359"/>
      <c r="AB526" s="359"/>
      <c r="AC526" s="359"/>
      <c r="AD526" s="359"/>
      <c r="AE526" s="359"/>
      <c r="AF526" s="359"/>
      <c r="AG526" s="359"/>
      <c r="AH526" s="359"/>
      <c r="AI526" s="359"/>
      <c r="AJ526" s="359"/>
      <c r="AK526" s="359"/>
      <c r="AL526" s="359"/>
      <c r="AM526" s="359"/>
      <c r="AN526" s="359"/>
      <c r="AO526" s="359"/>
      <c r="AP526" s="359"/>
      <c r="AQ526" s="359"/>
      <c r="AR526" s="359"/>
      <c r="AS526" s="359"/>
      <c r="AT526" s="359"/>
      <c r="AU526" s="359"/>
      <c r="AV526" s="359"/>
      <c r="AW526" s="359"/>
      <c r="AX526" s="359"/>
      <c r="AY526" s="359"/>
      <c r="AZ526" s="359"/>
      <c r="BA526" s="359"/>
      <c r="BB526" s="359"/>
      <c r="BC526" s="359"/>
      <c r="BD526" s="359"/>
      <c r="BE526" s="359"/>
      <c r="BF526" s="359"/>
      <c r="BG526" s="359"/>
      <c r="BH526" s="359"/>
      <c r="BI526" s="359"/>
      <c r="BJ526" s="359"/>
      <c r="BK526" s="359"/>
      <c r="BL526" s="359"/>
      <c r="BM526" s="359"/>
      <c r="BN526" s="359"/>
      <c r="BO526" s="359"/>
      <c r="BP526" s="103"/>
    </row>
    <row r="527" spans="1:68" x14ac:dyDescent="0.3">
      <c r="A527" s="354"/>
      <c r="B527" s="354"/>
      <c r="C527" s="354"/>
      <c r="D527" s="359"/>
      <c r="E527" s="359"/>
      <c r="F527" s="103"/>
      <c r="G527" s="103"/>
      <c r="H527" s="103"/>
      <c r="I527" s="103"/>
      <c r="J527" s="103"/>
      <c r="K527" s="103"/>
      <c r="L527" s="359"/>
      <c r="M527" s="359"/>
      <c r="N527" s="359"/>
      <c r="O527" s="359"/>
      <c r="P527" s="359"/>
      <c r="Q527" s="359"/>
      <c r="R527" s="359"/>
      <c r="S527" s="359"/>
      <c r="T527" s="359"/>
      <c r="U527" s="359"/>
      <c r="V527" s="359"/>
      <c r="W527" s="359"/>
      <c r="X527" s="359"/>
      <c r="Y527" s="359"/>
      <c r="Z527" s="359"/>
      <c r="AA527" s="359"/>
      <c r="AB527" s="359"/>
      <c r="AC527" s="359"/>
      <c r="AD527" s="359"/>
      <c r="AE527" s="359"/>
      <c r="AF527" s="359"/>
      <c r="AG527" s="359"/>
      <c r="AH527" s="359"/>
      <c r="AI527" s="359"/>
      <c r="AJ527" s="359"/>
      <c r="AK527" s="359"/>
      <c r="AL527" s="359"/>
      <c r="AM527" s="359"/>
      <c r="AN527" s="359"/>
      <c r="AO527" s="359"/>
      <c r="AP527" s="359"/>
      <c r="AQ527" s="359"/>
      <c r="AR527" s="359"/>
      <c r="AS527" s="359"/>
      <c r="AT527" s="359"/>
      <c r="AU527" s="359"/>
      <c r="AV527" s="359"/>
      <c r="AW527" s="359"/>
      <c r="AX527" s="359"/>
      <c r="AY527" s="359"/>
      <c r="AZ527" s="359"/>
      <c r="BA527" s="359"/>
      <c r="BB527" s="359"/>
      <c r="BC527" s="359"/>
      <c r="BD527" s="359"/>
      <c r="BE527" s="359"/>
      <c r="BF527" s="359"/>
      <c r="BG527" s="359"/>
      <c r="BH527" s="359"/>
      <c r="BI527" s="359"/>
      <c r="BJ527" s="359"/>
      <c r="BK527" s="359"/>
      <c r="BL527" s="359"/>
      <c r="BM527" s="359"/>
      <c r="BN527" s="359"/>
      <c r="BO527" s="359"/>
      <c r="BP527" s="103"/>
    </row>
    <row r="528" spans="1:68" x14ac:dyDescent="0.3">
      <c r="A528" s="354"/>
      <c r="B528" s="354"/>
      <c r="C528" s="354"/>
      <c r="D528" s="359"/>
      <c r="E528" s="359"/>
      <c r="F528" s="103"/>
      <c r="G528" s="103"/>
      <c r="H528" s="103"/>
      <c r="I528" s="103"/>
      <c r="J528" s="103"/>
      <c r="K528" s="103"/>
      <c r="L528" s="359"/>
      <c r="M528" s="359"/>
      <c r="N528" s="359"/>
      <c r="O528" s="359"/>
      <c r="P528" s="359"/>
      <c r="Q528" s="359"/>
      <c r="R528" s="359"/>
      <c r="S528" s="359"/>
      <c r="T528" s="359"/>
      <c r="U528" s="359"/>
      <c r="V528" s="359"/>
      <c r="W528" s="359"/>
      <c r="X528" s="359"/>
      <c r="Y528" s="359"/>
      <c r="Z528" s="359"/>
      <c r="AA528" s="359"/>
      <c r="AB528" s="359"/>
      <c r="AC528" s="359"/>
      <c r="AD528" s="359"/>
      <c r="AE528" s="359"/>
      <c r="AF528" s="359"/>
      <c r="AG528" s="359"/>
      <c r="AH528" s="359"/>
      <c r="AI528" s="359"/>
      <c r="AJ528" s="359"/>
      <c r="AK528" s="359"/>
      <c r="AL528" s="359"/>
      <c r="AM528" s="359"/>
      <c r="AN528" s="359"/>
      <c r="AO528" s="359"/>
      <c r="AP528" s="359"/>
      <c r="AQ528" s="359"/>
      <c r="AR528" s="359"/>
      <c r="AS528" s="359"/>
      <c r="AT528" s="359"/>
      <c r="AU528" s="359"/>
      <c r="AV528" s="359"/>
      <c r="AW528" s="359"/>
      <c r="AX528" s="359"/>
      <c r="AY528" s="359"/>
      <c r="AZ528" s="359"/>
      <c r="BA528" s="359"/>
      <c r="BB528" s="359"/>
      <c r="BC528" s="359"/>
      <c r="BD528" s="359"/>
      <c r="BE528" s="359"/>
      <c r="BF528" s="359"/>
      <c r="BG528" s="359"/>
      <c r="BH528" s="359"/>
      <c r="BI528" s="359"/>
      <c r="BJ528" s="359"/>
      <c r="BK528" s="359"/>
      <c r="BL528" s="359"/>
      <c r="BM528" s="359"/>
      <c r="BN528" s="359"/>
      <c r="BO528" s="359"/>
      <c r="BP528" s="103"/>
    </row>
    <row r="529" spans="1:68" x14ac:dyDescent="0.3">
      <c r="A529" s="354"/>
      <c r="B529" s="354"/>
      <c r="C529" s="354"/>
      <c r="D529" s="359"/>
      <c r="E529" s="359"/>
      <c r="F529" s="103"/>
      <c r="G529" s="103"/>
      <c r="H529" s="103"/>
      <c r="I529" s="103"/>
      <c r="J529" s="103"/>
      <c r="K529" s="103"/>
      <c r="L529" s="359"/>
      <c r="M529" s="359"/>
      <c r="N529" s="359"/>
      <c r="O529" s="359"/>
      <c r="P529" s="359"/>
      <c r="Q529" s="359"/>
      <c r="R529" s="359"/>
      <c r="S529" s="359"/>
      <c r="T529" s="359"/>
      <c r="U529" s="359"/>
      <c r="V529" s="359"/>
      <c r="W529" s="359"/>
      <c r="X529" s="359"/>
      <c r="Y529" s="359"/>
      <c r="Z529" s="359"/>
      <c r="AA529" s="359"/>
      <c r="AB529" s="359"/>
      <c r="AC529" s="359"/>
      <c r="AD529" s="359"/>
      <c r="AE529" s="359"/>
      <c r="AF529" s="359"/>
      <c r="AG529" s="359"/>
      <c r="AH529" s="359"/>
      <c r="AI529" s="359"/>
      <c r="AJ529" s="359"/>
      <c r="AK529" s="359"/>
      <c r="AL529" s="359"/>
      <c r="AM529" s="359"/>
      <c r="AN529" s="359"/>
      <c r="AO529" s="359"/>
      <c r="AP529" s="359"/>
      <c r="AQ529" s="359"/>
      <c r="AR529" s="359"/>
      <c r="AS529" s="359"/>
      <c r="AT529" s="359"/>
      <c r="AU529" s="359"/>
      <c r="AV529" s="359"/>
      <c r="AW529" s="359"/>
      <c r="AX529" s="359"/>
      <c r="AY529" s="359"/>
      <c r="AZ529" s="359"/>
      <c r="BA529" s="359"/>
      <c r="BB529" s="359"/>
      <c r="BC529" s="359"/>
      <c r="BD529" s="359"/>
      <c r="BE529" s="359"/>
      <c r="BF529" s="359"/>
      <c r="BG529" s="359"/>
      <c r="BH529" s="359"/>
      <c r="BI529" s="359"/>
      <c r="BJ529" s="359"/>
      <c r="BK529" s="359"/>
      <c r="BL529" s="359"/>
      <c r="BM529" s="359"/>
      <c r="BN529" s="359"/>
      <c r="BO529" s="359"/>
      <c r="BP529" s="103"/>
    </row>
    <row r="530" spans="1:68" x14ac:dyDescent="0.3">
      <c r="A530" s="354"/>
      <c r="B530" s="354"/>
      <c r="C530" s="354"/>
      <c r="D530" s="359"/>
      <c r="E530" s="359"/>
      <c r="F530" s="103"/>
      <c r="G530" s="103"/>
      <c r="H530" s="103"/>
      <c r="I530" s="103"/>
      <c r="J530" s="103"/>
      <c r="K530" s="103"/>
      <c r="L530" s="359"/>
      <c r="M530" s="359"/>
      <c r="N530" s="359"/>
      <c r="O530" s="359"/>
      <c r="P530" s="359"/>
      <c r="Q530" s="359"/>
      <c r="R530" s="359"/>
      <c r="S530" s="359"/>
      <c r="T530" s="359"/>
      <c r="U530" s="359"/>
      <c r="V530" s="359"/>
      <c r="W530" s="359"/>
      <c r="X530" s="359"/>
      <c r="Y530" s="359"/>
      <c r="Z530" s="359"/>
      <c r="AA530" s="359"/>
      <c r="AB530" s="359"/>
      <c r="AC530" s="359"/>
      <c r="AD530" s="359"/>
      <c r="AE530" s="359"/>
      <c r="AF530" s="359"/>
      <c r="AG530" s="359"/>
      <c r="AH530" s="359"/>
      <c r="AI530" s="359"/>
      <c r="AJ530" s="359"/>
      <c r="AK530" s="359"/>
      <c r="AL530" s="359"/>
      <c r="AM530" s="359"/>
      <c r="AN530" s="359"/>
      <c r="AO530" s="359"/>
      <c r="AP530" s="359"/>
      <c r="AQ530" s="359"/>
      <c r="AR530" s="359"/>
      <c r="AS530" s="359"/>
      <c r="AT530" s="359"/>
      <c r="AU530" s="359"/>
      <c r="AV530" s="359"/>
      <c r="AW530" s="359"/>
      <c r="AX530" s="359"/>
      <c r="AY530" s="359"/>
      <c r="AZ530" s="359"/>
      <c r="BA530" s="359"/>
      <c r="BB530" s="359"/>
      <c r="BC530" s="359"/>
      <c r="BD530" s="359"/>
      <c r="BE530" s="359"/>
      <c r="BF530" s="359"/>
      <c r="BG530" s="359"/>
      <c r="BH530" s="359"/>
      <c r="BI530" s="359"/>
      <c r="BJ530" s="359"/>
      <c r="BK530" s="359"/>
      <c r="BL530" s="359"/>
      <c r="BM530" s="359"/>
      <c r="BN530" s="359"/>
      <c r="BO530" s="359"/>
      <c r="BP530" s="103"/>
    </row>
    <row r="531" spans="1:68" x14ac:dyDescent="0.3">
      <c r="A531" s="354"/>
      <c r="B531" s="354"/>
      <c r="C531" s="354"/>
      <c r="D531" s="359"/>
      <c r="E531" s="359"/>
      <c r="F531" s="103"/>
      <c r="G531" s="103"/>
      <c r="H531" s="103"/>
      <c r="I531" s="103"/>
      <c r="J531" s="103"/>
      <c r="K531" s="103"/>
      <c r="L531" s="359"/>
      <c r="M531" s="359"/>
      <c r="N531" s="359"/>
      <c r="O531" s="359"/>
      <c r="P531" s="359"/>
      <c r="Q531" s="359"/>
      <c r="R531" s="359"/>
      <c r="S531" s="359"/>
      <c r="T531" s="359"/>
      <c r="U531" s="359"/>
      <c r="V531" s="359"/>
      <c r="W531" s="359"/>
      <c r="X531" s="359"/>
      <c r="Y531" s="359"/>
      <c r="Z531" s="359"/>
      <c r="AA531" s="359"/>
      <c r="AB531" s="359"/>
      <c r="AC531" s="359"/>
      <c r="AD531" s="359"/>
      <c r="AE531" s="359"/>
      <c r="AF531" s="359"/>
      <c r="AG531" s="359"/>
      <c r="AH531" s="359"/>
      <c r="AI531" s="359"/>
      <c r="AJ531" s="359"/>
      <c r="AK531" s="359"/>
      <c r="AL531" s="359"/>
      <c r="AM531" s="359"/>
      <c r="AN531" s="359"/>
      <c r="AO531" s="359"/>
      <c r="AP531" s="359"/>
      <c r="AQ531" s="359"/>
      <c r="AR531" s="359"/>
      <c r="AS531" s="359"/>
      <c r="AT531" s="359"/>
      <c r="AU531" s="359"/>
      <c r="AV531" s="359"/>
      <c r="AW531" s="359"/>
      <c r="AX531" s="359"/>
      <c r="AY531" s="359"/>
      <c r="AZ531" s="359"/>
      <c r="BA531" s="359"/>
      <c r="BB531" s="359"/>
      <c r="BC531" s="359"/>
      <c r="BD531" s="359"/>
      <c r="BE531" s="359"/>
      <c r="BF531" s="359"/>
      <c r="BG531" s="359"/>
      <c r="BH531" s="359"/>
      <c r="BI531" s="359"/>
      <c r="BJ531" s="359"/>
      <c r="BK531" s="359"/>
      <c r="BL531" s="359"/>
      <c r="BM531" s="359"/>
      <c r="BN531" s="359"/>
      <c r="BO531" s="359"/>
      <c r="BP531" s="103"/>
    </row>
    <row r="532" spans="1:68" x14ac:dyDescent="0.3">
      <c r="A532" s="354"/>
      <c r="B532" s="354"/>
      <c r="C532" s="354"/>
      <c r="D532" s="359"/>
      <c r="E532" s="359"/>
      <c r="F532" s="103"/>
      <c r="G532" s="103"/>
      <c r="H532" s="103"/>
      <c r="I532" s="103"/>
      <c r="J532" s="103"/>
      <c r="K532" s="103"/>
      <c r="L532" s="359"/>
      <c r="M532" s="359"/>
      <c r="N532" s="359"/>
      <c r="O532" s="359"/>
      <c r="P532" s="359"/>
      <c r="Q532" s="359"/>
      <c r="R532" s="359"/>
      <c r="S532" s="359"/>
      <c r="T532" s="359"/>
      <c r="U532" s="359"/>
      <c r="V532" s="359"/>
      <c r="W532" s="359"/>
      <c r="X532" s="359"/>
      <c r="Y532" s="359"/>
      <c r="Z532" s="359"/>
      <c r="AA532" s="359"/>
      <c r="AB532" s="359"/>
      <c r="AC532" s="359"/>
      <c r="AD532" s="359"/>
      <c r="AE532" s="359"/>
      <c r="AF532" s="359"/>
      <c r="AG532" s="359"/>
      <c r="AH532" s="359"/>
      <c r="AI532" s="359"/>
      <c r="AJ532" s="359"/>
      <c r="AK532" s="359"/>
      <c r="AL532" s="359"/>
      <c r="AM532" s="359"/>
      <c r="AN532" s="359"/>
      <c r="AO532" s="359"/>
      <c r="AP532" s="359"/>
      <c r="AQ532" s="359"/>
      <c r="AR532" s="359"/>
      <c r="AS532" s="359"/>
      <c r="AT532" s="359"/>
      <c r="AU532" s="359"/>
      <c r="AV532" s="359"/>
      <c r="AW532" s="359"/>
      <c r="AX532" s="359"/>
      <c r="AY532" s="359"/>
      <c r="AZ532" s="359"/>
      <c r="BA532" s="359"/>
      <c r="BB532" s="359"/>
      <c r="BC532" s="359"/>
      <c r="BD532" s="359"/>
      <c r="BE532" s="359"/>
      <c r="BF532" s="359"/>
      <c r="BG532" s="359"/>
      <c r="BH532" s="359"/>
      <c r="BI532" s="359"/>
      <c r="BJ532" s="359"/>
      <c r="BK532" s="359"/>
      <c r="BL532" s="359"/>
      <c r="BM532" s="359"/>
      <c r="BN532" s="359"/>
      <c r="BO532" s="359"/>
      <c r="BP532" s="103"/>
    </row>
    <row r="533" spans="1:68" x14ac:dyDescent="0.3">
      <c r="A533" s="354"/>
      <c r="B533" s="354"/>
      <c r="C533" s="354"/>
      <c r="D533" s="359"/>
      <c r="E533" s="359"/>
      <c r="F533" s="103"/>
      <c r="G533" s="103"/>
      <c r="H533" s="103"/>
      <c r="I533" s="103"/>
      <c r="J533" s="103"/>
      <c r="K533" s="103"/>
      <c r="L533" s="359"/>
      <c r="M533" s="359"/>
      <c r="N533" s="359"/>
      <c r="O533" s="359"/>
      <c r="P533" s="359"/>
      <c r="Q533" s="359"/>
      <c r="R533" s="359"/>
      <c r="S533" s="359"/>
      <c r="T533" s="359"/>
      <c r="U533" s="359"/>
      <c r="V533" s="359"/>
      <c r="W533" s="359"/>
      <c r="X533" s="359"/>
      <c r="Y533" s="359"/>
      <c r="Z533" s="359"/>
      <c r="AA533" s="359"/>
      <c r="AB533" s="359"/>
      <c r="AC533" s="359"/>
      <c r="AD533" s="359"/>
      <c r="AE533" s="359"/>
      <c r="AF533" s="359"/>
      <c r="AG533" s="359"/>
      <c r="AH533" s="359"/>
      <c r="AI533" s="359"/>
      <c r="AJ533" s="359"/>
      <c r="AK533" s="359"/>
      <c r="AL533" s="359"/>
      <c r="AM533" s="359"/>
      <c r="AN533" s="359"/>
      <c r="AO533" s="359"/>
      <c r="AP533" s="359"/>
      <c r="AQ533" s="359"/>
      <c r="AR533" s="359"/>
      <c r="AS533" s="359"/>
      <c r="AT533" s="359"/>
      <c r="AU533" s="359"/>
      <c r="AV533" s="359"/>
      <c r="AW533" s="359"/>
      <c r="AX533" s="359"/>
      <c r="AY533" s="359"/>
      <c r="AZ533" s="359"/>
      <c r="BA533" s="359"/>
      <c r="BB533" s="359"/>
      <c r="BC533" s="359"/>
      <c r="BD533" s="359"/>
      <c r="BE533" s="359"/>
      <c r="BF533" s="359"/>
      <c r="BG533" s="359"/>
      <c r="BH533" s="359"/>
      <c r="BI533" s="359"/>
      <c r="BJ533" s="359"/>
      <c r="BK533" s="359"/>
      <c r="BL533" s="359"/>
      <c r="BM533" s="359"/>
      <c r="BN533" s="359"/>
      <c r="BO533" s="359"/>
      <c r="BP533" s="103"/>
    </row>
    <row r="534" spans="1:68" x14ac:dyDescent="0.3">
      <c r="A534" s="354"/>
      <c r="B534" s="354"/>
      <c r="C534" s="354"/>
      <c r="D534" s="359"/>
      <c r="E534" s="359"/>
      <c r="F534" s="103"/>
      <c r="G534" s="103"/>
      <c r="H534" s="103"/>
      <c r="I534" s="103"/>
      <c r="J534" s="103"/>
      <c r="K534" s="103"/>
      <c r="L534" s="359"/>
      <c r="M534" s="359"/>
      <c r="N534" s="359"/>
      <c r="O534" s="359"/>
      <c r="P534" s="359"/>
      <c r="Q534" s="359"/>
      <c r="R534" s="359"/>
      <c r="S534" s="359"/>
      <c r="T534" s="359"/>
      <c r="U534" s="359"/>
      <c r="V534" s="359"/>
      <c r="W534" s="359"/>
      <c r="X534" s="359"/>
      <c r="Y534" s="359"/>
      <c r="Z534" s="359"/>
      <c r="AA534" s="359"/>
      <c r="AB534" s="359"/>
      <c r="AC534" s="359"/>
      <c r="AD534" s="359"/>
      <c r="AE534" s="359"/>
      <c r="AF534" s="359"/>
      <c r="AG534" s="359"/>
      <c r="AH534" s="359"/>
      <c r="AI534" s="359"/>
      <c r="AJ534" s="359"/>
      <c r="AK534" s="359"/>
      <c r="AL534" s="359"/>
      <c r="AM534" s="359"/>
      <c r="AN534" s="359"/>
      <c r="AO534" s="359"/>
      <c r="AP534" s="359"/>
      <c r="AQ534" s="359"/>
      <c r="AR534" s="359"/>
      <c r="AS534" s="359"/>
      <c r="AT534" s="359"/>
      <c r="AU534" s="359"/>
      <c r="AV534" s="359"/>
      <c r="AW534" s="359"/>
      <c r="AX534" s="359"/>
      <c r="AY534" s="359"/>
      <c r="AZ534" s="359"/>
      <c r="BA534" s="359"/>
      <c r="BB534" s="359"/>
      <c r="BC534" s="359"/>
      <c r="BD534" s="359"/>
      <c r="BE534" s="359"/>
      <c r="BF534" s="359"/>
      <c r="BG534" s="359"/>
      <c r="BH534" s="359"/>
      <c r="BI534" s="359"/>
      <c r="BJ534" s="359"/>
      <c r="BK534" s="359"/>
      <c r="BL534" s="359"/>
      <c r="BM534" s="359"/>
      <c r="BN534" s="359"/>
      <c r="BO534" s="359"/>
      <c r="BP534" s="103"/>
    </row>
    <row r="535" spans="1:68" x14ac:dyDescent="0.3">
      <c r="A535" s="354"/>
      <c r="B535" s="354"/>
      <c r="C535" s="354"/>
      <c r="D535" s="359"/>
      <c r="E535" s="359"/>
      <c r="F535" s="103"/>
      <c r="G535" s="103"/>
      <c r="H535" s="103"/>
      <c r="I535" s="103"/>
      <c r="J535" s="103"/>
      <c r="K535" s="103"/>
      <c r="L535" s="359"/>
      <c r="M535" s="359"/>
      <c r="N535" s="359"/>
      <c r="O535" s="359"/>
      <c r="P535" s="359"/>
      <c r="Q535" s="359"/>
      <c r="R535" s="359"/>
      <c r="S535" s="359"/>
      <c r="T535" s="359"/>
      <c r="U535" s="359"/>
      <c r="V535" s="359"/>
      <c r="W535" s="359"/>
      <c r="X535" s="359"/>
      <c r="Y535" s="359"/>
      <c r="Z535" s="359"/>
      <c r="AA535" s="359"/>
      <c r="AB535" s="359"/>
      <c r="AC535" s="359"/>
      <c r="AD535" s="359"/>
      <c r="AE535" s="359"/>
      <c r="AF535" s="359"/>
      <c r="AG535" s="359"/>
      <c r="AH535" s="359"/>
      <c r="AI535" s="359"/>
      <c r="AJ535" s="359"/>
      <c r="AK535" s="359"/>
      <c r="AL535" s="359"/>
      <c r="AM535" s="359"/>
      <c r="AN535" s="359"/>
      <c r="AO535" s="359"/>
      <c r="AP535" s="359"/>
      <c r="AQ535" s="359"/>
      <c r="AR535" s="359"/>
      <c r="AS535" s="359"/>
      <c r="AT535" s="359"/>
      <c r="AU535" s="359"/>
      <c r="AV535" s="359"/>
      <c r="AW535" s="359"/>
      <c r="AX535" s="359"/>
      <c r="AY535" s="359"/>
      <c r="AZ535" s="359"/>
      <c r="BA535" s="359"/>
      <c r="BB535" s="359"/>
      <c r="BC535" s="359"/>
      <c r="BD535" s="359"/>
      <c r="BE535" s="359"/>
      <c r="BF535" s="359"/>
      <c r="BG535" s="359"/>
      <c r="BH535" s="359"/>
      <c r="BI535" s="359"/>
      <c r="BJ535" s="359"/>
      <c r="BK535" s="359"/>
      <c r="BL535" s="359"/>
      <c r="BM535" s="359"/>
      <c r="BN535" s="359"/>
      <c r="BO535" s="359"/>
      <c r="BP535" s="103"/>
    </row>
    <row r="536" spans="1:68" x14ac:dyDescent="0.3">
      <c r="A536" s="354"/>
      <c r="B536" s="354"/>
      <c r="C536" s="354"/>
      <c r="D536" s="359"/>
      <c r="E536" s="359"/>
      <c r="F536" s="103"/>
      <c r="G536" s="103"/>
      <c r="H536" s="103"/>
      <c r="I536" s="103"/>
      <c r="J536" s="103"/>
      <c r="K536" s="103"/>
      <c r="L536" s="359"/>
      <c r="M536" s="359"/>
      <c r="N536" s="359"/>
      <c r="O536" s="359"/>
      <c r="P536" s="359"/>
      <c r="Q536" s="359"/>
      <c r="R536" s="359"/>
      <c r="S536" s="359"/>
      <c r="T536" s="359"/>
      <c r="U536" s="359"/>
      <c r="V536" s="359"/>
      <c r="W536" s="359"/>
      <c r="X536" s="359"/>
      <c r="Y536" s="359"/>
      <c r="Z536" s="359"/>
      <c r="AA536" s="359"/>
      <c r="AB536" s="359"/>
      <c r="AC536" s="359"/>
      <c r="AD536" s="359"/>
      <c r="AE536" s="359"/>
      <c r="AF536" s="359"/>
      <c r="AG536" s="359"/>
      <c r="AH536" s="359"/>
      <c r="AI536" s="359"/>
      <c r="AJ536" s="359"/>
      <c r="AK536" s="359"/>
      <c r="AL536" s="359"/>
      <c r="AM536" s="359"/>
      <c r="AN536" s="359"/>
      <c r="AO536" s="359"/>
      <c r="AP536" s="359"/>
      <c r="AQ536" s="359"/>
      <c r="AR536" s="359"/>
      <c r="AS536" s="359"/>
      <c r="AT536" s="359"/>
      <c r="AU536" s="359"/>
      <c r="AV536" s="359"/>
      <c r="AW536" s="359"/>
      <c r="AX536" s="359"/>
      <c r="AY536" s="359"/>
      <c r="AZ536" s="359"/>
      <c r="BA536" s="359"/>
      <c r="BB536" s="359"/>
      <c r="BC536" s="359"/>
      <c r="BD536" s="359"/>
      <c r="BE536" s="359"/>
      <c r="BF536" s="359"/>
      <c r="BG536" s="359"/>
      <c r="BH536" s="359"/>
      <c r="BI536" s="359"/>
      <c r="BJ536" s="359"/>
      <c r="BK536" s="359"/>
      <c r="BL536" s="359"/>
      <c r="BM536" s="359"/>
      <c r="BN536" s="359"/>
      <c r="BO536" s="359"/>
      <c r="BP536" s="103"/>
    </row>
    <row r="537" spans="1:68" x14ac:dyDescent="0.3">
      <c r="A537" s="354"/>
      <c r="B537" s="354"/>
      <c r="C537" s="354"/>
      <c r="D537" s="359"/>
      <c r="E537" s="359"/>
      <c r="F537" s="103"/>
      <c r="G537" s="103"/>
      <c r="H537" s="103"/>
      <c r="I537" s="103"/>
      <c r="J537" s="103"/>
      <c r="K537" s="103"/>
      <c r="L537" s="359"/>
      <c r="M537" s="359"/>
      <c r="N537" s="359"/>
      <c r="O537" s="359"/>
      <c r="P537" s="359"/>
      <c r="Q537" s="359"/>
      <c r="R537" s="359"/>
      <c r="S537" s="359"/>
      <c r="T537" s="359"/>
      <c r="U537" s="359"/>
      <c r="V537" s="359"/>
      <c r="W537" s="359"/>
      <c r="X537" s="359"/>
      <c r="Y537" s="359"/>
      <c r="Z537" s="359"/>
      <c r="AA537" s="359"/>
      <c r="AB537" s="359"/>
      <c r="AC537" s="359"/>
      <c r="AD537" s="359"/>
      <c r="AE537" s="359"/>
      <c r="AF537" s="359"/>
      <c r="AG537" s="359"/>
      <c r="AH537" s="359"/>
      <c r="AI537" s="359"/>
      <c r="AJ537" s="359"/>
      <c r="AK537" s="359"/>
      <c r="AL537" s="359"/>
      <c r="AM537" s="359"/>
      <c r="AN537" s="359"/>
      <c r="AO537" s="359"/>
      <c r="AP537" s="359"/>
      <c r="AQ537" s="359"/>
      <c r="AR537" s="359"/>
      <c r="AS537" s="359"/>
      <c r="AT537" s="359"/>
      <c r="AU537" s="359"/>
      <c r="AV537" s="359"/>
      <c r="AW537" s="359"/>
      <c r="AX537" s="359"/>
      <c r="AY537" s="359"/>
      <c r="AZ537" s="359"/>
      <c r="BA537" s="359"/>
      <c r="BB537" s="359"/>
      <c r="BC537" s="359"/>
      <c r="BD537" s="359"/>
      <c r="BE537" s="359"/>
      <c r="BF537" s="359"/>
      <c r="BG537" s="359"/>
      <c r="BH537" s="359"/>
      <c r="BI537" s="359"/>
      <c r="BJ537" s="359"/>
      <c r="BK537" s="359"/>
      <c r="BL537" s="359"/>
      <c r="BM537" s="359"/>
      <c r="BN537" s="359"/>
      <c r="BO537" s="359"/>
      <c r="BP537" s="103"/>
    </row>
    <row r="538" spans="1:68" x14ac:dyDescent="0.3">
      <c r="A538" s="354"/>
      <c r="B538" s="354"/>
      <c r="C538" s="354"/>
      <c r="D538" s="359"/>
      <c r="E538" s="359"/>
      <c r="F538" s="103"/>
      <c r="G538" s="103"/>
      <c r="H538" s="103"/>
      <c r="I538" s="103"/>
      <c r="J538" s="103"/>
      <c r="K538" s="103"/>
      <c r="L538" s="359"/>
      <c r="M538" s="359"/>
      <c r="N538" s="359"/>
      <c r="O538" s="359"/>
      <c r="P538" s="359"/>
      <c r="Q538" s="359"/>
      <c r="R538" s="359"/>
      <c r="S538" s="359"/>
      <c r="T538" s="359"/>
      <c r="U538" s="359"/>
      <c r="V538" s="359"/>
      <c r="W538" s="359"/>
      <c r="X538" s="359"/>
      <c r="Y538" s="359"/>
      <c r="Z538" s="359"/>
      <c r="AA538" s="359"/>
      <c r="AB538" s="359"/>
      <c r="AC538" s="359"/>
      <c r="AD538" s="359"/>
      <c r="AE538" s="359"/>
      <c r="AF538" s="359"/>
      <c r="AG538" s="359"/>
      <c r="AH538" s="359"/>
      <c r="AI538" s="359"/>
      <c r="AJ538" s="359"/>
      <c r="AK538" s="359"/>
      <c r="AL538" s="359"/>
      <c r="AM538" s="359"/>
      <c r="AN538" s="359"/>
      <c r="AO538" s="359"/>
      <c r="AP538" s="359"/>
      <c r="AQ538" s="359"/>
      <c r="AR538" s="359"/>
      <c r="AS538" s="359"/>
      <c r="AT538" s="359"/>
      <c r="AU538" s="359"/>
      <c r="AV538" s="359"/>
      <c r="AW538" s="359"/>
      <c r="AX538" s="359"/>
      <c r="AY538" s="359"/>
      <c r="AZ538" s="359"/>
      <c r="BA538" s="359"/>
      <c r="BB538" s="359"/>
      <c r="BC538" s="359"/>
      <c r="BD538" s="359"/>
      <c r="BE538" s="359"/>
      <c r="BF538" s="359"/>
      <c r="BG538" s="359"/>
      <c r="BH538" s="359"/>
      <c r="BI538" s="359"/>
      <c r="BJ538" s="359"/>
      <c r="BK538" s="359"/>
      <c r="BL538" s="359"/>
      <c r="BM538" s="359"/>
      <c r="BN538" s="359"/>
      <c r="BO538" s="359"/>
      <c r="BP538" s="103"/>
    </row>
    <row r="539" spans="1:68" x14ac:dyDescent="0.3">
      <c r="A539" s="354"/>
      <c r="B539" s="354"/>
      <c r="C539" s="354"/>
      <c r="D539" s="359"/>
      <c r="E539" s="359"/>
      <c r="F539" s="103"/>
      <c r="G539" s="103"/>
      <c r="H539" s="103"/>
      <c r="I539" s="103"/>
      <c r="J539" s="103"/>
      <c r="K539" s="103"/>
      <c r="L539" s="359"/>
      <c r="M539" s="359"/>
      <c r="N539" s="359"/>
      <c r="O539" s="359"/>
      <c r="P539" s="359"/>
      <c r="Q539" s="359"/>
      <c r="R539" s="359"/>
      <c r="S539" s="359"/>
      <c r="T539" s="359"/>
      <c r="U539" s="359"/>
      <c r="V539" s="359"/>
      <c r="W539" s="359"/>
      <c r="X539" s="359"/>
      <c r="Y539" s="359"/>
      <c r="Z539" s="359"/>
      <c r="AA539" s="359"/>
      <c r="AB539" s="359"/>
      <c r="AC539" s="359"/>
      <c r="AD539" s="359"/>
      <c r="AE539" s="359"/>
      <c r="AF539" s="359"/>
      <c r="AG539" s="359"/>
      <c r="AH539" s="359"/>
      <c r="AI539" s="359"/>
      <c r="AJ539" s="359"/>
      <c r="AK539" s="359"/>
      <c r="AL539" s="359"/>
      <c r="AM539" s="359"/>
      <c r="AN539" s="359"/>
      <c r="AO539" s="359"/>
      <c r="AP539" s="359"/>
      <c r="AQ539" s="359"/>
      <c r="AR539" s="359"/>
      <c r="AS539" s="359"/>
      <c r="AT539" s="359"/>
      <c r="AU539" s="359"/>
      <c r="AV539" s="359"/>
      <c r="AW539" s="359"/>
      <c r="AX539" s="359"/>
      <c r="AY539" s="359"/>
      <c r="AZ539" s="359"/>
      <c r="BA539" s="359"/>
      <c r="BB539" s="359"/>
      <c r="BC539" s="359"/>
      <c r="BD539" s="359"/>
      <c r="BE539" s="359"/>
      <c r="BF539" s="359"/>
      <c r="BG539" s="359"/>
      <c r="BH539" s="359"/>
      <c r="BI539" s="359"/>
      <c r="BJ539" s="359"/>
      <c r="BK539" s="359"/>
      <c r="BL539" s="359"/>
      <c r="BM539" s="359"/>
      <c r="BN539" s="359"/>
      <c r="BO539" s="359"/>
      <c r="BP539" s="103"/>
    </row>
    <row r="540" spans="1:68" x14ac:dyDescent="0.3">
      <c r="A540" s="354"/>
      <c r="B540" s="354"/>
      <c r="C540" s="354"/>
      <c r="D540" s="359"/>
      <c r="E540" s="359"/>
      <c r="F540" s="103"/>
      <c r="G540" s="103"/>
      <c r="H540" s="103"/>
      <c r="I540" s="103"/>
      <c r="J540" s="103"/>
      <c r="K540" s="103"/>
      <c r="L540" s="359"/>
      <c r="M540" s="359"/>
      <c r="N540" s="359"/>
      <c r="O540" s="359"/>
      <c r="P540" s="359"/>
      <c r="Q540" s="359"/>
      <c r="R540" s="359"/>
      <c r="S540" s="359"/>
      <c r="T540" s="359"/>
      <c r="U540" s="359"/>
      <c r="V540" s="359"/>
      <c r="W540" s="359"/>
      <c r="X540" s="359"/>
      <c r="Y540" s="359"/>
      <c r="Z540" s="359"/>
      <c r="AA540" s="359"/>
      <c r="AB540" s="359"/>
      <c r="AC540" s="359"/>
      <c r="AD540" s="359"/>
      <c r="AE540" s="359"/>
      <c r="AF540" s="359"/>
      <c r="AG540" s="359"/>
      <c r="AH540" s="359"/>
      <c r="AI540" s="359"/>
      <c r="AJ540" s="359"/>
      <c r="AK540" s="359"/>
      <c r="AL540" s="359"/>
      <c r="AM540" s="359"/>
      <c r="AN540" s="359"/>
      <c r="AO540" s="359"/>
      <c r="AP540" s="359"/>
      <c r="AQ540" s="359"/>
      <c r="AR540" s="359"/>
      <c r="AS540" s="359"/>
      <c r="AT540" s="359"/>
      <c r="AU540" s="359"/>
      <c r="AV540" s="359"/>
      <c r="AW540" s="359"/>
      <c r="AX540" s="359"/>
      <c r="AY540" s="359"/>
      <c r="AZ540" s="359"/>
      <c r="BA540" s="359"/>
      <c r="BB540" s="359"/>
      <c r="BC540" s="359"/>
      <c r="BD540" s="359"/>
      <c r="BE540" s="359"/>
      <c r="BF540" s="359"/>
      <c r="BG540" s="359"/>
      <c r="BH540" s="359"/>
      <c r="BI540" s="359"/>
      <c r="BJ540" s="359"/>
      <c r="BK540" s="359"/>
      <c r="BL540" s="359"/>
      <c r="BM540" s="359"/>
      <c r="BN540" s="359"/>
      <c r="BO540" s="359"/>
      <c r="BP540" s="103"/>
    </row>
    <row r="541" spans="1:68" x14ac:dyDescent="0.3">
      <c r="A541" s="354"/>
      <c r="B541" s="354"/>
      <c r="C541" s="354"/>
      <c r="D541" s="359"/>
      <c r="E541" s="359"/>
      <c r="F541" s="103"/>
      <c r="G541" s="103"/>
      <c r="H541" s="103"/>
      <c r="I541" s="103"/>
      <c r="J541" s="103"/>
      <c r="K541" s="103"/>
      <c r="L541" s="359"/>
      <c r="M541" s="359"/>
      <c r="N541" s="359"/>
      <c r="O541" s="359"/>
      <c r="P541" s="359"/>
      <c r="Q541" s="359"/>
      <c r="R541" s="359"/>
      <c r="S541" s="359"/>
      <c r="T541" s="359"/>
      <c r="U541" s="359"/>
      <c r="V541" s="359"/>
      <c r="W541" s="359"/>
      <c r="X541" s="359"/>
      <c r="Y541" s="359"/>
      <c r="Z541" s="359"/>
      <c r="AA541" s="359"/>
      <c r="AB541" s="359"/>
      <c r="AC541" s="359"/>
      <c r="AD541" s="359"/>
      <c r="AE541" s="359"/>
      <c r="AF541" s="359"/>
      <c r="AG541" s="359"/>
      <c r="AH541" s="359"/>
      <c r="AI541" s="359"/>
      <c r="AJ541" s="359"/>
      <c r="AK541" s="359"/>
      <c r="AL541" s="359"/>
      <c r="AM541" s="359"/>
      <c r="AN541" s="359"/>
      <c r="AO541" s="359"/>
      <c r="AP541" s="359"/>
      <c r="AQ541" s="359"/>
      <c r="AR541" s="359"/>
      <c r="AS541" s="359"/>
      <c r="AT541" s="359"/>
      <c r="AU541" s="359"/>
      <c r="AV541" s="359"/>
      <c r="AW541" s="359"/>
      <c r="AX541" s="359"/>
      <c r="AY541" s="359"/>
      <c r="AZ541" s="359"/>
      <c r="BA541" s="359"/>
      <c r="BB541" s="359"/>
      <c r="BC541" s="359"/>
      <c r="BD541" s="359"/>
      <c r="BE541" s="359"/>
      <c r="BF541" s="359"/>
      <c r="BG541" s="359"/>
      <c r="BH541" s="359"/>
      <c r="BI541" s="359"/>
      <c r="BJ541" s="359"/>
      <c r="BK541" s="359"/>
      <c r="BL541" s="359"/>
      <c r="BM541" s="359"/>
      <c r="BN541" s="359"/>
      <c r="BO541" s="359"/>
      <c r="BP541" s="103"/>
    </row>
    <row r="542" spans="1:68" x14ac:dyDescent="0.3">
      <c r="A542" s="354"/>
      <c r="B542" s="354"/>
      <c r="C542" s="354"/>
      <c r="D542" s="359"/>
      <c r="E542" s="359"/>
      <c r="F542" s="103"/>
      <c r="G542" s="103"/>
      <c r="H542" s="103"/>
      <c r="I542" s="103"/>
      <c r="J542" s="103"/>
      <c r="K542" s="103"/>
      <c r="L542" s="359"/>
      <c r="M542" s="359"/>
      <c r="N542" s="359"/>
      <c r="O542" s="359"/>
      <c r="P542" s="359"/>
      <c r="Q542" s="359"/>
      <c r="R542" s="359"/>
      <c r="S542" s="359"/>
      <c r="T542" s="359"/>
      <c r="U542" s="359"/>
      <c r="V542" s="359"/>
      <c r="W542" s="359"/>
      <c r="X542" s="359"/>
      <c r="Y542" s="359"/>
      <c r="Z542" s="359"/>
      <c r="AA542" s="359"/>
      <c r="AB542" s="359"/>
      <c r="AC542" s="359"/>
      <c r="AD542" s="359"/>
      <c r="AE542" s="359"/>
      <c r="AF542" s="359"/>
      <c r="AG542" s="359"/>
      <c r="AH542" s="359"/>
      <c r="AI542" s="359"/>
      <c r="AJ542" s="359"/>
      <c r="AK542" s="359"/>
      <c r="AL542" s="359"/>
      <c r="AM542" s="359"/>
      <c r="AN542" s="359"/>
      <c r="AO542" s="359"/>
      <c r="AP542" s="359"/>
      <c r="AQ542" s="359"/>
      <c r="AR542" s="359"/>
      <c r="AS542" s="359"/>
      <c r="AT542" s="359"/>
      <c r="AU542" s="359"/>
      <c r="AV542" s="359"/>
      <c r="AW542" s="359"/>
      <c r="AX542" s="359"/>
      <c r="AY542" s="359"/>
      <c r="AZ542" s="359"/>
      <c r="BA542" s="359"/>
      <c r="BB542" s="359"/>
      <c r="BC542" s="359"/>
      <c r="BD542" s="359"/>
      <c r="BE542" s="359"/>
      <c r="BF542" s="359"/>
      <c r="BG542" s="359"/>
      <c r="BH542" s="359"/>
      <c r="BI542" s="359"/>
      <c r="BJ542" s="359"/>
      <c r="BK542" s="359"/>
      <c r="BL542" s="359"/>
      <c r="BM542" s="359"/>
      <c r="BN542" s="359"/>
      <c r="BO542" s="359"/>
      <c r="BP542" s="103"/>
    </row>
    <row r="543" spans="1:68" x14ac:dyDescent="0.3">
      <c r="A543" s="354"/>
      <c r="B543" s="354"/>
      <c r="C543" s="354"/>
      <c r="D543" s="359"/>
      <c r="E543" s="359"/>
      <c r="F543" s="103"/>
      <c r="G543" s="103"/>
      <c r="H543" s="103"/>
      <c r="I543" s="103"/>
      <c r="J543" s="103"/>
      <c r="K543" s="103"/>
      <c r="L543" s="359"/>
      <c r="M543" s="359"/>
      <c r="N543" s="359"/>
      <c r="O543" s="359"/>
      <c r="P543" s="359"/>
      <c r="Q543" s="359"/>
      <c r="R543" s="359"/>
      <c r="S543" s="359"/>
      <c r="T543" s="359"/>
      <c r="U543" s="359"/>
      <c r="V543" s="359"/>
      <c r="W543" s="359"/>
      <c r="X543" s="359"/>
      <c r="Y543" s="359"/>
      <c r="Z543" s="359"/>
      <c r="AA543" s="359"/>
      <c r="AB543" s="359"/>
      <c r="AC543" s="359"/>
      <c r="AD543" s="359"/>
      <c r="AE543" s="359"/>
      <c r="AF543" s="359"/>
      <c r="AG543" s="359"/>
      <c r="AH543" s="359"/>
      <c r="AI543" s="359"/>
      <c r="AJ543" s="359"/>
      <c r="AK543" s="359"/>
      <c r="AL543" s="359"/>
      <c r="AM543" s="359"/>
      <c r="AN543" s="359"/>
      <c r="AO543" s="359"/>
      <c r="AP543" s="359"/>
      <c r="AQ543" s="359"/>
      <c r="AR543" s="359"/>
      <c r="AS543" s="359"/>
      <c r="AT543" s="359"/>
      <c r="AU543" s="359"/>
      <c r="AV543" s="359"/>
      <c r="AW543" s="359"/>
      <c r="AX543" s="359"/>
      <c r="AY543" s="359"/>
      <c r="AZ543" s="359"/>
      <c r="BA543" s="359"/>
      <c r="BB543" s="359"/>
      <c r="BC543" s="359"/>
      <c r="BD543" s="359"/>
      <c r="BE543" s="359"/>
      <c r="BF543" s="359"/>
      <c r="BG543" s="359"/>
      <c r="BH543" s="359"/>
      <c r="BI543" s="359"/>
      <c r="BJ543" s="359"/>
      <c r="BK543" s="359"/>
      <c r="BL543" s="359"/>
      <c r="BM543" s="359"/>
      <c r="BN543" s="359"/>
      <c r="BO543" s="359"/>
      <c r="BP543" s="103"/>
    </row>
    <row r="544" spans="1:68" x14ac:dyDescent="0.3">
      <c r="A544" s="354"/>
      <c r="B544" s="354"/>
      <c r="C544" s="354"/>
      <c r="D544" s="359"/>
      <c r="E544" s="359"/>
      <c r="F544" s="103"/>
      <c r="G544" s="103"/>
      <c r="H544" s="103"/>
      <c r="I544" s="103"/>
      <c r="J544" s="103"/>
      <c r="K544" s="103"/>
      <c r="L544" s="359"/>
      <c r="M544" s="359"/>
      <c r="N544" s="359"/>
      <c r="O544" s="359"/>
      <c r="P544" s="359"/>
      <c r="Q544" s="359"/>
      <c r="R544" s="359"/>
      <c r="S544" s="359"/>
      <c r="T544" s="359"/>
      <c r="U544" s="359"/>
      <c r="V544" s="359"/>
      <c r="W544" s="359"/>
      <c r="X544" s="359"/>
      <c r="Y544" s="359"/>
      <c r="Z544" s="359"/>
      <c r="AA544" s="359"/>
      <c r="AB544" s="359"/>
      <c r="AC544" s="359"/>
      <c r="AD544" s="359"/>
      <c r="AE544" s="359"/>
      <c r="AF544" s="359"/>
      <c r="AG544" s="359"/>
      <c r="AH544" s="359"/>
      <c r="AI544" s="359"/>
      <c r="AJ544" s="359"/>
      <c r="AK544" s="359"/>
      <c r="AL544" s="359"/>
      <c r="AM544" s="359"/>
      <c r="AN544" s="359"/>
      <c r="AO544" s="359"/>
      <c r="AP544" s="359"/>
      <c r="AQ544" s="359"/>
      <c r="AR544" s="359"/>
      <c r="AS544" s="359"/>
      <c r="AT544" s="359"/>
      <c r="AU544" s="359"/>
      <c r="AV544" s="359"/>
      <c r="AW544" s="359"/>
      <c r="AX544" s="359"/>
      <c r="AY544" s="359"/>
      <c r="AZ544" s="359"/>
      <c r="BA544" s="359"/>
      <c r="BB544" s="359"/>
      <c r="BC544" s="359"/>
      <c r="BD544" s="359"/>
      <c r="BE544" s="359"/>
      <c r="BF544" s="359"/>
      <c r="BG544" s="359"/>
      <c r="BH544" s="359"/>
      <c r="BI544" s="359"/>
      <c r="BJ544" s="359"/>
      <c r="BK544" s="359"/>
      <c r="BL544" s="359"/>
      <c r="BM544" s="359"/>
      <c r="BN544" s="359"/>
      <c r="BO544" s="359"/>
      <c r="BP544" s="103"/>
    </row>
    <row r="545" spans="1:68" x14ac:dyDescent="0.3">
      <c r="A545" s="354"/>
      <c r="B545" s="354"/>
      <c r="C545" s="354"/>
      <c r="D545" s="359"/>
      <c r="E545" s="359"/>
      <c r="F545" s="103"/>
      <c r="G545" s="103"/>
      <c r="H545" s="103"/>
      <c r="I545" s="103"/>
      <c r="J545" s="103"/>
      <c r="K545" s="103"/>
      <c r="L545" s="359"/>
      <c r="M545" s="359"/>
      <c r="N545" s="359"/>
      <c r="O545" s="359"/>
      <c r="P545" s="359"/>
      <c r="Q545" s="359"/>
      <c r="R545" s="359"/>
      <c r="S545" s="359"/>
      <c r="T545" s="359"/>
      <c r="U545" s="359"/>
      <c r="V545" s="359"/>
      <c r="W545" s="359"/>
      <c r="X545" s="359"/>
      <c r="Y545" s="359"/>
      <c r="Z545" s="359"/>
      <c r="AA545" s="359"/>
      <c r="AB545" s="359"/>
      <c r="AC545" s="359"/>
      <c r="AD545" s="359"/>
      <c r="AE545" s="359"/>
      <c r="AF545" s="359"/>
      <c r="AG545" s="359"/>
      <c r="AH545" s="359"/>
      <c r="AI545" s="359"/>
      <c r="AJ545" s="359"/>
      <c r="AK545" s="359"/>
      <c r="AL545" s="359"/>
      <c r="AM545" s="359"/>
      <c r="AN545" s="359"/>
      <c r="AO545" s="359"/>
      <c r="AP545" s="359"/>
      <c r="AQ545" s="359"/>
      <c r="AR545" s="359"/>
      <c r="AS545" s="359"/>
      <c r="AT545" s="359"/>
      <c r="AU545" s="359"/>
      <c r="AV545" s="359"/>
      <c r="AW545" s="359"/>
      <c r="AX545" s="359"/>
      <c r="AY545" s="359"/>
      <c r="AZ545" s="359"/>
      <c r="BA545" s="359"/>
      <c r="BB545" s="359"/>
      <c r="BC545" s="359"/>
      <c r="BD545" s="359"/>
      <c r="BE545" s="359"/>
      <c r="BF545" s="359"/>
      <c r="BG545" s="359"/>
      <c r="BH545" s="359"/>
      <c r="BI545" s="359"/>
      <c r="BJ545" s="359"/>
      <c r="BK545" s="359"/>
      <c r="BL545" s="359"/>
      <c r="BM545" s="359"/>
      <c r="BN545" s="359"/>
      <c r="BO545" s="359"/>
      <c r="BP545" s="103"/>
    </row>
    <row r="546" spans="1:68" x14ac:dyDescent="0.3">
      <c r="A546" s="354"/>
      <c r="B546" s="354"/>
      <c r="C546" s="354"/>
      <c r="D546" s="359"/>
      <c r="E546" s="359"/>
      <c r="F546" s="103"/>
      <c r="G546" s="103"/>
      <c r="H546" s="103"/>
      <c r="I546" s="103"/>
      <c r="J546" s="103"/>
      <c r="K546" s="103"/>
      <c r="L546" s="359"/>
      <c r="M546" s="359"/>
      <c r="N546" s="359"/>
      <c r="O546" s="359"/>
      <c r="P546" s="359"/>
      <c r="Q546" s="359"/>
      <c r="R546" s="359"/>
      <c r="S546" s="359"/>
      <c r="T546" s="359"/>
      <c r="U546" s="359"/>
      <c r="V546" s="359"/>
      <c r="W546" s="359"/>
      <c r="X546" s="359"/>
      <c r="Y546" s="359"/>
      <c r="Z546" s="359"/>
      <c r="AA546" s="359"/>
      <c r="AB546" s="359"/>
      <c r="AC546" s="359"/>
      <c r="AD546" s="359"/>
      <c r="AE546" s="359"/>
      <c r="AF546" s="359"/>
      <c r="AG546" s="359"/>
      <c r="AH546" s="359"/>
      <c r="AI546" s="359"/>
      <c r="AJ546" s="359"/>
      <c r="AK546" s="359"/>
      <c r="AL546" s="359"/>
      <c r="AM546" s="359"/>
      <c r="AN546" s="359"/>
      <c r="AO546" s="359"/>
      <c r="AP546" s="359"/>
      <c r="AQ546" s="359"/>
      <c r="AR546" s="359"/>
      <c r="AS546" s="359"/>
      <c r="AT546" s="359"/>
      <c r="AU546" s="359"/>
      <c r="AV546" s="359"/>
      <c r="AW546" s="359"/>
      <c r="AX546" s="359"/>
      <c r="AY546" s="359"/>
      <c r="AZ546" s="359"/>
      <c r="BA546" s="359"/>
      <c r="BB546" s="359"/>
      <c r="BC546" s="359"/>
      <c r="BD546" s="359"/>
      <c r="BE546" s="359"/>
      <c r="BF546" s="359"/>
      <c r="BG546" s="359"/>
      <c r="BH546" s="359"/>
      <c r="BI546" s="359"/>
      <c r="BJ546" s="359"/>
      <c r="BK546" s="359"/>
      <c r="BL546" s="359"/>
      <c r="BM546" s="359"/>
      <c r="BN546" s="359"/>
      <c r="BO546" s="359"/>
      <c r="BP546" s="103"/>
    </row>
    <row r="547" spans="1:68" x14ac:dyDescent="0.3">
      <c r="A547" s="354"/>
      <c r="B547" s="354"/>
      <c r="C547" s="354"/>
      <c r="D547" s="359"/>
      <c r="E547" s="359"/>
      <c r="F547" s="103"/>
      <c r="G547" s="103"/>
      <c r="H547" s="103"/>
      <c r="I547" s="103"/>
      <c r="J547" s="103"/>
      <c r="K547" s="103"/>
      <c r="L547" s="359"/>
      <c r="M547" s="359"/>
      <c r="N547" s="359"/>
      <c r="O547" s="359"/>
      <c r="P547" s="359"/>
      <c r="Q547" s="359"/>
      <c r="R547" s="359"/>
      <c r="S547" s="359"/>
      <c r="T547" s="359"/>
      <c r="U547" s="359"/>
      <c r="V547" s="359"/>
      <c r="W547" s="359"/>
      <c r="X547" s="359"/>
      <c r="Y547" s="359"/>
      <c r="Z547" s="359"/>
      <c r="AA547" s="359"/>
      <c r="AB547" s="359"/>
      <c r="AC547" s="359"/>
      <c r="AD547" s="359"/>
      <c r="AE547" s="359"/>
      <c r="AF547" s="359"/>
      <c r="AG547" s="359"/>
      <c r="AH547" s="359"/>
      <c r="AI547" s="359"/>
      <c r="AJ547" s="359"/>
      <c r="AK547" s="359"/>
      <c r="AL547" s="359"/>
      <c r="AM547" s="359"/>
      <c r="AN547" s="359"/>
      <c r="AO547" s="359"/>
      <c r="AP547" s="359"/>
      <c r="AQ547" s="359"/>
      <c r="AR547" s="359"/>
      <c r="AS547" s="359"/>
      <c r="AT547" s="359"/>
      <c r="AU547" s="359"/>
      <c r="AV547" s="359"/>
      <c r="AW547" s="359"/>
      <c r="AX547" s="359"/>
      <c r="AY547" s="359"/>
      <c r="AZ547" s="359"/>
      <c r="BA547" s="359"/>
      <c r="BB547" s="359"/>
      <c r="BC547" s="359"/>
      <c r="BD547" s="359"/>
      <c r="BE547" s="359"/>
      <c r="BF547" s="359"/>
      <c r="BG547" s="359"/>
      <c r="BH547" s="359"/>
      <c r="BI547" s="359"/>
      <c r="BJ547" s="359"/>
      <c r="BK547" s="359"/>
      <c r="BL547" s="359"/>
      <c r="BM547" s="359"/>
      <c r="BN547" s="359"/>
      <c r="BO547" s="359"/>
      <c r="BP547" s="103"/>
    </row>
    <row r="548" spans="1:68" x14ac:dyDescent="0.3">
      <c r="A548" s="354"/>
      <c r="B548" s="354"/>
      <c r="C548" s="354"/>
      <c r="D548" s="359"/>
      <c r="E548" s="359"/>
      <c r="F548" s="103"/>
      <c r="G548" s="103"/>
      <c r="H548" s="103"/>
      <c r="I548" s="103"/>
      <c r="J548" s="103"/>
      <c r="K548" s="103"/>
      <c r="L548" s="359"/>
      <c r="M548" s="359"/>
      <c r="N548" s="359"/>
      <c r="O548" s="359"/>
      <c r="P548" s="359"/>
      <c r="Q548" s="359"/>
      <c r="R548" s="359"/>
      <c r="S548" s="359"/>
      <c r="T548" s="359"/>
      <c r="U548" s="359"/>
      <c r="V548" s="359"/>
      <c r="W548" s="359"/>
      <c r="X548" s="359"/>
      <c r="Y548" s="359"/>
      <c r="Z548" s="359"/>
      <c r="AA548" s="359"/>
      <c r="AB548" s="359"/>
      <c r="AC548" s="359"/>
      <c r="AD548" s="359"/>
      <c r="AE548" s="359"/>
      <c r="AF548" s="359"/>
      <c r="AG548" s="359"/>
      <c r="AH548" s="359"/>
      <c r="AI548" s="359"/>
      <c r="AJ548" s="359"/>
      <c r="AK548" s="359"/>
      <c r="AL548" s="359"/>
      <c r="AM548" s="359"/>
      <c r="AN548" s="359"/>
      <c r="AO548" s="359"/>
      <c r="AP548" s="359"/>
      <c r="AQ548" s="359"/>
      <c r="AR548" s="359"/>
      <c r="AS548" s="359"/>
      <c r="AT548" s="359"/>
      <c r="AU548" s="359"/>
      <c r="AV548" s="359"/>
      <c r="AW548" s="359"/>
      <c r="AX548" s="359"/>
      <c r="AY548" s="359"/>
      <c r="AZ548" s="359"/>
      <c r="BA548" s="359"/>
      <c r="BB548" s="359"/>
      <c r="BC548" s="359"/>
      <c r="BD548" s="359"/>
      <c r="BE548" s="359"/>
      <c r="BF548" s="359"/>
      <c r="BG548" s="359"/>
      <c r="BH548" s="359"/>
      <c r="BI548" s="359"/>
      <c r="BJ548" s="359"/>
      <c r="BK548" s="359"/>
      <c r="BL548" s="359"/>
      <c r="BM548" s="359"/>
      <c r="BN548" s="359"/>
      <c r="BO548" s="359"/>
      <c r="BP548" s="103"/>
    </row>
    <row r="549" spans="1:68" x14ac:dyDescent="0.3">
      <c r="A549" s="354"/>
      <c r="B549" s="354"/>
      <c r="C549" s="354"/>
      <c r="D549" s="359"/>
      <c r="E549" s="359"/>
      <c r="F549" s="103"/>
      <c r="G549" s="103"/>
      <c r="H549" s="103"/>
      <c r="I549" s="103"/>
      <c r="J549" s="103"/>
      <c r="K549" s="103"/>
      <c r="L549" s="359"/>
      <c r="M549" s="359"/>
      <c r="N549" s="359"/>
      <c r="O549" s="359"/>
      <c r="P549" s="359"/>
      <c r="Q549" s="359"/>
      <c r="R549" s="359"/>
      <c r="S549" s="359"/>
      <c r="T549" s="359"/>
      <c r="U549" s="359"/>
      <c r="V549" s="359"/>
      <c r="W549" s="359"/>
      <c r="X549" s="359"/>
      <c r="Y549" s="359"/>
      <c r="Z549" s="359"/>
      <c r="AA549" s="359"/>
      <c r="AB549" s="359"/>
      <c r="AC549" s="359"/>
      <c r="AD549" s="359"/>
      <c r="AE549" s="359"/>
      <c r="AF549" s="359"/>
      <c r="AG549" s="359"/>
      <c r="AH549" s="359"/>
      <c r="AI549" s="359"/>
      <c r="AJ549" s="359"/>
      <c r="AK549" s="359"/>
      <c r="AL549" s="359"/>
      <c r="AM549" s="359"/>
      <c r="AN549" s="359"/>
      <c r="AO549" s="359"/>
      <c r="AP549" s="359"/>
      <c r="AQ549" s="359"/>
      <c r="AR549" s="359"/>
      <c r="AS549" s="359"/>
      <c r="AT549" s="359"/>
      <c r="AU549" s="359"/>
      <c r="AV549" s="359"/>
      <c r="AW549" s="359"/>
      <c r="AX549" s="359"/>
      <c r="AY549" s="359"/>
      <c r="AZ549" s="359"/>
      <c r="BA549" s="359"/>
      <c r="BB549" s="359"/>
      <c r="BC549" s="359"/>
      <c r="BD549" s="359"/>
      <c r="BE549" s="359"/>
      <c r="BF549" s="359"/>
      <c r="BG549" s="359"/>
      <c r="BH549" s="359"/>
      <c r="BI549" s="359"/>
      <c r="BJ549" s="359"/>
      <c r="BK549" s="359"/>
      <c r="BL549" s="359"/>
      <c r="BM549" s="359"/>
      <c r="BN549" s="359"/>
      <c r="BO549" s="359"/>
      <c r="BP549" s="103"/>
    </row>
    <row r="550" spans="1:68" x14ac:dyDescent="0.3">
      <c r="A550" s="354"/>
      <c r="B550" s="354"/>
      <c r="C550" s="354"/>
      <c r="D550" s="359"/>
      <c r="E550" s="359"/>
      <c r="F550" s="103"/>
      <c r="G550" s="103"/>
      <c r="H550" s="103"/>
      <c r="I550" s="103"/>
      <c r="J550" s="103"/>
      <c r="K550" s="103"/>
      <c r="L550" s="359"/>
      <c r="M550" s="359"/>
      <c r="N550" s="359"/>
      <c r="O550" s="359"/>
      <c r="P550" s="359"/>
      <c r="Q550" s="359"/>
      <c r="R550" s="359"/>
      <c r="S550" s="359"/>
      <c r="T550" s="359"/>
      <c r="U550" s="359"/>
      <c r="V550" s="359"/>
      <c r="W550" s="359"/>
      <c r="X550" s="359"/>
      <c r="Y550" s="359"/>
      <c r="Z550" s="359"/>
      <c r="AA550" s="359"/>
      <c r="AB550" s="359"/>
      <c r="AC550" s="359"/>
      <c r="AD550" s="359"/>
      <c r="AE550" s="359"/>
      <c r="AF550" s="359"/>
      <c r="AG550" s="359"/>
      <c r="AH550" s="359"/>
      <c r="AI550" s="359"/>
      <c r="AJ550" s="359"/>
      <c r="AK550" s="359"/>
      <c r="AL550" s="359"/>
      <c r="AM550" s="359"/>
      <c r="AN550" s="359"/>
      <c r="AO550" s="359"/>
      <c r="AP550" s="359"/>
      <c r="AQ550" s="359"/>
      <c r="AR550" s="359"/>
      <c r="AS550" s="359"/>
      <c r="AT550" s="359"/>
      <c r="AU550" s="359"/>
      <c r="AV550" s="359"/>
      <c r="AW550" s="359"/>
      <c r="AX550" s="359"/>
      <c r="AY550" s="359"/>
      <c r="AZ550" s="359"/>
      <c r="BA550" s="359"/>
      <c r="BB550" s="359"/>
      <c r="BC550" s="359"/>
      <c r="BD550" s="359"/>
      <c r="BE550" s="359"/>
      <c r="BF550" s="359"/>
      <c r="BG550" s="359"/>
      <c r="BH550" s="359"/>
      <c r="BI550" s="359"/>
      <c r="BJ550" s="359"/>
      <c r="BK550" s="359"/>
      <c r="BL550" s="359"/>
      <c r="BM550" s="359"/>
      <c r="BN550" s="359"/>
      <c r="BO550" s="359"/>
      <c r="BP550" s="103"/>
    </row>
    <row r="551" spans="1:68" x14ac:dyDescent="0.3">
      <c r="A551" s="354"/>
      <c r="B551" s="354"/>
      <c r="C551" s="354"/>
      <c r="D551" s="359"/>
      <c r="E551" s="359"/>
      <c r="F551" s="103"/>
      <c r="G551" s="103"/>
      <c r="H551" s="103"/>
      <c r="I551" s="103"/>
      <c r="J551" s="103"/>
      <c r="K551" s="103"/>
      <c r="L551" s="359"/>
      <c r="M551" s="359"/>
      <c r="N551" s="359"/>
      <c r="O551" s="359"/>
      <c r="P551" s="359"/>
      <c r="Q551" s="359"/>
      <c r="R551" s="359"/>
      <c r="S551" s="359"/>
      <c r="T551" s="359"/>
      <c r="U551" s="359"/>
      <c r="V551" s="359"/>
      <c r="W551" s="359"/>
      <c r="X551" s="359"/>
      <c r="Y551" s="359"/>
      <c r="Z551" s="359"/>
      <c r="AA551" s="359"/>
      <c r="AB551" s="359"/>
      <c r="AC551" s="359"/>
      <c r="AD551" s="359"/>
      <c r="AE551" s="359"/>
      <c r="AF551" s="359"/>
      <c r="AG551" s="359"/>
      <c r="AH551" s="359"/>
      <c r="AI551" s="359"/>
      <c r="AJ551" s="359"/>
      <c r="AK551" s="359"/>
      <c r="AL551" s="359"/>
      <c r="AM551" s="359"/>
      <c r="AN551" s="359"/>
      <c r="AO551" s="359"/>
      <c r="AP551" s="359"/>
      <c r="AQ551" s="359"/>
      <c r="AR551" s="359"/>
      <c r="AS551" s="359"/>
      <c r="AT551" s="359"/>
      <c r="AU551" s="359"/>
      <c r="AV551" s="359"/>
      <c r="AW551" s="359"/>
      <c r="AX551" s="359"/>
      <c r="AY551" s="359"/>
      <c r="AZ551" s="359"/>
      <c r="BA551" s="359"/>
      <c r="BB551" s="359"/>
      <c r="BC551" s="359"/>
      <c r="BD551" s="359"/>
      <c r="BE551" s="359"/>
      <c r="BF551" s="359"/>
      <c r="BG551" s="359"/>
      <c r="BH551" s="359"/>
      <c r="BI551" s="359"/>
      <c r="BJ551" s="359"/>
      <c r="BK551" s="359"/>
      <c r="BL551" s="359"/>
      <c r="BM551" s="359"/>
      <c r="BN551" s="359"/>
      <c r="BO551" s="359"/>
      <c r="BP551" s="103"/>
    </row>
    <row r="552" spans="1:68" x14ac:dyDescent="0.3">
      <c r="A552" s="354"/>
      <c r="B552" s="354"/>
      <c r="C552" s="354"/>
      <c r="D552" s="359"/>
      <c r="E552" s="359"/>
      <c r="F552" s="103"/>
      <c r="G552" s="103"/>
      <c r="H552" s="103"/>
      <c r="I552" s="103"/>
      <c r="J552" s="103"/>
      <c r="K552" s="103"/>
      <c r="L552" s="359"/>
      <c r="M552" s="359"/>
      <c r="N552" s="359"/>
      <c r="O552" s="359"/>
      <c r="P552" s="359"/>
      <c r="Q552" s="359"/>
      <c r="R552" s="359"/>
      <c r="S552" s="359"/>
      <c r="T552" s="359"/>
      <c r="U552" s="359"/>
      <c r="V552" s="359"/>
      <c r="W552" s="359"/>
      <c r="X552" s="359"/>
      <c r="Y552" s="359"/>
      <c r="Z552" s="359"/>
      <c r="AA552" s="359"/>
      <c r="AB552" s="359"/>
      <c r="AC552" s="359"/>
      <c r="AD552" s="359"/>
      <c r="AE552" s="359"/>
      <c r="AF552" s="359"/>
      <c r="AG552" s="359"/>
      <c r="AH552" s="359"/>
      <c r="AI552" s="359"/>
      <c r="AJ552" s="359"/>
      <c r="AK552" s="359"/>
      <c r="AL552" s="359"/>
      <c r="AM552" s="359"/>
      <c r="AN552" s="359"/>
      <c r="AO552" s="359"/>
      <c r="AP552" s="359"/>
      <c r="AQ552" s="359"/>
      <c r="AR552" s="359"/>
      <c r="AS552" s="359"/>
      <c r="AT552" s="359"/>
      <c r="AU552" s="359"/>
      <c r="AV552" s="359"/>
      <c r="AW552" s="359"/>
      <c r="AX552" s="359"/>
      <c r="AY552" s="359"/>
      <c r="AZ552" s="359"/>
      <c r="BA552" s="359"/>
      <c r="BB552" s="359"/>
      <c r="BC552" s="359"/>
      <c r="BD552" s="359"/>
      <c r="BE552" s="359"/>
      <c r="BF552" s="359"/>
      <c r="BG552" s="359"/>
      <c r="BH552" s="359"/>
      <c r="BI552" s="359"/>
      <c r="BJ552" s="359"/>
      <c r="BK552" s="359"/>
      <c r="BL552" s="359"/>
      <c r="BM552" s="359"/>
      <c r="BN552" s="359"/>
      <c r="BO552" s="359"/>
      <c r="BP552" s="103"/>
    </row>
    <row r="553" spans="1:68" x14ac:dyDescent="0.3">
      <c r="A553" s="354"/>
      <c r="B553" s="354"/>
      <c r="C553" s="354"/>
      <c r="D553" s="359"/>
      <c r="E553" s="359"/>
      <c r="F553" s="103"/>
      <c r="G553" s="103"/>
      <c r="H553" s="103"/>
      <c r="I553" s="103"/>
      <c r="J553" s="103"/>
      <c r="K553" s="103"/>
      <c r="L553" s="359"/>
      <c r="M553" s="359"/>
      <c r="N553" s="359"/>
      <c r="O553" s="359"/>
      <c r="P553" s="359"/>
      <c r="Q553" s="359"/>
      <c r="R553" s="359"/>
      <c r="S553" s="359"/>
      <c r="T553" s="359"/>
      <c r="U553" s="359"/>
      <c r="V553" s="359"/>
      <c r="W553" s="359"/>
      <c r="X553" s="359"/>
      <c r="Y553" s="359"/>
      <c r="Z553" s="359"/>
      <c r="AA553" s="359"/>
      <c r="AB553" s="359"/>
      <c r="AC553" s="359"/>
      <c r="AD553" s="359"/>
      <c r="AE553" s="359"/>
      <c r="AF553" s="359"/>
      <c r="AG553" s="359"/>
      <c r="AH553" s="359"/>
      <c r="AI553" s="359"/>
      <c r="AJ553" s="359"/>
      <c r="AK553" s="359"/>
      <c r="AL553" s="359"/>
      <c r="AM553" s="359"/>
      <c r="AN553" s="359"/>
      <c r="AO553" s="359"/>
      <c r="AP553" s="359"/>
      <c r="AQ553" s="359"/>
      <c r="AR553" s="359"/>
      <c r="AS553" s="359"/>
      <c r="AT553" s="359"/>
      <c r="AU553" s="359"/>
      <c r="AV553" s="359"/>
      <c r="AW553" s="359"/>
      <c r="AX553" s="359"/>
      <c r="AY553" s="359"/>
      <c r="AZ553" s="359"/>
      <c r="BA553" s="359"/>
      <c r="BB553" s="359"/>
      <c r="BC553" s="359"/>
      <c r="BD553" s="359"/>
      <c r="BE553" s="359"/>
      <c r="BF553" s="359"/>
      <c r="BG553" s="359"/>
      <c r="BH553" s="359"/>
      <c r="BI553" s="359"/>
      <c r="BJ553" s="359"/>
      <c r="BK553" s="359"/>
      <c r="BL553" s="359"/>
      <c r="BM553" s="359"/>
      <c r="BN553" s="359"/>
      <c r="BO553" s="359"/>
      <c r="BP553" s="103"/>
    </row>
    <row r="554" spans="1:68" x14ac:dyDescent="0.3">
      <c r="A554" s="354"/>
      <c r="B554" s="354"/>
      <c r="C554" s="354"/>
      <c r="D554" s="359"/>
      <c r="E554" s="359"/>
      <c r="F554" s="103"/>
      <c r="G554" s="103"/>
      <c r="H554" s="103"/>
      <c r="I554" s="103"/>
      <c r="J554" s="103"/>
      <c r="K554" s="103"/>
      <c r="L554" s="359"/>
      <c r="M554" s="359"/>
      <c r="N554" s="359"/>
      <c r="O554" s="359"/>
      <c r="P554" s="359"/>
      <c r="Q554" s="359"/>
      <c r="R554" s="359"/>
      <c r="S554" s="359"/>
      <c r="T554" s="359"/>
      <c r="U554" s="359"/>
      <c r="V554" s="359"/>
      <c r="W554" s="359"/>
      <c r="X554" s="359"/>
      <c r="Y554" s="359"/>
      <c r="Z554" s="359"/>
      <c r="AA554" s="359"/>
      <c r="AB554" s="359"/>
      <c r="AC554" s="359"/>
      <c r="AD554" s="359"/>
      <c r="AE554" s="359"/>
      <c r="AF554" s="359"/>
      <c r="AG554" s="359"/>
      <c r="AH554" s="359"/>
      <c r="AI554" s="359"/>
      <c r="AJ554" s="359"/>
      <c r="AK554" s="359"/>
      <c r="AL554" s="359"/>
      <c r="AM554" s="359"/>
      <c r="AN554" s="359"/>
      <c r="AO554" s="359"/>
      <c r="AP554" s="359"/>
      <c r="AQ554" s="359"/>
      <c r="AR554" s="359"/>
      <c r="AS554" s="359"/>
      <c r="AT554" s="359"/>
      <c r="AU554" s="359"/>
      <c r="AV554" s="359"/>
      <c r="AW554" s="359"/>
      <c r="AX554" s="359"/>
      <c r="AY554" s="359"/>
      <c r="AZ554" s="359"/>
      <c r="BA554" s="359"/>
      <c r="BB554" s="359"/>
      <c r="BC554" s="359"/>
      <c r="BD554" s="359"/>
      <c r="BE554" s="359"/>
      <c r="BF554" s="359"/>
      <c r="BG554" s="359"/>
      <c r="BH554" s="359"/>
      <c r="BI554" s="359"/>
      <c r="BJ554" s="359"/>
      <c r="BK554" s="359"/>
      <c r="BL554" s="359"/>
      <c r="BM554" s="359"/>
      <c r="BN554" s="359"/>
      <c r="BO554" s="359"/>
      <c r="BP554" s="103"/>
    </row>
    <row r="555" spans="1:68" x14ac:dyDescent="0.3">
      <c r="A555" s="354"/>
      <c r="B555" s="354"/>
      <c r="C555" s="354"/>
      <c r="D555" s="359"/>
      <c r="E555" s="359"/>
      <c r="F555" s="103"/>
      <c r="G555" s="103"/>
      <c r="H555" s="103"/>
      <c r="I555" s="103"/>
      <c r="J555" s="103"/>
      <c r="K555" s="103"/>
      <c r="L555" s="359"/>
      <c r="M555" s="359"/>
      <c r="N555" s="359"/>
      <c r="O555" s="359"/>
      <c r="P555" s="359"/>
      <c r="Q555" s="359"/>
      <c r="R555" s="359"/>
      <c r="S555" s="359"/>
      <c r="T555" s="359"/>
      <c r="U555" s="359"/>
      <c r="V555" s="359"/>
      <c r="W555" s="359"/>
      <c r="X555" s="359"/>
      <c r="Y555" s="359"/>
      <c r="Z555" s="359"/>
      <c r="AA555" s="359"/>
      <c r="AB555" s="359"/>
      <c r="AC555" s="359"/>
      <c r="AD555" s="359"/>
      <c r="AE555" s="359"/>
      <c r="AF555" s="359"/>
      <c r="AG555" s="359"/>
      <c r="AH555" s="359"/>
      <c r="AI555" s="359"/>
      <c r="AJ555" s="359"/>
      <c r="AK555" s="359"/>
      <c r="AL555" s="359"/>
      <c r="AM555" s="359"/>
      <c r="AN555" s="359"/>
      <c r="AO555" s="359"/>
      <c r="AP555" s="359"/>
      <c r="AQ555" s="359"/>
      <c r="AR555" s="359"/>
      <c r="AS555" s="359"/>
      <c r="AT555" s="359"/>
      <c r="AU555" s="359"/>
      <c r="AV555" s="359"/>
      <c r="AW555" s="359"/>
      <c r="AX555" s="359"/>
      <c r="AY555" s="359"/>
      <c r="AZ555" s="359"/>
      <c r="BA555" s="359"/>
      <c r="BB555" s="359"/>
      <c r="BC555" s="359"/>
      <c r="BD555" s="359"/>
      <c r="BE555" s="359"/>
      <c r="BF555" s="359"/>
      <c r="BG555" s="359"/>
      <c r="BH555" s="359"/>
      <c r="BI555" s="359"/>
      <c r="BJ555" s="359"/>
      <c r="BK555" s="359"/>
      <c r="BL555" s="359"/>
      <c r="BM555" s="359"/>
      <c r="BN555" s="359"/>
      <c r="BO555" s="359"/>
      <c r="BP555" s="103"/>
    </row>
    <row r="556" spans="1:68" x14ac:dyDescent="0.3">
      <c r="A556" s="354"/>
      <c r="B556" s="354"/>
      <c r="C556" s="354"/>
      <c r="D556" s="359"/>
      <c r="E556" s="359"/>
      <c r="F556" s="103"/>
      <c r="G556" s="103"/>
      <c r="H556" s="103"/>
      <c r="I556" s="103"/>
      <c r="J556" s="103"/>
      <c r="K556" s="103"/>
      <c r="L556" s="359"/>
      <c r="M556" s="359"/>
      <c r="N556" s="359"/>
      <c r="O556" s="359"/>
      <c r="P556" s="359"/>
      <c r="Q556" s="359"/>
      <c r="R556" s="359"/>
      <c r="S556" s="359"/>
      <c r="T556" s="359"/>
      <c r="U556" s="359"/>
      <c r="V556" s="359"/>
      <c r="W556" s="359"/>
      <c r="X556" s="359"/>
      <c r="Y556" s="359"/>
      <c r="Z556" s="359"/>
      <c r="AA556" s="359"/>
      <c r="AB556" s="359"/>
      <c r="AC556" s="359"/>
      <c r="AD556" s="359"/>
      <c r="AE556" s="359"/>
      <c r="AF556" s="359"/>
      <c r="AG556" s="359"/>
      <c r="AH556" s="359"/>
      <c r="AI556" s="359"/>
      <c r="AJ556" s="359"/>
      <c r="AK556" s="359"/>
      <c r="AL556" s="359"/>
      <c r="AM556" s="359"/>
      <c r="AN556" s="359"/>
      <c r="AO556" s="359"/>
      <c r="AP556" s="359"/>
      <c r="AQ556" s="359"/>
      <c r="AR556" s="359"/>
      <c r="AS556" s="359"/>
      <c r="AT556" s="359"/>
      <c r="AU556" s="359"/>
      <c r="AV556" s="359"/>
      <c r="AW556" s="359"/>
      <c r="AX556" s="359"/>
      <c r="AY556" s="359"/>
      <c r="AZ556" s="359"/>
      <c r="BA556" s="359"/>
      <c r="BB556" s="359"/>
      <c r="BC556" s="359"/>
      <c r="BD556" s="359"/>
      <c r="BE556" s="359"/>
      <c r="BF556" s="359"/>
      <c r="BG556" s="359"/>
      <c r="BH556" s="359"/>
      <c r="BI556" s="359"/>
      <c r="BJ556" s="359"/>
      <c r="BK556" s="359"/>
      <c r="BL556" s="359"/>
      <c r="BM556" s="359"/>
      <c r="BN556" s="359"/>
      <c r="BO556" s="359"/>
      <c r="BP556" s="103"/>
    </row>
    <row r="557" spans="1:68" x14ac:dyDescent="0.3">
      <c r="A557" s="354"/>
      <c r="B557" s="354"/>
      <c r="C557" s="354"/>
      <c r="D557" s="359"/>
      <c r="E557" s="359"/>
      <c r="F557" s="103"/>
      <c r="G557" s="103"/>
      <c r="H557" s="103"/>
      <c r="I557" s="103"/>
      <c r="J557" s="103"/>
      <c r="K557" s="103"/>
      <c r="L557" s="359"/>
      <c r="M557" s="359"/>
      <c r="N557" s="359"/>
      <c r="O557" s="359"/>
      <c r="P557" s="359"/>
      <c r="Q557" s="359"/>
      <c r="R557" s="359"/>
      <c r="S557" s="359"/>
      <c r="T557" s="359"/>
      <c r="U557" s="359"/>
      <c r="V557" s="359"/>
      <c r="W557" s="359"/>
      <c r="X557" s="359"/>
      <c r="Y557" s="359"/>
      <c r="Z557" s="359"/>
      <c r="AA557" s="359"/>
      <c r="AB557" s="359"/>
      <c r="AC557" s="359"/>
      <c r="AD557" s="359"/>
      <c r="AE557" s="359"/>
      <c r="AF557" s="359"/>
      <c r="AG557" s="359"/>
      <c r="AH557" s="359"/>
      <c r="AI557" s="359"/>
      <c r="AJ557" s="359"/>
      <c r="AK557" s="359"/>
      <c r="AL557" s="359"/>
      <c r="AM557" s="359"/>
      <c r="AN557" s="359"/>
      <c r="AO557" s="359"/>
      <c r="AP557" s="359"/>
      <c r="AQ557" s="359"/>
      <c r="AR557" s="359"/>
      <c r="AS557" s="359"/>
      <c r="AT557" s="359"/>
      <c r="AU557" s="359"/>
      <c r="AV557" s="359"/>
      <c r="AW557" s="359"/>
      <c r="AX557" s="359"/>
      <c r="AY557" s="359"/>
      <c r="AZ557" s="359"/>
      <c r="BA557" s="359"/>
      <c r="BB557" s="359"/>
      <c r="BC557" s="359"/>
      <c r="BD557" s="359"/>
      <c r="BE557" s="359"/>
      <c r="BF557" s="359"/>
      <c r="BG557" s="359"/>
      <c r="BH557" s="359"/>
      <c r="BI557" s="359"/>
      <c r="BJ557" s="359"/>
      <c r="BK557" s="359"/>
      <c r="BL557" s="359"/>
      <c r="BM557" s="359"/>
      <c r="BN557" s="359"/>
      <c r="BO557" s="359"/>
      <c r="BP557" s="103"/>
    </row>
    <row r="558" spans="1:68" x14ac:dyDescent="0.3">
      <c r="A558" s="354"/>
      <c r="B558" s="354"/>
      <c r="C558" s="354"/>
      <c r="D558" s="359"/>
      <c r="E558" s="359"/>
      <c r="F558" s="103"/>
      <c r="G558" s="103"/>
      <c r="H558" s="103"/>
      <c r="I558" s="103"/>
      <c r="J558" s="103"/>
      <c r="K558" s="103"/>
      <c r="L558" s="359"/>
      <c r="M558" s="359"/>
      <c r="N558" s="359"/>
      <c r="O558" s="359"/>
      <c r="P558" s="359"/>
      <c r="Q558" s="359"/>
      <c r="R558" s="359"/>
      <c r="S558" s="359"/>
      <c r="T558" s="359"/>
      <c r="U558" s="359"/>
      <c r="V558" s="359"/>
      <c r="W558" s="359"/>
      <c r="X558" s="359"/>
      <c r="Y558" s="359"/>
      <c r="Z558" s="359"/>
      <c r="AA558" s="359"/>
      <c r="AB558" s="359"/>
      <c r="AC558" s="359"/>
      <c r="AD558" s="359"/>
      <c r="AE558" s="359"/>
      <c r="AF558" s="359"/>
      <c r="AG558" s="359"/>
      <c r="AH558" s="359"/>
      <c r="AI558" s="359"/>
      <c r="AJ558" s="359"/>
      <c r="AK558" s="359"/>
      <c r="AL558" s="359"/>
      <c r="AM558" s="359"/>
      <c r="AN558" s="359"/>
      <c r="AO558" s="359"/>
      <c r="AP558" s="359"/>
      <c r="AQ558" s="359"/>
      <c r="AR558" s="359"/>
      <c r="AS558" s="359"/>
      <c r="AT558" s="359"/>
      <c r="AU558" s="359"/>
      <c r="AV558" s="359"/>
      <c r="AW558" s="359"/>
      <c r="AX558" s="359"/>
      <c r="AY558" s="359"/>
      <c r="AZ558" s="359"/>
      <c r="BA558" s="359"/>
      <c r="BB558" s="359"/>
      <c r="BC558" s="359"/>
      <c r="BD558" s="359"/>
      <c r="BE558" s="359"/>
      <c r="BF558" s="359"/>
      <c r="BG558" s="359"/>
      <c r="BH558" s="359"/>
      <c r="BI558" s="359"/>
      <c r="BJ558" s="359"/>
      <c r="BK558" s="359"/>
      <c r="BL558" s="359"/>
      <c r="BM558" s="359"/>
      <c r="BN558" s="359"/>
      <c r="BO558" s="359"/>
      <c r="BP558" s="103"/>
    </row>
    <row r="559" spans="1:68" x14ac:dyDescent="0.3">
      <c r="A559" s="354"/>
      <c r="B559" s="354"/>
      <c r="C559" s="354"/>
      <c r="D559" s="359"/>
      <c r="E559" s="359"/>
      <c r="F559" s="103"/>
      <c r="G559" s="103"/>
      <c r="H559" s="103"/>
      <c r="I559" s="103"/>
      <c r="J559" s="103"/>
      <c r="K559" s="103"/>
      <c r="L559" s="359"/>
      <c r="M559" s="359"/>
      <c r="N559" s="359"/>
      <c r="O559" s="359"/>
      <c r="P559" s="359"/>
      <c r="Q559" s="359"/>
      <c r="R559" s="359"/>
      <c r="S559" s="359"/>
      <c r="T559" s="359"/>
      <c r="U559" s="359"/>
      <c r="V559" s="359"/>
      <c r="W559" s="359"/>
      <c r="X559" s="359"/>
      <c r="Y559" s="359"/>
      <c r="Z559" s="359"/>
      <c r="AA559" s="359"/>
      <c r="AB559" s="359"/>
      <c r="AC559" s="359"/>
      <c r="AD559" s="359"/>
      <c r="AE559" s="359"/>
      <c r="AF559" s="359"/>
      <c r="AG559" s="359"/>
      <c r="AH559" s="359"/>
      <c r="AI559" s="359"/>
      <c r="AJ559" s="359"/>
      <c r="AK559" s="359"/>
      <c r="AL559" s="359"/>
      <c r="AM559" s="359"/>
      <c r="AN559" s="359"/>
      <c r="AO559" s="359"/>
      <c r="AP559" s="359"/>
      <c r="AQ559" s="359"/>
      <c r="AR559" s="359"/>
      <c r="AS559" s="359"/>
      <c r="AT559" s="359"/>
      <c r="AU559" s="359"/>
      <c r="AV559" s="359"/>
      <c r="AW559" s="359"/>
      <c r="AX559" s="359"/>
      <c r="AY559" s="359"/>
      <c r="AZ559" s="359"/>
      <c r="BA559" s="359"/>
      <c r="BB559" s="359"/>
      <c r="BC559" s="359"/>
      <c r="BD559" s="359"/>
      <c r="BE559" s="359"/>
      <c r="BF559" s="359"/>
      <c r="BG559" s="359"/>
      <c r="BH559" s="359"/>
      <c r="BI559" s="359"/>
      <c r="BJ559" s="359"/>
      <c r="BK559" s="359"/>
      <c r="BL559" s="359"/>
      <c r="BM559" s="359"/>
      <c r="BN559" s="359"/>
      <c r="BO559" s="359"/>
      <c r="BP559" s="103"/>
    </row>
    <row r="560" spans="1:68" x14ac:dyDescent="0.3">
      <c r="A560" s="354"/>
      <c r="B560" s="354"/>
      <c r="C560" s="354"/>
      <c r="D560" s="359"/>
      <c r="E560" s="359"/>
      <c r="F560" s="103"/>
      <c r="G560" s="103"/>
      <c r="H560" s="103"/>
      <c r="I560" s="103"/>
      <c r="J560" s="103"/>
      <c r="K560" s="103"/>
      <c r="L560" s="359"/>
      <c r="M560" s="359"/>
      <c r="N560" s="359"/>
      <c r="O560" s="359"/>
      <c r="P560" s="359"/>
      <c r="Q560" s="359"/>
      <c r="R560" s="359"/>
      <c r="S560" s="359"/>
      <c r="T560" s="359"/>
      <c r="U560" s="359"/>
      <c r="V560" s="359"/>
      <c r="W560" s="359"/>
      <c r="X560" s="359"/>
      <c r="Y560" s="359"/>
      <c r="Z560" s="359"/>
      <c r="AA560" s="359"/>
      <c r="AB560" s="359"/>
      <c r="AC560" s="359"/>
      <c r="AD560" s="359"/>
      <c r="AE560" s="359"/>
      <c r="AF560" s="359"/>
      <c r="AG560" s="359"/>
      <c r="AH560" s="359"/>
      <c r="AI560" s="359"/>
      <c r="AJ560" s="359"/>
      <c r="AK560" s="359"/>
      <c r="AL560" s="359"/>
      <c r="AM560" s="359"/>
      <c r="AN560" s="359"/>
      <c r="AO560" s="359"/>
      <c r="AP560" s="359"/>
      <c r="AQ560" s="359"/>
      <c r="AR560" s="359"/>
      <c r="AS560" s="359"/>
      <c r="AT560" s="359"/>
      <c r="AU560" s="359"/>
      <c r="AV560" s="359"/>
      <c r="AW560" s="359"/>
      <c r="AX560" s="359"/>
      <c r="AY560" s="359"/>
      <c r="AZ560" s="359"/>
      <c r="BA560" s="359"/>
      <c r="BB560" s="359"/>
      <c r="BC560" s="359"/>
      <c r="BD560" s="359"/>
      <c r="BE560" s="359"/>
      <c r="BF560" s="359"/>
      <c r="BG560" s="359"/>
      <c r="BH560" s="359"/>
      <c r="BI560" s="359"/>
      <c r="BJ560" s="359"/>
      <c r="BK560" s="359"/>
      <c r="BL560" s="359"/>
      <c r="BM560" s="359"/>
      <c r="BN560" s="359"/>
      <c r="BO560" s="359"/>
      <c r="BP560" s="103"/>
    </row>
    <row r="561" spans="1:68" x14ac:dyDescent="0.3">
      <c r="A561" s="354"/>
      <c r="B561" s="354"/>
      <c r="C561" s="354"/>
      <c r="D561" s="359"/>
      <c r="E561" s="359"/>
      <c r="F561" s="103"/>
      <c r="G561" s="103"/>
      <c r="H561" s="103"/>
      <c r="I561" s="103"/>
      <c r="J561" s="103"/>
      <c r="K561" s="103"/>
      <c r="L561" s="359"/>
      <c r="M561" s="359"/>
      <c r="N561" s="359"/>
      <c r="O561" s="359"/>
      <c r="P561" s="359"/>
      <c r="Q561" s="359"/>
      <c r="R561" s="359"/>
      <c r="S561" s="359"/>
      <c r="T561" s="359"/>
      <c r="U561" s="359"/>
      <c r="V561" s="359"/>
      <c r="W561" s="359"/>
      <c r="X561" s="359"/>
      <c r="Y561" s="359"/>
      <c r="Z561" s="359"/>
      <c r="AA561" s="359"/>
      <c r="AB561" s="359"/>
      <c r="AC561" s="359"/>
      <c r="AD561" s="359"/>
      <c r="AE561" s="359"/>
      <c r="AF561" s="359"/>
      <c r="AG561" s="359"/>
      <c r="AH561" s="359"/>
      <c r="AI561" s="359"/>
      <c r="AJ561" s="359"/>
      <c r="AK561" s="359"/>
      <c r="AL561" s="359"/>
      <c r="AM561" s="359"/>
      <c r="AN561" s="359"/>
      <c r="AO561" s="359"/>
      <c r="AP561" s="359"/>
      <c r="AQ561" s="359"/>
      <c r="AR561" s="359"/>
      <c r="AS561" s="359"/>
      <c r="AT561" s="359"/>
      <c r="AU561" s="359"/>
      <c r="AV561" s="359"/>
      <c r="AW561" s="359"/>
      <c r="AX561" s="359"/>
      <c r="AY561" s="359"/>
      <c r="AZ561" s="359"/>
      <c r="BA561" s="359"/>
      <c r="BB561" s="359"/>
      <c r="BC561" s="359"/>
      <c r="BD561" s="359"/>
      <c r="BE561" s="359"/>
      <c r="BF561" s="359"/>
      <c r="BG561" s="359"/>
      <c r="BH561" s="359"/>
      <c r="BI561" s="359"/>
      <c r="BJ561" s="359"/>
      <c r="BK561" s="359"/>
      <c r="BL561" s="359"/>
      <c r="BM561" s="359"/>
      <c r="BN561" s="359"/>
      <c r="BO561" s="359"/>
      <c r="BP561" s="103"/>
    </row>
    <row r="562" spans="1:68" x14ac:dyDescent="0.3">
      <c r="A562" s="354"/>
      <c r="B562" s="354"/>
      <c r="C562" s="354"/>
      <c r="D562" s="359"/>
      <c r="E562" s="359"/>
      <c r="F562" s="103"/>
      <c r="G562" s="103"/>
      <c r="H562" s="103"/>
      <c r="I562" s="103"/>
      <c r="J562" s="103"/>
      <c r="K562" s="103"/>
      <c r="L562" s="359"/>
      <c r="M562" s="359"/>
      <c r="N562" s="359"/>
      <c r="O562" s="359"/>
      <c r="P562" s="359"/>
      <c r="Q562" s="359"/>
      <c r="R562" s="359"/>
      <c r="S562" s="359"/>
      <c r="T562" s="359"/>
      <c r="U562" s="359"/>
      <c r="V562" s="359"/>
      <c r="W562" s="359"/>
      <c r="X562" s="359"/>
      <c r="Y562" s="359"/>
      <c r="Z562" s="359"/>
      <c r="AA562" s="359"/>
      <c r="AB562" s="359"/>
      <c r="AC562" s="359"/>
      <c r="AD562" s="359"/>
      <c r="AE562" s="359"/>
      <c r="AF562" s="359"/>
      <c r="AG562" s="359"/>
      <c r="AH562" s="359"/>
      <c r="AI562" s="359"/>
      <c r="AJ562" s="359"/>
      <c r="AK562" s="359"/>
      <c r="AL562" s="359"/>
      <c r="AM562" s="359"/>
      <c r="AN562" s="359"/>
      <c r="AO562" s="359"/>
      <c r="AP562" s="359"/>
      <c r="AQ562" s="359"/>
      <c r="AR562" s="359"/>
      <c r="AS562" s="359"/>
      <c r="AT562" s="359"/>
      <c r="AU562" s="359"/>
      <c r="AV562" s="359"/>
      <c r="AW562" s="359"/>
      <c r="AX562" s="359"/>
      <c r="AY562" s="359"/>
      <c r="AZ562" s="359"/>
      <c r="BA562" s="359"/>
      <c r="BB562" s="359"/>
      <c r="BC562" s="359"/>
      <c r="BD562" s="359"/>
      <c r="BE562" s="359"/>
      <c r="BF562" s="359"/>
      <c r="BG562" s="359"/>
      <c r="BH562" s="359"/>
      <c r="BI562" s="359"/>
      <c r="BJ562" s="359"/>
      <c r="BK562" s="359"/>
      <c r="BL562" s="359"/>
      <c r="BM562" s="359"/>
      <c r="BN562" s="359"/>
      <c r="BO562" s="359"/>
      <c r="BP562" s="103"/>
    </row>
    <row r="563" spans="1:68" x14ac:dyDescent="0.3">
      <c r="A563" s="354"/>
      <c r="B563" s="354"/>
      <c r="C563" s="354"/>
      <c r="D563" s="359"/>
      <c r="E563" s="359"/>
      <c r="F563" s="103"/>
      <c r="G563" s="103"/>
      <c r="H563" s="103"/>
      <c r="I563" s="103"/>
      <c r="J563" s="103"/>
      <c r="K563" s="103"/>
      <c r="L563" s="359"/>
      <c r="M563" s="359"/>
      <c r="N563" s="359"/>
      <c r="O563" s="359"/>
      <c r="P563" s="359"/>
      <c r="Q563" s="359"/>
      <c r="R563" s="359"/>
      <c r="S563" s="359"/>
      <c r="T563" s="359"/>
      <c r="U563" s="359"/>
      <c r="V563" s="359"/>
      <c r="W563" s="359"/>
      <c r="X563" s="359"/>
      <c r="Y563" s="359"/>
      <c r="Z563" s="359"/>
      <c r="AA563" s="359"/>
      <c r="AB563" s="359"/>
      <c r="AC563" s="359"/>
      <c r="AD563" s="359"/>
      <c r="AE563" s="359"/>
      <c r="AF563" s="359"/>
      <c r="AG563" s="359"/>
      <c r="AH563" s="359"/>
      <c r="AI563" s="359"/>
      <c r="AJ563" s="359"/>
      <c r="AK563" s="359"/>
      <c r="AL563" s="359"/>
      <c r="AM563" s="359"/>
      <c r="AN563" s="359"/>
      <c r="AO563" s="359"/>
      <c r="AP563" s="359"/>
      <c r="AQ563" s="359"/>
      <c r="AR563" s="359"/>
      <c r="AS563" s="359"/>
      <c r="AT563" s="359"/>
      <c r="AU563" s="359"/>
      <c r="AV563" s="359"/>
      <c r="AW563" s="359"/>
      <c r="AX563" s="359"/>
      <c r="AY563" s="359"/>
      <c r="AZ563" s="359"/>
      <c r="BA563" s="359"/>
      <c r="BB563" s="359"/>
      <c r="BC563" s="359"/>
      <c r="BD563" s="359"/>
      <c r="BE563" s="359"/>
      <c r="BF563" s="359"/>
      <c r="BG563" s="359"/>
      <c r="BH563" s="359"/>
      <c r="BI563" s="359"/>
      <c r="BJ563" s="359"/>
      <c r="BK563" s="359"/>
      <c r="BL563" s="359"/>
      <c r="BM563" s="359"/>
      <c r="BN563" s="359"/>
      <c r="BO563" s="359"/>
      <c r="BP563" s="103"/>
    </row>
    <row r="564" spans="1:68" x14ac:dyDescent="0.3">
      <c r="A564" s="354"/>
      <c r="B564" s="354"/>
      <c r="C564" s="354"/>
      <c r="D564" s="359"/>
      <c r="E564" s="359"/>
      <c r="F564" s="103"/>
      <c r="G564" s="103"/>
      <c r="H564" s="103"/>
      <c r="I564" s="103"/>
      <c r="J564" s="103"/>
      <c r="K564" s="103"/>
      <c r="L564" s="359"/>
      <c r="M564" s="359"/>
      <c r="N564" s="359"/>
      <c r="O564" s="359"/>
      <c r="P564" s="359"/>
      <c r="Q564" s="359"/>
      <c r="R564" s="359"/>
      <c r="S564" s="359"/>
      <c r="T564" s="359"/>
      <c r="U564" s="359"/>
      <c r="V564" s="359"/>
      <c r="W564" s="359"/>
      <c r="X564" s="359"/>
      <c r="Y564" s="359"/>
      <c r="Z564" s="359"/>
      <c r="AA564" s="359"/>
      <c r="AB564" s="359"/>
      <c r="AC564" s="359"/>
      <c r="AD564" s="359"/>
      <c r="AE564" s="359"/>
      <c r="AF564" s="359"/>
      <c r="AG564" s="359"/>
      <c r="AH564" s="359"/>
      <c r="AI564" s="359"/>
      <c r="AJ564" s="359"/>
      <c r="AK564" s="359"/>
      <c r="AL564" s="359"/>
      <c r="AM564" s="359"/>
      <c r="AN564" s="359"/>
      <c r="AO564" s="359"/>
      <c r="AP564" s="359"/>
      <c r="AQ564" s="359"/>
      <c r="AR564" s="359"/>
      <c r="AS564" s="359"/>
      <c r="AT564" s="359"/>
      <c r="AU564" s="359"/>
      <c r="AV564" s="359"/>
      <c r="AW564" s="359"/>
      <c r="AX564" s="359"/>
      <c r="AY564" s="359"/>
      <c r="AZ564" s="359"/>
      <c r="BA564" s="359"/>
      <c r="BB564" s="359"/>
      <c r="BC564" s="359"/>
      <c r="BD564" s="359"/>
      <c r="BE564" s="359"/>
      <c r="BF564" s="359"/>
      <c r="BG564" s="359"/>
      <c r="BH564" s="359"/>
      <c r="BI564" s="359"/>
      <c r="BJ564" s="359"/>
      <c r="BK564" s="359"/>
      <c r="BL564" s="359"/>
      <c r="BM564" s="359"/>
      <c r="BN564" s="359"/>
      <c r="BO564" s="359"/>
      <c r="BP564" s="103"/>
    </row>
    <row r="565" spans="1:68" x14ac:dyDescent="0.3">
      <c r="A565" s="354"/>
      <c r="B565" s="354"/>
      <c r="C565" s="354"/>
      <c r="D565" s="359"/>
      <c r="E565" s="359"/>
      <c r="F565" s="103"/>
      <c r="G565" s="103"/>
      <c r="H565" s="103"/>
      <c r="I565" s="103"/>
      <c r="J565" s="103"/>
      <c r="K565" s="103"/>
      <c r="L565" s="359"/>
      <c r="M565" s="359"/>
      <c r="N565" s="359"/>
      <c r="O565" s="359"/>
      <c r="P565" s="359"/>
      <c r="Q565" s="359"/>
      <c r="R565" s="359"/>
      <c r="S565" s="359"/>
      <c r="T565" s="359"/>
      <c r="U565" s="359"/>
      <c r="V565" s="359"/>
      <c r="W565" s="359"/>
      <c r="X565" s="359"/>
      <c r="Y565" s="359"/>
      <c r="Z565" s="359"/>
      <c r="AA565" s="359"/>
      <c r="AB565" s="359"/>
      <c r="AC565" s="359"/>
      <c r="AD565" s="359"/>
      <c r="AE565" s="359"/>
      <c r="AF565" s="359"/>
      <c r="AG565" s="359"/>
      <c r="AH565" s="359"/>
      <c r="AI565" s="359"/>
      <c r="AJ565" s="359"/>
      <c r="AK565" s="359"/>
      <c r="AL565" s="359"/>
      <c r="AM565" s="359"/>
      <c r="AN565" s="359"/>
      <c r="AO565" s="359"/>
      <c r="AP565" s="359"/>
      <c r="AQ565" s="359"/>
      <c r="AR565" s="359"/>
      <c r="AS565" s="359"/>
      <c r="AT565" s="359"/>
      <c r="AU565" s="359"/>
      <c r="AV565" s="359"/>
      <c r="AW565" s="359"/>
      <c r="AX565" s="359"/>
      <c r="AY565" s="359"/>
      <c r="AZ565" s="359"/>
      <c r="BA565" s="359"/>
      <c r="BB565" s="359"/>
      <c r="BC565" s="359"/>
      <c r="BD565" s="359"/>
      <c r="BE565" s="359"/>
      <c r="BF565" s="359"/>
      <c r="BG565" s="359"/>
      <c r="BH565" s="359"/>
      <c r="BI565" s="359"/>
      <c r="BJ565" s="359"/>
      <c r="BK565" s="359"/>
      <c r="BL565" s="359"/>
      <c r="BM565" s="359"/>
      <c r="BN565" s="359"/>
      <c r="BO565" s="359"/>
      <c r="BP565" s="103"/>
    </row>
    <row r="566" spans="1:68" x14ac:dyDescent="0.3">
      <c r="A566" s="354"/>
      <c r="B566" s="354"/>
      <c r="C566" s="354"/>
      <c r="D566" s="359"/>
      <c r="E566" s="359"/>
      <c r="F566" s="103"/>
      <c r="G566" s="103"/>
      <c r="H566" s="103"/>
      <c r="I566" s="103"/>
      <c r="J566" s="103"/>
      <c r="K566" s="103"/>
      <c r="L566" s="359"/>
      <c r="M566" s="359"/>
      <c r="N566" s="359"/>
      <c r="O566" s="359"/>
      <c r="P566" s="359"/>
      <c r="Q566" s="359"/>
      <c r="R566" s="359"/>
      <c r="S566" s="359"/>
      <c r="T566" s="359"/>
      <c r="U566" s="359"/>
      <c r="V566" s="359"/>
      <c r="W566" s="359"/>
      <c r="X566" s="359"/>
      <c r="Y566" s="359"/>
      <c r="Z566" s="359"/>
      <c r="AA566" s="359"/>
      <c r="AB566" s="359"/>
      <c r="AC566" s="359"/>
      <c r="AD566" s="359"/>
      <c r="AE566" s="359"/>
      <c r="AF566" s="359"/>
      <c r="AG566" s="359"/>
      <c r="AH566" s="359"/>
      <c r="AI566" s="359"/>
      <c r="AJ566" s="359"/>
      <c r="AK566" s="359"/>
      <c r="AL566" s="359"/>
      <c r="AM566" s="359"/>
      <c r="AN566" s="359"/>
      <c r="AO566" s="359"/>
      <c r="AP566" s="359"/>
      <c r="AQ566" s="359"/>
      <c r="AR566" s="359"/>
      <c r="AS566" s="359"/>
      <c r="AT566" s="359"/>
      <c r="AU566" s="359"/>
      <c r="AV566" s="359"/>
      <c r="AW566" s="359"/>
      <c r="AX566" s="359"/>
      <c r="AY566" s="359"/>
      <c r="AZ566" s="359"/>
      <c r="BA566" s="359"/>
      <c r="BB566" s="359"/>
      <c r="BC566" s="359"/>
      <c r="BD566" s="359"/>
      <c r="BE566" s="359"/>
      <c r="BF566" s="359"/>
      <c r="BG566" s="359"/>
      <c r="BH566" s="359"/>
      <c r="BI566" s="359"/>
      <c r="BJ566" s="359"/>
      <c r="BK566" s="359"/>
      <c r="BL566" s="359"/>
      <c r="BM566" s="359"/>
      <c r="BN566" s="359"/>
      <c r="BO566" s="359"/>
      <c r="BP566" s="103"/>
    </row>
    <row r="567" spans="1:68" x14ac:dyDescent="0.3">
      <c r="A567" s="354"/>
      <c r="B567" s="354"/>
      <c r="C567" s="354"/>
      <c r="D567" s="359"/>
      <c r="E567" s="359"/>
      <c r="F567" s="103"/>
      <c r="G567" s="103"/>
      <c r="H567" s="103"/>
      <c r="I567" s="103"/>
      <c r="J567" s="103"/>
      <c r="K567" s="103"/>
      <c r="L567" s="359"/>
      <c r="M567" s="359"/>
      <c r="N567" s="359"/>
      <c r="O567" s="359"/>
      <c r="P567" s="359"/>
      <c r="Q567" s="359"/>
      <c r="R567" s="359"/>
      <c r="S567" s="359"/>
      <c r="T567" s="359"/>
      <c r="U567" s="359"/>
      <c r="V567" s="359"/>
      <c r="W567" s="359"/>
      <c r="X567" s="359"/>
      <c r="Y567" s="359"/>
      <c r="Z567" s="359"/>
      <c r="AA567" s="359"/>
      <c r="AB567" s="359"/>
      <c r="AC567" s="359"/>
      <c r="AD567" s="359"/>
      <c r="AE567" s="359"/>
      <c r="AF567" s="359"/>
      <c r="AG567" s="359"/>
      <c r="AH567" s="359"/>
      <c r="AI567" s="359"/>
      <c r="AJ567" s="359"/>
      <c r="AK567" s="359"/>
      <c r="AL567" s="359"/>
      <c r="AM567" s="359"/>
      <c r="AN567" s="359"/>
      <c r="AO567" s="359"/>
      <c r="AP567" s="359"/>
      <c r="AQ567" s="359"/>
      <c r="AR567" s="359"/>
      <c r="AS567" s="359"/>
      <c r="AT567" s="359"/>
      <c r="AU567" s="359"/>
      <c r="AV567" s="359"/>
      <c r="AW567" s="359"/>
      <c r="AX567" s="359"/>
      <c r="AY567" s="359"/>
      <c r="AZ567" s="359"/>
      <c r="BA567" s="359"/>
      <c r="BB567" s="359"/>
      <c r="BC567" s="359"/>
      <c r="BD567" s="359"/>
      <c r="BE567" s="359"/>
      <c r="BF567" s="359"/>
      <c r="BG567" s="359"/>
      <c r="BH567" s="359"/>
      <c r="BI567" s="359"/>
      <c r="BJ567" s="359"/>
      <c r="BK567" s="359"/>
      <c r="BL567" s="359"/>
      <c r="BM567" s="359"/>
      <c r="BN567" s="359"/>
      <c r="BO567" s="359"/>
      <c r="BP567" s="103"/>
    </row>
    <row r="568" spans="1:68" x14ac:dyDescent="0.3">
      <c r="A568" s="354"/>
      <c r="B568" s="354"/>
      <c r="C568" s="354"/>
      <c r="D568" s="359"/>
      <c r="E568" s="359"/>
      <c r="F568" s="103"/>
      <c r="G568" s="103"/>
      <c r="H568" s="103"/>
      <c r="I568" s="103"/>
      <c r="J568" s="103"/>
      <c r="K568" s="103"/>
      <c r="L568" s="359"/>
      <c r="M568" s="359"/>
      <c r="N568" s="359"/>
      <c r="O568" s="359"/>
      <c r="P568" s="359"/>
      <c r="Q568" s="359"/>
      <c r="R568" s="359"/>
      <c r="S568" s="359"/>
      <c r="T568" s="359"/>
      <c r="U568" s="359"/>
      <c r="V568" s="359"/>
      <c r="W568" s="359"/>
      <c r="X568" s="359"/>
      <c r="Y568" s="359"/>
      <c r="Z568" s="359"/>
      <c r="AA568" s="359"/>
      <c r="AB568" s="359"/>
      <c r="AC568" s="359"/>
      <c r="AD568" s="359"/>
      <c r="AE568" s="359"/>
      <c r="AF568" s="359"/>
      <c r="AG568" s="359"/>
      <c r="AH568" s="359"/>
      <c r="AI568" s="359"/>
      <c r="AJ568" s="359"/>
      <c r="AK568" s="359"/>
      <c r="AL568" s="359"/>
      <c r="AM568" s="359"/>
      <c r="AN568" s="359"/>
      <c r="AO568" s="359"/>
      <c r="AP568" s="359"/>
      <c r="AQ568" s="359"/>
      <c r="AR568" s="359"/>
      <c r="AS568" s="359"/>
      <c r="AT568" s="359"/>
      <c r="AU568" s="359"/>
      <c r="AV568" s="359"/>
      <c r="AW568" s="359"/>
      <c r="AX568" s="359"/>
      <c r="AY568" s="359"/>
      <c r="AZ568" s="359"/>
      <c r="BA568" s="359"/>
      <c r="BB568" s="359"/>
      <c r="BC568" s="359"/>
      <c r="BD568" s="359"/>
      <c r="BE568" s="359"/>
      <c r="BF568" s="359"/>
      <c r="BG568" s="359"/>
      <c r="BH568" s="359"/>
      <c r="BI568" s="359"/>
      <c r="BJ568" s="359"/>
      <c r="BK568" s="359"/>
      <c r="BL568" s="359"/>
      <c r="BM568" s="359"/>
      <c r="BN568" s="359"/>
      <c r="BO568" s="359"/>
      <c r="BP568" s="103"/>
    </row>
    <row r="569" spans="1:68" x14ac:dyDescent="0.3">
      <c r="A569" s="354"/>
      <c r="B569" s="354"/>
      <c r="C569" s="354"/>
      <c r="D569" s="359"/>
      <c r="E569" s="359"/>
      <c r="F569" s="103"/>
      <c r="G569" s="103"/>
      <c r="H569" s="103"/>
      <c r="I569" s="103"/>
      <c r="J569" s="103"/>
      <c r="K569" s="103"/>
      <c r="L569" s="359"/>
      <c r="M569" s="359"/>
      <c r="N569" s="359"/>
      <c r="O569" s="359"/>
      <c r="P569" s="359"/>
      <c r="Q569" s="359"/>
      <c r="R569" s="359"/>
      <c r="S569" s="359"/>
      <c r="T569" s="359"/>
      <c r="U569" s="359"/>
      <c r="V569" s="359"/>
      <c r="W569" s="359"/>
      <c r="X569" s="359"/>
      <c r="Y569" s="359"/>
      <c r="Z569" s="359"/>
      <c r="AA569" s="359"/>
      <c r="AB569" s="359"/>
      <c r="AC569" s="359"/>
      <c r="AD569" s="359"/>
      <c r="AE569" s="359"/>
      <c r="AF569" s="359"/>
      <c r="AG569" s="359"/>
      <c r="AH569" s="359"/>
      <c r="AI569" s="359"/>
      <c r="AJ569" s="359"/>
      <c r="AK569" s="359"/>
      <c r="AL569" s="359"/>
      <c r="AM569" s="359"/>
      <c r="AN569" s="359"/>
      <c r="AO569" s="359"/>
      <c r="AP569" s="359"/>
      <c r="AQ569" s="359"/>
      <c r="AR569" s="359"/>
      <c r="AS569" s="359"/>
      <c r="AT569" s="359"/>
      <c r="AU569" s="359"/>
      <c r="AV569" s="359"/>
      <c r="AW569" s="359"/>
      <c r="AX569" s="359"/>
      <c r="AY569" s="359"/>
      <c r="AZ569" s="359"/>
      <c r="BA569" s="359"/>
      <c r="BB569" s="359"/>
      <c r="BC569" s="359"/>
      <c r="BD569" s="359"/>
      <c r="BE569" s="359"/>
      <c r="BF569" s="359"/>
      <c r="BG569" s="359"/>
      <c r="BH569" s="359"/>
      <c r="BI569" s="359"/>
      <c r="BJ569" s="359"/>
      <c r="BK569" s="359"/>
      <c r="BL569" s="359"/>
      <c r="BM569" s="359"/>
      <c r="BN569" s="359"/>
      <c r="BO569" s="359"/>
      <c r="BP569" s="103"/>
    </row>
    <row r="570" spans="1:68" x14ac:dyDescent="0.3">
      <c r="A570" s="354"/>
      <c r="B570" s="354"/>
      <c r="C570" s="354"/>
      <c r="D570" s="359"/>
      <c r="E570" s="359"/>
      <c r="F570" s="103"/>
      <c r="G570" s="103"/>
      <c r="H570" s="103"/>
      <c r="I570" s="103"/>
      <c r="J570" s="103"/>
      <c r="K570" s="103"/>
      <c r="L570" s="359"/>
      <c r="M570" s="359"/>
      <c r="N570" s="359"/>
      <c r="O570" s="359"/>
      <c r="P570" s="359"/>
      <c r="Q570" s="359"/>
      <c r="R570" s="359"/>
      <c r="S570" s="359"/>
      <c r="T570" s="359"/>
      <c r="U570" s="359"/>
      <c r="V570" s="359"/>
      <c r="W570" s="359"/>
      <c r="X570" s="359"/>
      <c r="Y570" s="359"/>
      <c r="Z570" s="359"/>
      <c r="AA570" s="359"/>
      <c r="AB570" s="359"/>
      <c r="AC570" s="359"/>
      <c r="AD570" s="359"/>
      <c r="AE570" s="359"/>
      <c r="AF570" s="359"/>
      <c r="AG570" s="359"/>
      <c r="AH570" s="359"/>
      <c r="AI570" s="359"/>
      <c r="AJ570" s="359"/>
      <c r="AK570" s="359"/>
      <c r="AL570" s="359"/>
      <c r="AM570" s="359"/>
      <c r="AN570" s="359"/>
      <c r="AO570" s="359"/>
      <c r="AP570" s="359"/>
      <c r="AQ570" s="359"/>
      <c r="AR570" s="359"/>
      <c r="AS570" s="359"/>
      <c r="AT570" s="359"/>
      <c r="AU570" s="359"/>
      <c r="AV570" s="359"/>
      <c r="AW570" s="359"/>
      <c r="AX570" s="359"/>
      <c r="AY570" s="359"/>
      <c r="AZ570" s="359"/>
      <c r="BA570" s="359"/>
      <c r="BB570" s="359"/>
      <c r="BC570" s="359"/>
      <c r="BD570" s="359"/>
      <c r="BE570" s="359"/>
      <c r="BF570" s="359"/>
      <c r="BG570" s="359"/>
      <c r="BH570" s="359"/>
      <c r="BI570" s="359"/>
      <c r="BJ570" s="359"/>
      <c r="BK570" s="359"/>
      <c r="BL570" s="359"/>
      <c r="BM570" s="359"/>
      <c r="BN570" s="359"/>
      <c r="BO570" s="359"/>
      <c r="BP570" s="103"/>
    </row>
    <row r="571" spans="1:68" x14ac:dyDescent="0.3">
      <c r="A571" s="354"/>
      <c r="B571" s="354"/>
      <c r="C571" s="354"/>
      <c r="D571" s="359"/>
      <c r="E571" s="359"/>
      <c r="F571" s="103"/>
      <c r="G571" s="103"/>
      <c r="H571" s="103"/>
      <c r="I571" s="103"/>
      <c r="J571" s="103"/>
      <c r="K571" s="103"/>
      <c r="L571" s="359"/>
      <c r="M571" s="359"/>
      <c r="N571" s="359"/>
      <c r="O571" s="359"/>
      <c r="P571" s="359"/>
      <c r="Q571" s="359"/>
      <c r="R571" s="359"/>
      <c r="S571" s="359"/>
      <c r="T571" s="359"/>
      <c r="U571" s="359"/>
      <c r="V571" s="359"/>
      <c r="W571" s="359"/>
      <c r="X571" s="359"/>
      <c r="Y571" s="359"/>
      <c r="Z571" s="359"/>
      <c r="AA571" s="359"/>
      <c r="AB571" s="359"/>
      <c r="AC571" s="359"/>
      <c r="AD571" s="359"/>
      <c r="AE571" s="359"/>
      <c r="AF571" s="359"/>
      <c r="AG571" s="359"/>
      <c r="AH571" s="359"/>
      <c r="AI571" s="359"/>
      <c r="AJ571" s="359"/>
      <c r="AK571" s="359"/>
      <c r="AL571" s="359"/>
      <c r="AM571" s="359"/>
      <c r="AN571" s="359"/>
      <c r="AO571" s="359"/>
      <c r="AP571" s="359"/>
      <c r="AQ571" s="359"/>
      <c r="AR571" s="359"/>
      <c r="AS571" s="359"/>
      <c r="AT571" s="359"/>
      <c r="AU571" s="359"/>
      <c r="AV571" s="359"/>
      <c r="AW571" s="359"/>
      <c r="AX571" s="359"/>
      <c r="AY571" s="359"/>
      <c r="AZ571" s="359"/>
      <c r="BA571" s="359"/>
      <c r="BB571" s="359"/>
      <c r="BC571" s="359"/>
      <c r="BD571" s="359"/>
      <c r="BE571" s="359"/>
      <c r="BF571" s="359"/>
      <c r="BG571" s="359"/>
      <c r="BH571" s="359"/>
      <c r="BI571" s="359"/>
      <c r="BJ571" s="359"/>
      <c r="BK571" s="359"/>
      <c r="BL571" s="359"/>
      <c r="BM571" s="359"/>
      <c r="BN571" s="359"/>
      <c r="BO571" s="359"/>
      <c r="BP571" s="103"/>
    </row>
    <row r="572" spans="1:68" x14ac:dyDescent="0.3">
      <c r="A572" s="354"/>
      <c r="B572" s="354"/>
      <c r="C572" s="354"/>
      <c r="D572" s="359"/>
      <c r="E572" s="359"/>
      <c r="F572" s="103"/>
      <c r="G572" s="103"/>
      <c r="H572" s="103"/>
      <c r="I572" s="103"/>
      <c r="J572" s="103"/>
      <c r="K572" s="103"/>
      <c r="L572" s="359"/>
      <c r="M572" s="359"/>
      <c r="N572" s="359"/>
      <c r="O572" s="359"/>
      <c r="P572" s="359"/>
      <c r="Q572" s="359"/>
      <c r="R572" s="359"/>
      <c r="S572" s="359"/>
      <c r="T572" s="359"/>
      <c r="U572" s="359"/>
      <c r="V572" s="359"/>
      <c r="W572" s="359"/>
      <c r="X572" s="359"/>
      <c r="Y572" s="359"/>
      <c r="Z572" s="359"/>
      <c r="AA572" s="359"/>
      <c r="AB572" s="359"/>
      <c r="AC572" s="359"/>
      <c r="AD572" s="359"/>
      <c r="AE572" s="359"/>
      <c r="AF572" s="359"/>
      <c r="AG572" s="359"/>
      <c r="AH572" s="359"/>
      <c r="AI572" s="359"/>
      <c r="AJ572" s="359"/>
      <c r="AK572" s="359"/>
      <c r="AL572" s="359"/>
      <c r="AM572" s="359"/>
      <c r="AN572" s="359"/>
      <c r="AO572" s="359"/>
      <c r="AP572" s="359"/>
      <c r="AQ572" s="359"/>
      <c r="AR572" s="359"/>
      <c r="AS572" s="359"/>
      <c r="AT572" s="359"/>
      <c r="AU572" s="359"/>
      <c r="AV572" s="359"/>
      <c r="AW572" s="359"/>
      <c r="AX572" s="359"/>
      <c r="AY572" s="359"/>
      <c r="AZ572" s="359"/>
      <c r="BA572" s="359"/>
      <c r="BB572" s="359"/>
      <c r="BC572" s="359"/>
      <c r="BD572" s="359"/>
      <c r="BE572" s="359"/>
      <c r="BF572" s="359"/>
      <c r="BG572" s="359"/>
      <c r="BH572" s="359"/>
      <c r="BI572" s="359"/>
      <c r="BJ572" s="359"/>
      <c r="BK572" s="359"/>
      <c r="BL572" s="359"/>
      <c r="BM572" s="359"/>
      <c r="BN572" s="359"/>
      <c r="BO572" s="359"/>
      <c r="BP572" s="103"/>
    </row>
    <row r="573" spans="1:68" x14ac:dyDescent="0.3">
      <c r="A573" s="354"/>
      <c r="B573" s="354"/>
      <c r="C573" s="354"/>
      <c r="D573" s="359"/>
      <c r="E573" s="359"/>
      <c r="F573" s="103"/>
      <c r="G573" s="103"/>
      <c r="H573" s="103"/>
      <c r="I573" s="103"/>
      <c r="J573" s="103"/>
      <c r="K573" s="103"/>
      <c r="L573" s="359"/>
      <c r="M573" s="359"/>
      <c r="N573" s="359"/>
      <c r="O573" s="359"/>
      <c r="P573" s="359"/>
      <c r="Q573" s="359"/>
      <c r="R573" s="359"/>
      <c r="S573" s="359"/>
      <c r="T573" s="359"/>
      <c r="U573" s="359"/>
      <c r="V573" s="359"/>
      <c r="W573" s="359"/>
      <c r="X573" s="359"/>
      <c r="Y573" s="359"/>
      <c r="Z573" s="359"/>
      <c r="AA573" s="359"/>
      <c r="AB573" s="359"/>
      <c r="AC573" s="359"/>
      <c r="AD573" s="359"/>
      <c r="AE573" s="359"/>
      <c r="AF573" s="359"/>
      <c r="AG573" s="359"/>
      <c r="AH573" s="359"/>
      <c r="AI573" s="359"/>
      <c r="AJ573" s="359"/>
      <c r="AK573" s="359"/>
      <c r="AL573" s="359"/>
      <c r="AM573" s="359"/>
      <c r="AN573" s="359"/>
      <c r="AO573" s="359"/>
      <c r="AP573" s="359"/>
      <c r="AQ573" s="359"/>
      <c r="AR573" s="359"/>
      <c r="AS573" s="359"/>
      <c r="AT573" s="359"/>
      <c r="AU573" s="359"/>
      <c r="AV573" s="359"/>
      <c r="AW573" s="359"/>
      <c r="AX573" s="359"/>
      <c r="AY573" s="359"/>
      <c r="AZ573" s="359"/>
      <c r="BA573" s="359"/>
      <c r="BB573" s="359"/>
      <c r="BC573" s="359"/>
      <c r="BD573" s="359"/>
      <c r="BE573" s="359"/>
      <c r="BF573" s="359"/>
      <c r="BG573" s="359"/>
      <c r="BH573" s="359"/>
      <c r="BI573" s="359"/>
      <c r="BJ573" s="359"/>
      <c r="BK573" s="359"/>
      <c r="BL573" s="359"/>
      <c r="BM573" s="359"/>
      <c r="BN573" s="359"/>
      <c r="BO573" s="359"/>
      <c r="BP573" s="103"/>
    </row>
    <row r="574" spans="1:68" x14ac:dyDescent="0.3">
      <c r="A574" s="354"/>
      <c r="B574" s="354"/>
      <c r="C574" s="354"/>
      <c r="D574" s="359"/>
      <c r="E574" s="359"/>
      <c r="F574" s="103"/>
      <c r="G574" s="103"/>
      <c r="H574" s="103"/>
      <c r="I574" s="103"/>
      <c r="J574" s="103"/>
      <c r="K574" s="103"/>
      <c r="L574" s="359"/>
      <c r="M574" s="359"/>
      <c r="N574" s="359"/>
      <c r="O574" s="359"/>
      <c r="P574" s="359"/>
      <c r="Q574" s="359"/>
      <c r="R574" s="359"/>
      <c r="S574" s="359"/>
      <c r="T574" s="359"/>
      <c r="U574" s="359"/>
      <c r="V574" s="359"/>
      <c r="W574" s="359"/>
      <c r="X574" s="359"/>
      <c r="Y574" s="359"/>
      <c r="Z574" s="359"/>
      <c r="AA574" s="359"/>
      <c r="AB574" s="359"/>
      <c r="AC574" s="359"/>
      <c r="AD574" s="359"/>
      <c r="AE574" s="359"/>
      <c r="AF574" s="359"/>
      <c r="AG574" s="359"/>
      <c r="AH574" s="359"/>
      <c r="AI574" s="359"/>
      <c r="AJ574" s="359"/>
      <c r="AK574" s="359"/>
      <c r="AL574" s="359"/>
      <c r="AM574" s="359"/>
      <c r="AN574" s="359"/>
      <c r="AO574" s="359"/>
      <c r="AP574" s="359"/>
      <c r="AQ574" s="359"/>
      <c r="AR574" s="359"/>
      <c r="AS574" s="359"/>
      <c r="AT574" s="359"/>
      <c r="AU574" s="359"/>
      <c r="AV574" s="359"/>
      <c r="AW574" s="359"/>
      <c r="AX574" s="359"/>
      <c r="AY574" s="359"/>
      <c r="AZ574" s="359"/>
      <c r="BA574" s="359"/>
      <c r="BB574" s="359"/>
      <c r="BC574" s="359"/>
      <c r="BD574" s="359"/>
      <c r="BE574" s="359"/>
      <c r="BF574" s="359"/>
      <c r="BG574" s="359"/>
      <c r="BH574" s="359"/>
      <c r="BI574" s="359"/>
      <c r="BJ574" s="359"/>
      <c r="BK574" s="359"/>
      <c r="BL574" s="359"/>
      <c r="BM574" s="359"/>
      <c r="BN574" s="359"/>
      <c r="BO574" s="359"/>
      <c r="BP574" s="103"/>
    </row>
    <row r="575" spans="1:68" x14ac:dyDescent="0.3">
      <c r="A575" s="354"/>
      <c r="B575" s="354"/>
      <c r="C575" s="354"/>
      <c r="D575" s="359"/>
      <c r="E575" s="359"/>
      <c r="F575" s="103"/>
      <c r="G575" s="103"/>
      <c r="H575" s="103"/>
      <c r="I575" s="103"/>
      <c r="J575" s="103"/>
      <c r="K575" s="103"/>
      <c r="L575" s="359"/>
      <c r="M575" s="359"/>
      <c r="N575" s="359"/>
      <c r="O575" s="359"/>
      <c r="P575" s="359"/>
      <c r="Q575" s="359"/>
      <c r="R575" s="359"/>
      <c r="S575" s="359"/>
      <c r="T575" s="359"/>
      <c r="U575" s="359"/>
      <c r="V575" s="359"/>
      <c r="W575" s="359"/>
      <c r="X575" s="359"/>
      <c r="Y575" s="359"/>
      <c r="Z575" s="359"/>
      <c r="AA575" s="359"/>
      <c r="AB575" s="359"/>
      <c r="AC575" s="359"/>
      <c r="AD575" s="359"/>
      <c r="AE575" s="359"/>
      <c r="AF575" s="359"/>
      <c r="AG575" s="359"/>
      <c r="AH575" s="359"/>
      <c r="AI575" s="359"/>
      <c r="AJ575" s="359"/>
      <c r="AK575" s="359"/>
      <c r="AL575" s="359"/>
      <c r="AM575" s="359"/>
      <c r="AN575" s="359"/>
      <c r="AO575" s="359"/>
      <c r="AP575" s="359"/>
      <c r="AQ575" s="359"/>
      <c r="AR575" s="359"/>
      <c r="AS575" s="359"/>
      <c r="AT575" s="359"/>
      <c r="AU575" s="359"/>
      <c r="AV575" s="359"/>
      <c r="AW575" s="359"/>
      <c r="AX575" s="359"/>
      <c r="AY575" s="359"/>
      <c r="AZ575" s="359"/>
      <c r="BA575" s="359"/>
      <c r="BB575" s="359"/>
      <c r="BC575" s="359"/>
      <c r="BD575" s="359"/>
      <c r="BE575" s="359"/>
      <c r="BF575" s="359"/>
      <c r="BG575" s="359"/>
      <c r="BH575" s="359"/>
      <c r="BI575" s="359"/>
      <c r="BJ575" s="359"/>
      <c r="BK575" s="359"/>
      <c r="BL575" s="359"/>
      <c r="BM575" s="359"/>
      <c r="BN575" s="359"/>
      <c r="BO575" s="359"/>
      <c r="BP575" s="103"/>
    </row>
    <row r="576" spans="1:68" x14ac:dyDescent="0.3">
      <c r="A576" s="354"/>
      <c r="B576" s="354"/>
      <c r="C576" s="354"/>
      <c r="D576" s="359"/>
      <c r="E576" s="359"/>
      <c r="F576" s="103"/>
      <c r="G576" s="103"/>
      <c r="H576" s="103"/>
      <c r="I576" s="103"/>
      <c r="J576" s="103"/>
      <c r="K576" s="103"/>
      <c r="L576" s="359"/>
      <c r="M576" s="359"/>
      <c r="N576" s="359"/>
      <c r="O576" s="359"/>
      <c r="P576" s="359"/>
      <c r="Q576" s="359"/>
      <c r="R576" s="359"/>
      <c r="S576" s="359"/>
      <c r="T576" s="359"/>
      <c r="U576" s="359"/>
      <c r="V576" s="359"/>
      <c r="W576" s="359"/>
      <c r="X576" s="359"/>
      <c r="Y576" s="359"/>
      <c r="Z576" s="359"/>
      <c r="AA576" s="359"/>
      <c r="AB576" s="359"/>
      <c r="AC576" s="359"/>
      <c r="AD576" s="359"/>
      <c r="AE576" s="359"/>
      <c r="AF576" s="359"/>
      <c r="AG576" s="359"/>
      <c r="AH576" s="359"/>
      <c r="AI576" s="359"/>
      <c r="AJ576" s="359"/>
      <c r="AK576" s="359"/>
      <c r="AL576" s="359"/>
      <c r="AM576" s="359"/>
      <c r="AN576" s="359"/>
      <c r="AO576" s="359"/>
      <c r="AP576" s="359"/>
      <c r="AQ576" s="359"/>
      <c r="AR576" s="359"/>
      <c r="AS576" s="359"/>
      <c r="AT576" s="359"/>
      <c r="AU576" s="359"/>
      <c r="AV576" s="359"/>
      <c r="AW576" s="359"/>
      <c r="AX576" s="359"/>
      <c r="AY576" s="359"/>
      <c r="AZ576" s="359"/>
      <c r="BA576" s="359"/>
      <c r="BB576" s="359"/>
      <c r="BC576" s="359"/>
      <c r="BD576" s="359"/>
      <c r="BE576" s="359"/>
      <c r="BF576" s="359"/>
      <c r="BG576" s="359"/>
      <c r="BH576" s="359"/>
      <c r="BI576" s="359"/>
      <c r="BJ576" s="359"/>
      <c r="BK576" s="359"/>
      <c r="BL576" s="359"/>
      <c r="BM576" s="359"/>
      <c r="BN576" s="359"/>
      <c r="BO576" s="359"/>
      <c r="BP576" s="103"/>
    </row>
    <row r="577" spans="1:68" x14ac:dyDescent="0.3">
      <c r="A577" s="354"/>
      <c r="B577" s="354"/>
      <c r="C577" s="354"/>
      <c r="D577" s="359"/>
      <c r="E577" s="359"/>
      <c r="F577" s="103"/>
      <c r="G577" s="103"/>
      <c r="H577" s="103"/>
      <c r="I577" s="103"/>
      <c r="J577" s="103"/>
      <c r="K577" s="103"/>
      <c r="L577" s="359"/>
      <c r="M577" s="359"/>
      <c r="N577" s="359"/>
      <c r="O577" s="359"/>
      <c r="P577" s="359"/>
      <c r="Q577" s="359"/>
      <c r="R577" s="359"/>
      <c r="S577" s="359"/>
      <c r="T577" s="359"/>
      <c r="U577" s="359"/>
      <c r="V577" s="359"/>
      <c r="W577" s="359"/>
      <c r="X577" s="359"/>
      <c r="Y577" s="359"/>
      <c r="Z577" s="359"/>
      <c r="AA577" s="359"/>
      <c r="AB577" s="359"/>
      <c r="AC577" s="359"/>
      <c r="AD577" s="359"/>
      <c r="AE577" s="359"/>
      <c r="AF577" s="359"/>
      <c r="AG577" s="359"/>
      <c r="AH577" s="359"/>
      <c r="AI577" s="359"/>
      <c r="AJ577" s="359"/>
      <c r="AK577" s="359"/>
      <c r="AL577" s="359"/>
      <c r="AM577" s="359"/>
      <c r="AN577" s="359"/>
      <c r="AO577" s="359"/>
      <c r="AP577" s="359"/>
      <c r="AQ577" s="359"/>
      <c r="AR577" s="359"/>
      <c r="AS577" s="359"/>
      <c r="AT577" s="359"/>
      <c r="AU577" s="359"/>
      <c r="AV577" s="359"/>
      <c r="AW577" s="359"/>
      <c r="AX577" s="359"/>
      <c r="AY577" s="359"/>
      <c r="AZ577" s="359"/>
      <c r="BA577" s="359"/>
      <c r="BB577" s="359"/>
      <c r="BC577" s="359"/>
      <c r="BD577" s="359"/>
      <c r="BE577" s="359"/>
      <c r="BF577" s="359"/>
      <c r="BG577" s="359"/>
      <c r="BH577" s="359"/>
      <c r="BI577" s="359"/>
      <c r="BJ577" s="359"/>
      <c r="BK577" s="359"/>
      <c r="BL577" s="359"/>
      <c r="BM577" s="359"/>
      <c r="BN577" s="359"/>
      <c r="BO577" s="359"/>
      <c r="BP577" s="103"/>
    </row>
    <row r="578" spans="1:68" x14ac:dyDescent="0.3">
      <c r="A578" s="354"/>
      <c r="B578" s="354"/>
      <c r="C578" s="354"/>
      <c r="D578" s="359"/>
      <c r="E578" s="359"/>
      <c r="F578" s="103"/>
      <c r="G578" s="103"/>
      <c r="H578" s="103"/>
      <c r="I578" s="103"/>
      <c r="J578" s="103"/>
      <c r="K578" s="103"/>
      <c r="L578" s="359"/>
      <c r="M578" s="359"/>
      <c r="N578" s="359"/>
      <c r="O578" s="359"/>
      <c r="P578" s="359"/>
      <c r="Q578" s="359"/>
      <c r="R578" s="359"/>
      <c r="S578" s="359"/>
      <c r="T578" s="359"/>
      <c r="U578" s="359"/>
      <c r="V578" s="359"/>
      <c r="W578" s="359"/>
      <c r="X578" s="359"/>
      <c r="Y578" s="359"/>
      <c r="Z578" s="359"/>
      <c r="AA578" s="359"/>
      <c r="AB578" s="359"/>
      <c r="AC578" s="359"/>
      <c r="AD578" s="359"/>
      <c r="AE578" s="359"/>
      <c r="AF578" s="359"/>
      <c r="AG578" s="359"/>
      <c r="AH578" s="359"/>
      <c r="AI578" s="359"/>
      <c r="AJ578" s="359"/>
      <c r="AK578" s="359"/>
      <c r="AL578" s="359"/>
      <c r="AM578" s="359"/>
      <c r="AN578" s="359"/>
      <c r="AO578" s="359"/>
      <c r="AP578" s="359"/>
      <c r="AQ578" s="359"/>
      <c r="AR578" s="359"/>
      <c r="AS578" s="359"/>
      <c r="AT578" s="359"/>
      <c r="AU578" s="359"/>
      <c r="AV578" s="359"/>
      <c r="AW578" s="359"/>
      <c r="AX578" s="359"/>
      <c r="AY578" s="359"/>
      <c r="AZ578" s="359"/>
      <c r="BA578" s="359"/>
      <c r="BB578" s="359"/>
      <c r="BC578" s="359"/>
      <c r="BD578" s="359"/>
      <c r="BE578" s="359"/>
      <c r="BF578" s="359"/>
      <c r="BG578" s="359"/>
      <c r="BH578" s="359"/>
      <c r="BI578" s="359"/>
      <c r="BJ578" s="359"/>
      <c r="BK578" s="359"/>
      <c r="BL578" s="359"/>
      <c r="BM578" s="359"/>
      <c r="BN578" s="359"/>
      <c r="BO578" s="359"/>
      <c r="BP578" s="103"/>
    </row>
  </sheetData>
  <mergeCells count="31">
    <mergeCell ref="A98:A110"/>
    <mergeCell ref="A8:A20"/>
    <mergeCell ref="A24:A36"/>
    <mergeCell ref="A42:A54"/>
    <mergeCell ref="A58:A70"/>
    <mergeCell ref="A82:A94"/>
    <mergeCell ref="A314:A315"/>
    <mergeCell ref="A254:A255"/>
    <mergeCell ref="A256:A258"/>
    <mergeCell ref="A116:A129"/>
    <mergeCell ref="A140:A152"/>
    <mergeCell ref="A155:A167"/>
    <mergeCell ref="A174:A187"/>
    <mergeCell ref="A190:A203"/>
    <mergeCell ref="A208:A221"/>
    <mergeCell ref="A260:A264"/>
    <mergeCell ref="A271:A272"/>
    <mergeCell ref="A276:A277"/>
    <mergeCell ref="A306:A307"/>
    <mergeCell ref="A309:A310"/>
    <mergeCell ref="A317:A318"/>
    <mergeCell ref="A322:A323"/>
    <mergeCell ref="A332:A333"/>
    <mergeCell ref="A337:A338"/>
    <mergeCell ref="A346:A352"/>
    <mergeCell ref="E357:E362"/>
    <mergeCell ref="A366:A368"/>
    <mergeCell ref="E366:E368"/>
    <mergeCell ref="G386:M400"/>
    <mergeCell ref="G405:M419"/>
    <mergeCell ref="A357:A362"/>
  </mergeCells>
  <conditionalFormatting sqref="G208:R221">
    <cfRule type="cellIs" dxfId="4" priority="8" operator="lessThan">
      <formula>0</formula>
    </cfRule>
  </conditionalFormatting>
  <conditionalFormatting sqref="G208:BO221">
    <cfRule type="cellIs" dxfId="3" priority="6" operator="lessThan">
      <formula>0</formula>
    </cfRule>
  </conditionalFormatting>
  <conditionalFormatting sqref="S208:BO221">
    <cfRule type="cellIs" dxfId="2" priority="3" operator="between">
      <formula>0</formula>
      <formula>0.002</formula>
    </cfRule>
  </conditionalFormatting>
  <conditionalFormatting sqref="N386:R400">
    <cfRule type="cellIs" dxfId="1" priority="2" operator="equal">
      <formula>0</formula>
    </cfRule>
  </conditionalFormatting>
  <conditionalFormatting sqref="N405:R419">
    <cfRule type="cellIs" dxfId="0" priority="1" operator="equal">
      <formula>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README</vt:lpstr>
      <vt:lpstr>Políticas anunciadas - %</vt:lpstr>
      <vt:lpstr>CC70 - %</vt:lpstr>
      <vt:lpstr>CC70 - Valores</vt:lpstr>
      <vt:lpstr>CC70-Tendencial</vt:lpstr>
      <vt:lpstr>Rendimientos Tendencial</vt:lpstr>
      <vt:lpstr>Tendencial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Fernando Victor</dc:creator>
  <cp:keywords/>
  <dc:description/>
  <cp:lastModifiedBy>User</cp:lastModifiedBy>
  <cp:revision/>
  <dcterms:created xsi:type="dcterms:W3CDTF">2023-01-02T22:09:12Z</dcterms:created>
  <dcterms:modified xsi:type="dcterms:W3CDTF">2024-04-26T19:37:37Z</dcterms:modified>
  <cp:category/>
  <cp:contentStatus/>
</cp:coreProperties>
</file>